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4"/>
  </bookViews>
  <sheets>
    <sheet name="Beckett Battery Modules" sheetId="1" r:id="rId1"/>
    <sheet name="Hygen Use Models" sheetId="2" r:id="rId2"/>
    <sheet name="5 year life projections" sheetId="4" r:id="rId3"/>
    <sheet name="Boston Power Life" sheetId="5" r:id="rId4"/>
    <sheet name="LTO comparison" sheetId="6" r:id="rId5"/>
  </sheets>
  <definedNames>
    <definedName name="AC_accessory_load__kW">'5 year life projections'!$E$50</definedName>
    <definedName name="Alternator_max_output__calculated___kW">'5 year life projections'!$E$42</definedName>
    <definedName name="Alternator_power_efficiency">'5 year life projections'!$E$41</definedName>
    <definedName name="Avg_bank_energy_over_lifetime" localSheetId="2">'5 year life projections'!$D$18</definedName>
    <definedName name="Avg_bank_energy_over_lifetime">'Hygen Use Models'!$D$18</definedName>
    <definedName name="Batt_bank_energy__kWh" localSheetId="2">'5 year life projections'!$D$16</definedName>
    <definedName name="Batt_bank_energy__kWh">'Hygen Use Models'!$D$16</definedName>
    <definedName name="Batt_Cycles_50__DOD__guesstimated" localSheetId="2">'5 year life projections'!$D$22</definedName>
    <definedName name="Batt_Cycles_50__DOD__guesstimated">'Hygen Use Models'!$D$22</definedName>
    <definedName name="Batt_Cycles_80__DOD" localSheetId="2">'5 year life projections'!$D$21</definedName>
    <definedName name="Batt_Cycles_80__DOD">'Hygen Use Models'!$D$21</definedName>
    <definedName name="Batt_end_of_life_definition__capacity_degradation" localSheetId="2">'5 year life projections'!$D$17</definedName>
    <definedName name="Batt_end_of_life_definition__capacity_degradation">'Hygen Use Models'!$D$17</definedName>
    <definedName name="Beckett_module_nominal_energy__kWh" localSheetId="2">'5 year life projections'!$D$14</definedName>
    <definedName name="Beckett_module_nominal_energy__kWh">'Hygen Use Models'!$D$14</definedName>
    <definedName name="Cycle_energy__kWh" localSheetId="2">'5 year life projections'!$D$20</definedName>
    <definedName name="Cycle_energy__kWh">'Hygen Use Models'!$D$20</definedName>
    <definedName name="DC___DC_converter_power_efficiency">'5 year life projections'!$E$46</definedName>
    <definedName name="Depth_of_Discharge" localSheetId="2">'5 year life projections'!$D$19</definedName>
    <definedName name="Depth_of_Discharge">'Hygen Use Models'!$D$19</definedName>
    <definedName name="Diesel_cost____l" localSheetId="2">'5 year life projections'!$D$31</definedName>
    <definedName name="Diesel_cost____l">'Hygen Use Models'!$G$22</definedName>
    <definedName name="Engine_efficiency__after_fan__alternator__etc.">'5 year life projections'!$E$39</definedName>
    <definedName name="Engine_gross_intermittent_power__kW">'5 year life projections'!$E$36</definedName>
    <definedName name="Engine_max_net_weighted_power__kW">'5 year life projections'!$E$40</definedName>
    <definedName name="Engine_net_intermittent_power__kW">'5 year life projections'!$E$38</definedName>
    <definedName name="Engine_service_interval__h" localSheetId="2">'5 year life projections'!$D$28</definedName>
    <definedName name="Engine_service_interval__h">'Hygen Use Models'!$G$16</definedName>
    <definedName name="Engine_spec_d_life__h" localSheetId="2">'5 year life projections'!$D$26</definedName>
    <definedName name="Engine_spec_d_life__h">'Hygen Use Models'!$G$14</definedName>
    <definedName name="Estimated_AC_inverter_efficiency">'5 year life projections'!$E$49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Fuel_Tank_Capacity__l" localSheetId="2">'5 year life projections'!$D$30</definedName>
    <definedName name="Fuel_Tank_Capacity__l">'Hygen Use Models'!$G$21</definedName>
    <definedName name="Hours_in_a_year__h" localSheetId="2">'5 year life projections'!$D$27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Max_rated_DC_power_output__kW">'5 year life projections'!$E$47</definedName>
    <definedName name="Max_rated_tower_load__kW">'5 year life projections'!$E$51</definedName>
    <definedName name="Maximum_engine_load_factor">'5 year life projections'!$E$37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NovaTorque_max_power__kW">'5 year life projections'!$E$43</definedName>
    <definedName name="_xlnm.Print_Area" localSheetId="2">'5 year life projections'!$F$13:$J$31</definedName>
    <definedName name="_xlnm.Print_Area" localSheetId="1">'Hygen Use Models'!$B$1:$P$127</definedName>
    <definedName name="Rectifier_max_output__kW">'5 year life projections'!$E$45</definedName>
    <definedName name="Rectifier_power_efficiency">'5 year life projections'!$E$44</definedName>
    <definedName name="SFC__l_kWh" localSheetId="2">'5 year life projections'!$D$29</definedName>
    <definedName name="SFC__l_kWh">'Hygen Use Models'!$G$20</definedName>
    <definedName name="Spec_d_AC_max_accessory_load__kW">'5 year life projections'!$E$48</definedName>
    <definedName name="Stack_height" localSheetId="2">'5 year life projections'!$D$15</definedName>
    <definedName name="Stack_height">'Hygen Use Models'!$D$15</definedName>
    <definedName name="Voltage_at_0">'Beckett Battery Modules'!$C$11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</workbook>
</file>

<file path=xl/calcChain.xml><?xml version="1.0" encoding="utf-8"?>
<calcChain xmlns="http://schemas.openxmlformats.org/spreadsheetml/2006/main">
  <c r="G10" i="6" l="1"/>
  <c r="G31" i="6" s="1"/>
  <c r="H31" i="6" s="1"/>
  <c r="G18" i="6"/>
  <c r="G19" i="6"/>
  <c r="G24" i="6"/>
  <c r="G25" i="6" s="1"/>
  <c r="G27" i="6" s="1"/>
  <c r="G28" i="6" s="1"/>
  <c r="H28" i="6" s="1"/>
  <c r="G30" i="6"/>
  <c r="H30" i="6" s="1"/>
  <c r="D31" i="6"/>
  <c r="E31" i="6" s="1"/>
  <c r="C31" i="6"/>
  <c r="D30" i="6"/>
  <c r="E30" i="6" s="1"/>
  <c r="C30" i="6"/>
  <c r="D24" i="6"/>
  <c r="D25" i="6" s="1"/>
  <c r="D27" i="6" s="1"/>
  <c r="D28" i="6" s="1"/>
  <c r="C24" i="6"/>
  <c r="C25" i="6" s="1"/>
  <c r="C27" i="6" s="1"/>
  <c r="C28" i="6" s="1"/>
  <c r="H27" i="6" l="1"/>
  <c r="E28" i="6"/>
  <c r="D19" i="6"/>
  <c r="D18" i="6"/>
  <c r="N47" i="2" l="1"/>
  <c r="N48" i="2"/>
  <c r="N49" i="2"/>
  <c r="N50" i="2"/>
  <c r="N51" i="2"/>
  <c r="N52" i="2"/>
  <c r="N53" i="2"/>
  <c r="N46" i="2"/>
  <c r="G62" i="4" l="1"/>
  <c r="G71" i="4" s="1"/>
  <c r="G80" i="4" s="1"/>
  <c r="G61" i="4"/>
  <c r="G70" i="4" s="1"/>
  <c r="G79" i="4" s="1"/>
  <c r="G60" i="4"/>
  <c r="G69" i="4" s="1"/>
  <c r="G78" i="4" s="1"/>
  <c r="G59" i="4"/>
  <c r="G68" i="4" s="1"/>
  <c r="G77" i="4" s="1"/>
  <c r="G58" i="4"/>
  <c r="G67" i="4" s="1"/>
  <c r="G76" i="4" s="1"/>
  <c r="G57" i="4"/>
  <c r="G66" i="4" s="1"/>
  <c r="G75" i="4" s="1"/>
  <c r="G56" i="4"/>
  <c r="G65" i="4" s="1"/>
  <c r="G74" i="4" s="1"/>
  <c r="G55" i="4"/>
  <c r="G64" i="4" s="1"/>
  <c r="G73" i="4" s="1"/>
  <c r="G27" i="4"/>
  <c r="G18" i="4"/>
  <c r="G16" i="4"/>
  <c r="G20" i="4" s="1"/>
  <c r="G90" i="4" s="1"/>
  <c r="G84" i="4" l="1"/>
  <c r="G85" i="4"/>
  <c r="G94" i="4" s="1"/>
  <c r="G86" i="4"/>
  <c r="G95" i="4" s="1"/>
  <c r="G123" i="4" s="1"/>
  <c r="G87" i="4"/>
  <c r="G96" i="4" s="1"/>
  <c r="G124" i="4" s="1"/>
  <c r="G88" i="4"/>
  <c r="G97" i="4" s="1"/>
  <c r="G125" i="4" s="1"/>
  <c r="G89" i="4"/>
  <c r="G98" i="4" s="1"/>
  <c r="G126" i="4" s="1"/>
  <c r="G99" i="4"/>
  <c r="G127" i="4" s="1"/>
  <c r="G108" i="4"/>
  <c r="G93" i="4"/>
  <c r="G121" i="4" s="1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H85" i="4"/>
  <c r="H86" i="4"/>
  <c r="H87" i="4"/>
  <c r="H88" i="4"/>
  <c r="H89" i="4"/>
  <c r="H90" i="4"/>
  <c r="H84" i="4"/>
  <c r="H23" i="4"/>
  <c r="I23" i="4"/>
  <c r="J23" i="4"/>
  <c r="I20" i="4"/>
  <c r="H20" i="4"/>
  <c r="J27" i="4"/>
  <c r="J18" i="4"/>
  <c r="J20" i="4" s="1"/>
  <c r="J16" i="4"/>
  <c r="I27" i="4"/>
  <c r="I18" i="4"/>
  <c r="I16" i="4"/>
  <c r="H27" i="4"/>
  <c r="H18" i="4"/>
  <c r="H16" i="4"/>
  <c r="N60" i="4"/>
  <c r="O60" i="4" s="1"/>
  <c r="M60" i="4"/>
  <c r="N59" i="4"/>
  <c r="O59" i="4" s="1"/>
  <c r="M59" i="4"/>
  <c r="N58" i="4"/>
  <c r="O58" i="4" s="1"/>
  <c r="M58" i="4"/>
  <c r="N57" i="4"/>
  <c r="O57" i="4" s="1"/>
  <c r="M57" i="4"/>
  <c r="N56" i="4"/>
  <c r="O56" i="4" s="1"/>
  <c r="M56" i="4"/>
  <c r="N55" i="4"/>
  <c r="O55" i="4" s="1"/>
  <c r="M55" i="4"/>
  <c r="N54" i="4"/>
  <c r="O54" i="4" s="1"/>
  <c r="M54" i="4"/>
  <c r="M53" i="4"/>
  <c r="E49" i="4"/>
  <c r="E50" i="4" s="1"/>
  <c r="J62" i="4" s="1"/>
  <c r="J71" i="4" s="1"/>
  <c r="J80" i="4" s="1"/>
  <c r="E45" i="4"/>
  <c r="E38" i="4"/>
  <c r="E40" i="4" s="1"/>
  <c r="E42" i="4" s="1"/>
  <c r="D18" i="4"/>
  <c r="D16" i="4"/>
  <c r="D20" i="4" s="1"/>
  <c r="D27" i="4"/>
  <c r="G122" i="4" l="1"/>
  <c r="G103" i="4"/>
  <c r="G102" i="4"/>
  <c r="G112" i="4" s="1"/>
  <c r="G107" i="4"/>
  <c r="G135" i="4" s="1"/>
  <c r="G113" i="4"/>
  <c r="G131" i="4"/>
  <c r="G105" i="4"/>
  <c r="G104" i="4"/>
  <c r="G106" i="4"/>
  <c r="G136" i="4"/>
  <c r="G118" i="4"/>
  <c r="J99" i="4"/>
  <c r="J127" i="4" s="1"/>
  <c r="I58" i="4"/>
  <c r="I67" i="4" s="1"/>
  <c r="I76" i="4" s="1"/>
  <c r="H55" i="4"/>
  <c r="H64" i="4" s="1"/>
  <c r="H73" i="4" s="1"/>
  <c r="I55" i="4"/>
  <c r="I64" i="4" s="1"/>
  <c r="I73" i="4" s="1"/>
  <c r="J55" i="4"/>
  <c r="J64" i="4" s="1"/>
  <c r="J73" i="4" s="1"/>
  <c r="H58" i="4"/>
  <c r="H67" i="4" s="1"/>
  <c r="H76" i="4" s="1"/>
  <c r="I59" i="4"/>
  <c r="I68" i="4" s="1"/>
  <c r="I77" i="4" s="1"/>
  <c r="E55" i="4"/>
  <c r="I56" i="4"/>
  <c r="I65" i="4" s="1"/>
  <c r="I74" i="4" s="1"/>
  <c r="H59" i="4"/>
  <c r="H68" i="4" s="1"/>
  <c r="H77" i="4" s="1"/>
  <c r="E62" i="4"/>
  <c r="H56" i="4"/>
  <c r="H65" i="4" s="1"/>
  <c r="H74" i="4" s="1"/>
  <c r="J56" i="4"/>
  <c r="J65" i="4" s="1"/>
  <c r="J74" i="4" s="1"/>
  <c r="E61" i="4"/>
  <c r="H57" i="4"/>
  <c r="H66" i="4" s="1"/>
  <c r="H75" i="4" s="1"/>
  <c r="H94" i="4" s="1"/>
  <c r="H122" i="4" s="1"/>
  <c r="I57" i="4"/>
  <c r="I66" i="4" s="1"/>
  <c r="I75" i="4" s="1"/>
  <c r="J57" i="4"/>
  <c r="J66" i="4" s="1"/>
  <c r="J75" i="4" s="1"/>
  <c r="J58" i="4"/>
  <c r="J67" i="4" s="1"/>
  <c r="J76" i="4" s="1"/>
  <c r="E60" i="4"/>
  <c r="E59" i="4"/>
  <c r="H60" i="4"/>
  <c r="H69" i="4" s="1"/>
  <c r="H78" i="4" s="1"/>
  <c r="H97" i="4" s="1"/>
  <c r="H125" i="4" s="1"/>
  <c r="I60" i="4"/>
  <c r="I69" i="4" s="1"/>
  <c r="I78" i="4" s="1"/>
  <c r="E57" i="4"/>
  <c r="H61" i="4"/>
  <c r="H70" i="4" s="1"/>
  <c r="H79" i="4" s="1"/>
  <c r="I61" i="4"/>
  <c r="I70" i="4" s="1"/>
  <c r="I79" i="4" s="1"/>
  <c r="J61" i="4"/>
  <c r="J70" i="4" s="1"/>
  <c r="J79" i="4" s="1"/>
  <c r="J59" i="4"/>
  <c r="J68" i="4" s="1"/>
  <c r="J77" i="4" s="1"/>
  <c r="E58" i="4"/>
  <c r="J60" i="4"/>
  <c r="J69" i="4" s="1"/>
  <c r="J78" i="4" s="1"/>
  <c r="E56" i="4"/>
  <c r="E65" i="4" s="1"/>
  <c r="E74" i="4" s="1"/>
  <c r="H62" i="4"/>
  <c r="H71" i="4" s="1"/>
  <c r="H80" i="4" s="1"/>
  <c r="H99" i="4" s="1"/>
  <c r="H127" i="4" s="1"/>
  <c r="I62" i="4"/>
  <c r="I71" i="4" s="1"/>
  <c r="I80" i="4" s="1"/>
  <c r="H93" i="4"/>
  <c r="H121" i="4" s="1"/>
  <c r="H95" i="4"/>
  <c r="H123" i="4" s="1"/>
  <c r="H96" i="4"/>
  <c r="H124" i="4" s="1"/>
  <c r="H98" i="4"/>
  <c r="H126" i="4" s="1"/>
  <c r="E69" i="4"/>
  <c r="E78" i="4" s="1"/>
  <c r="E89" i="4"/>
  <c r="E86" i="4"/>
  <c r="E88" i="4"/>
  <c r="E85" i="4"/>
  <c r="E90" i="4"/>
  <c r="E87" i="4"/>
  <c r="E84" i="4"/>
  <c r="E64" i="4"/>
  <c r="E73" i="4" s="1"/>
  <c r="E70" i="4"/>
  <c r="E79" i="4" s="1"/>
  <c r="E68" i="4"/>
  <c r="E77" i="4" s="1"/>
  <c r="E67" i="4"/>
  <c r="E76" i="4" s="1"/>
  <c r="E71" i="4"/>
  <c r="E80" i="4" s="1"/>
  <c r="E66" i="4"/>
  <c r="E75" i="4" s="1"/>
  <c r="E47" i="4"/>
  <c r="E51" i="4" s="1"/>
  <c r="D18" i="2"/>
  <c r="G130" i="4" l="1"/>
  <c r="G117" i="4"/>
  <c r="G132" i="4"/>
  <c r="G114" i="4"/>
  <c r="G115" i="4"/>
  <c r="G133" i="4"/>
  <c r="G116" i="4"/>
  <c r="G134" i="4"/>
  <c r="I96" i="4"/>
  <c r="I124" i="4" s="1"/>
  <c r="I105" i="4"/>
  <c r="I97" i="4"/>
  <c r="I125" i="4" s="1"/>
  <c r="I106" i="4"/>
  <c r="J93" i="4"/>
  <c r="J121" i="4" s="1"/>
  <c r="J102" i="4"/>
  <c r="J97" i="4"/>
  <c r="J125" i="4" s="1"/>
  <c r="J106" i="4"/>
  <c r="J96" i="4"/>
  <c r="J124" i="4" s="1"/>
  <c r="J105" i="4"/>
  <c r="J98" i="4"/>
  <c r="J126" i="4" s="1"/>
  <c r="J104" i="4"/>
  <c r="J95" i="4"/>
  <c r="J123" i="4" s="1"/>
  <c r="I95" i="4"/>
  <c r="I123" i="4" s="1"/>
  <c r="I104" i="4"/>
  <c r="I98" i="4"/>
  <c r="I126" i="4" s="1"/>
  <c r="J94" i="4"/>
  <c r="J122" i="4" s="1"/>
  <c r="I93" i="4"/>
  <c r="I121" i="4" s="1"/>
  <c r="I99" i="4"/>
  <c r="I127" i="4" s="1"/>
  <c r="I108" i="4"/>
  <c r="I94" i="4"/>
  <c r="I122" i="4" s="1"/>
  <c r="J108" i="4"/>
  <c r="H102" i="4"/>
  <c r="H108" i="4"/>
  <c r="H107" i="4"/>
  <c r="E97" i="4"/>
  <c r="E106" i="4" s="1"/>
  <c r="E134" i="4" s="1"/>
  <c r="P58" i="4" s="1"/>
  <c r="H104" i="4"/>
  <c r="H106" i="4"/>
  <c r="H103" i="4"/>
  <c r="H105" i="4"/>
  <c r="E93" i="4"/>
  <c r="E102" i="4" s="1"/>
  <c r="E98" i="4"/>
  <c r="E126" i="4" s="1"/>
  <c r="E94" i="4"/>
  <c r="E122" i="4" s="1"/>
  <c r="E95" i="4"/>
  <c r="E123" i="4" s="1"/>
  <c r="E96" i="4"/>
  <c r="E124" i="4" s="1"/>
  <c r="E99" i="4"/>
  <c r="E127" i="4" s="1"/>
  <c r="J20" i="1"/>
  <c r="I136" i="4" l="1"/>
  <c r="I118" i="4"/>
  <c r="I132" i="4"/>
  <c r="I114" i="4"/>
  <c r="J134" i="4"/>
  <c r="J116" i="4"/>
  <c r="J130" i="4"/>
  <c r="J112" i="4"/>
  <c r="H136" i="4"/>
  <c r="H118" i="4"/>
  <c r="J132" i="4"/>
  <c r="J114" i="4"/>
  <c r="I102" i="4"/>
  <c r="H130" i="4"/>
  <c r="H112" i="4"/>
  <c r="J103" i="4"/>
  <c r="J107" i="4"/>
  <c r="I134" i="4"/>
  <c r="I116" i="4"/>
  <c r="H114" i="4"/>
  <c r="H132" i="4"/>
  <c r="H117" i="4"/>
  <c r="H135" i="4"/>
  <c r="J136" i="4"/>
  <c r="J118" i="4"/>
  <c r="H131" i="4"/>
  <c r="H113" i="4"/>
  <c r="J115" i="4"/>
  <c r="J133" i="4"/>
  <c r="I133" i="4"/>
  <c r="I115" i="4"/>
  <c r="H133" i="4"/>
  <c r="H115" i="4"/>
  <c r="H134" i="4"/>
  <c r="H116" i="4"/>
  <c r="I103" i="4"/>
  <c r="I107" i="4"/>
  <c r="E108" i="4"/>
  <c r="E136" i="4" s="1"/>
  <c r="P60" i="4" s="1"/>
  <c r="E125" i="4"/>
  <c r="E121" i="4"/>
  <c r="E116" i="4"/>
  <c r="E107" i="4"/>
  <c r="E135" i="4" s="1"/>
  <c r="P59" i="4" s="1"/>
  <c r="E104" i="4"/>
  <c r="E114" i="4" s="1"/>
  <c r="E103" i="4"/>
  <c r="E118" i="4"/>
  <c r="E105" i="4"/>
  <c r="E130" i="4"/>
  <c r="P54" i="4" s="1"/>
  <c r="E112" i="4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J47" i="2"/>
  <c r="J48" i="2"/>
  <c r="J49" i="2"/>
  <c r="J50" i="2"/>
  <c r="J51" i="2"/>
  <c r="J52" i="2"/>
  <c r="J53" i="2"/>
  <c r="J46" i="2"/>
  <c r="J131" i="4" l="1"/>
  <c r="J113" i="4"/>
  <c r="I130" i="4"/>
  <c r="I112" i="4"/>
  <c r="I131" i="4"/>
  <c r="I113" i="4"/>
  <c r="I117" i="4"/>
  <c r="I135" i="4"/>
  <c r="J135" i="4"/>
  <c r="J117" i="4"/>
  <c r="E132" i="4"/>
  <c r="P56" i="4" s="1"/>
  <c r="E117" i="4"/>
  <c r="E133" i="4"/>
  <c r="P57" i="4" s="1"/>
  <c r="E115" i="4"/>
  <c r="E131" i="4"/>
  <c r="P55" i="4" s="1"/>
  <c r="E113" i="4"/>
  <c r="G15" i="2"/>
  <c r="D16" i="2"/>
  <c r="F42" i="2"/>
  <c r="F43" i="2" s="1"/>
  <c r="G42" i="2"/>
  <c r="G43" i="2" s="1"/>
  <c r="E42" i="2"/>
  <c r="E43" i="2" s="1"/>
  <c r="G38" i="2"/>
  <c r="F31" i="2"/>
  <c r="F33" i="2" s="1"/>
  <c r="F35" i="2" s="1"/>
  <c r="F36" i="2" s="1"/>
  <c r="F38" i="2" s="1"/>
  <c r="G31" i="2"/>
  <c r="G33" i="2" s="1"/>
  <c r="G35" i="2" s="1"/>
  <c r="E31" i="2"/>
  <c r="E33" i="2" s="1"/>
  <c r="E35" i="2" s="1"/>
  <c r="E38" i="2" s="1"/>
  <c r="D20" i="2" l="1"/>
  <c r="E62" i="2"/>
  <c r="F57" i="2"/>
  <c r="E58" i="2"/>
  <c r="E64" i="2"/>
  <c r="E57" i="2"/>
  <c r="F59" i="2"/>
  <c r="E61" i="2"/>
  <c r="E63" i="2"/>
  <c r="F60" i="2"/>
  <c r="F64" i="2"/>
  <c r="F58" i="2"/>
  <c r="E59" i="2"/>
  <c r="F61" i="2"/>
  <c r="F63" i="2"/>
  <c r="E60" i="2"/>
  <c r="F62" i="2"/>
  <c r="G49" i="2"/>
  <c r="G58" i="2" s="1"/>
  <c r="G50" i="2"/>
  <c r="G59" i="2" s="1"/>
  <c r="G54" i="2"/>
  <c r="G63" i="2" s="1"/>
  <c r="G52" i="2"/>
  <c r="F50" i="2"/>
  <c r="F49" i="2"/>
  <c r="F67" i="2" s="1"/>
  <c r="F54" i="2"/>
  <c r="F52" i="2"/>
  <c r="E54" i="2"/>
  <c r="E50" i="2"/>
  <c r="E68" i="2" s="1"/>
  <c r="E49" i="2"/>
  <c r="E67" i="2" s="1"/>
  <c r="E52" i="2"/>
  <c r="E70" i="2" s="1"/>
  <c r="G53" i="2"/>
  <c r="G62" i="2" s="1"/>
  <c r="G40" i="2"/>
  <c r="G44" i="2" s="1"/>
  <c r="E53" i="2"/>
  <c r="E40" i="2"/>
  <c r="E44" i="2" s="1"/>
  <c r="E48" i="2"/>
  <c r="E55" i="2"/>
  <c r="E51" i="2"/>
  <c r="G51" i="2"/>
  <c r="G60" i="2" s="1"/>
  <c r="G48" i="2"/>
  <c r="G57" i="2" s="1"/>
  <c r="G55" i="2"/>
  <c r="G64" i="2" s="1"/>
  <c r="F48" i="2"/>
  <c r="F66" i="2" s="1"/>
  <c r="F53" i="2"/>
  <c r="F40" i="2"/>
  <c r="F44" i="2" s="1"/>
  <c r="F55" i="2"/>
  <c r="F51" i="2"/>
  <c r="C31" i="1"/>
  <c r="C30" i="1"/>
  <c r="H19" i="1"/>
  <c r="H17" i="1"/>
  <c r="N17" i="1" s="1"/>
  <c r="H15" i="1"/>
  <c r="N15" i="1" s="1"/>
  <c r="H14" i="1"/>
  <c r="N14" i="1" s="1"/>
  <c r="G61" i="2" l="1"/>
  <c r="G70" i="2" s="1"/>
  <c r="G66" i="2"/>
  <c r="G68" i="2"/>
  <c r="F72" i="2"/>
  <c r="F68" i="2"/>
  <c r="G71" i="2"/>
  <c r="G72" i="2"/>
  <c r="E73" i="2"/>
  <c r="E72" i="2"/>
  <c r="G67" i="2"/>
  <c r="E66" i="2"/>
  <c r="F70" i="2"/>
  <c r="E77" i="2"/>
  <c r="E86" i="2" s="1"/>
  <c r="G79" i="2"/>
  <c r="F82" i="2"/>
  <c r="F91" i="2" s="1"/>
  <c r="F77" i="2"/>
  <c r="F86" i="2" s="1"/>
  <c r="E80" i="2"/>
  <c r="E89" i="2" s="1"/>
  <c r="G82" i="2"/>
  <c r="G77" i="2"/>
  <c r="F80" i="2"/>
  <c r="F89" i="2" s="1"/>
  <c r="E83" i="2"/>
  <c r="E78" i="2"/>
  <c r="E87" i="2" s="1"/>
  <c r="G80" i="2"/>
  <c r="F83" i="2"/>
  <c r="F78" i="2"/>
  <c r="E81" i="2"/>
  <c r="G83" i="2"/>
  <c r="F79" i="2"/>
  <c r="G78" i="2"/>
  <c r="G87" i="2" s="1"/>
  <c r="F81" i="2"/>
  <c r="G81" i="2"/>
  <c r="G90" i="2" s="1"/>
  <c r="E79" i="2"/>
  <c r="E82" i="2"/>
  <c r="E91" i="2" s="1"/>
  <c r="E71" i="2"/>
  <c r="G73" i="2"/>
  <c r="G69" i="2"/>
  <c r="F71" i="2"/>
  <c r="E69" i="2"/>
  <c r="F87" i="2" l="1"/>
  <c r="G89" i="2"/>
  <c r="G86" i="2"/>
  <c r="G91" i="2"/>
  <c r="G119" i="2" s="1"/>
  <c r="E92" i="2"/>
  <c r="G95" i="2"/>
  <c r="G114" i="2"/>
  <c r="G100" i="2"/>
  <c r="F98" i="2"/>
  <c r="F117" i="2"/>
  <c r="F96" i="2"/>
  <c r="F115" i="2"/>
  <c r="E98" i="2"/>
  <c r="E117" i="2"/>
  <c r="E100" i="2"/>
  <c r="E119" i="2"/>
  <c r="F95" i="2"/>
  <c r="F114" i="2"/>
  <c r="G99" i="2"/>
  <c r="G118" i="2"/>
  <c r="G98" i="2"/>
  <c r="G117" i="2"/>
  <c r="F100" i="2"/>
  <c r="F119" i="2"/>
  <c r="E96" i="2"/>
  <c r="E115" i="2"/>
  <c r="G96" i="2"/>
  <c r="G115" i="2"/>
  <c r="E95" i="2"/>
  <c r="E114" i="2"/>
  <c r="G88" i="2"/>
  <c r="G116" i="2" s="1"/>
  <c r="G92" i="2"/>
  <c r="G120" i="2" s="1"/>
  <c r="E90" i="2"/>
  <c r="E88" i="2"/>
  <c r="F90" i="2"/>
  <c r="F73" i="2"/>
  <c r="F69" i="2"/>
  <c r="G101" i="2" l="1"/>
  <c r="G109" i="2"/>
  <c r="G127" i="2"/>
  <c r="M51" i="2" s="1"/>
  <c r="G111" i="2"/>
  <c r="G129" i="2"/>
  <c r="M53" i="2" s="1"/>
  <c r="G110" i="2"/>
  <c r="G128" i="2"/>
  <c r="M52" i="2" s="1"/>
  <c r="G106" i="2"/>
  <c r="G124" i="2"/>
  <c r="M48" i="2" s="1"/>
  <c r="G108" i="2"/>
  <c r="G126" i="2"/>
  <c r="M50" i="2" s="1"/>
  <c r="G105" i="2"/>
  <c r="G123" i="2"/>
  <c r="M47" i="2" s="1"/>
  <c r="F106" i="2"/>
  <c r="F124" i="2"/>
  <c r="F110" i="2"/>
  <c r="F128" i="2"/>
  <c r="F108" i="2"/>
  <c r="F126" i="2"/>
  <c r="F105" i="2"/>
  <c r="F123" i="2"/>
  <c r="E106" i="2"/>
  <c r="E124" i="2"/>
  <c r="E110" i="2"/>
  <c r="E128" i="2"/>
  <c r="E105" i="2"/>
  <c r="E123" i="2"/>
  <c r="E108" i="2"/>
  <c r="E126" i="2"/>
  <c r="E97" i="2"/>
  <c r="E116" i="2"/>
  <c r="E99" i="2"/>
  <c r="E118" i="2"/>
  <c r="G97" i="2"/>
  <c r="F99" i="2"/>
  <c r="F118" i="2"/>
  <c r="F88" i="2"/>
  <c r="F92" i="2"/>
  <c r="G107" i="2" l="1"/>
  <c r="G125" i="2"/>
  <c r="M49" i="2" s="1"/>
  <c r="F109" i="2"/>
  <c r="F127" i="2"/>
  <c r="E109" i="2"/>
  <c r="E127" i="2"/>
  <c r="E107" i="2"/>
  <c r="E125" i="2"/>
  <c r="F97" i="2"/>
  <c r="F116" i="2"/>
  <c r="F101" i="2"/>
  <c r="F120" i="2"/>
  <c r="F107" i="2" l="1"/>
  <c r="F125" i="2"/>
  <c r="F111" i="2"/>
  <c r="F129" i="2"/>
</calcChain>
</file>

<file path=xl/sharedStrings.xml><?xml version="1.0" encoding="utf-8"?>
<sst xmlns="http://schemas.openxmlformats.org/spreadsheetml/2006/main" count="413" uniqueCount="219">
  <si>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</si>
  <si>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</si>
  <si>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</si>
  <si>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</si>
  <si>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</si>
  <si>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</si>
  <si>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</si>
  <si>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</si>
  <si>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</si>
  <si>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</si>
  <si>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</si>
  <si>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</si>
  <si>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</si>
  <si>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</si>
  <si>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</si>
  <si>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</si>
  <si>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</si>
  <si>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</si>
  <si>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</si>
  <si>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</si>
  <si>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</si>
  <si>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</si>
  <si>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</si>
  <si>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</si>
  <si>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</si>
  <si>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</si>
  <si>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</si>
  <si>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</si>
  <si>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</si>
  <si>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</si>
  <si>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</si>
  <si>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</si>
  <si>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</si>
  <si>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</si>
  <si>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</si>
  <si>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</si>
  <si>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</si>
  <si>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</si>
  <si>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</si>
  <si>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</si>
  <si>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</si>
  <si>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</si>
  <si>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</si>
  <si>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</si>
  <si>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</si>
  <si>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</si>
  <si>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</si>
  <si>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</si>
  <si>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</si>
  <si>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</si>
  <si>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</si>
  <si>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</si>
  <si>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</si>
  <si>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</si>
  <si>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</si>
  <si>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</si>
  <si>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</si>
  <si>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</si>
  <si>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</si>
  <si>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</si>
  <si>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</si>
  <si>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</si>
  <si>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</si>
  <si>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</si>
  <si>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</si>
  <si>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</si>
  <si>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</si>
  <si>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</si>
  <si>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</si>
  <si>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</si>
  <si>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</si>
  <si>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</si>
  <si>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</si>
  <si>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</si>
  <si>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</si>
  <si>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</si>
  <si>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</si>
  <si>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</si>
  <si>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</si>
  <si>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</si>
  <si>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</si>
  <si>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</si>
  <si>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</si>
  <si>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</si>
  <si>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</si>
  <si>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</si>
  <si>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</si>
  <si>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</si>
  <si>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</si>
  <si>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</si>
  <si>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</si>
  <si>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</si>
  <si>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</si>
  <si>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</si>
  <si>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</si>
  <si>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</si>
  <si>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</si>
  <si>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</si>
  <si>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</si>
  <si>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</si>
  <si>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</si>
  <si>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</si>
  <si>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</si>
  <si>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</si>
  <si>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</si>
  <si>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</si>
  <si>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</si>
  <si>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</si>
  <si>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</si>
  <si>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</si>
  <si>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</si>
  <si>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</si>
  <si>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</si>
  <si>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</si>
  <si>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</si>
  <si>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</si>
  <si>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</si>
  <si>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</si>
  <si>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</si>
  <si>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</si>
  <si>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</si>
  <si>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</si>
  <si>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</si>
  <si>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</si>
  <si>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</si>
  <si>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</si>
  <si>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</si>
  <si>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</si>
  <si>
    <t>Battery C-rate w/ 0.5kW Tower Load</t>
  </si>
  <si>
    <t>Battery C-rate w/ 1kW Tower Load</t>
  </si>
  <si>
    <t>Battery C-rate w/ 3kW Tower Load</t>
  </si>
  <si>
    <t>Battery C-rate w/ 5kW Tower Load</t>
  </si>
  <si>
    <t>Engine on time to charge battery w/ 0.5kW Tower Load, h</t>
  </si>
  <si>
    <t>Engine on time to charge battery w/ 1kW Tower Load, h</t>
  </si>
  <si>
    <t>Engine on time to charge battery w/ 3kW Tower Load, h</t>
  </si>
  <si>
    <t>Engine on time to charge battery w/ 5kW Tower Load, h</t>
  </si>
  <si>
    <t>Tower run time on battery w/ 0.5kW Tower Load, h</t>
  </si>
  <si>
    <t>Tower run time on battery w/ 1kW Tower Load, h</t>
  </si>
  <si>
    <t>Tower run time on battery w/ 3kW Tower Load, h</t>
  </si>
  <si>
    <t>Tower run time on battery w/ 5kW Tower Load, h</t>
  </si>
  <si>
    <t>Cycle time w/ 0.5kW Tower Load, h</t>
  </si>
  <si>
    <t>Cycle time w/ 1kW Tower Load, h</t>
  </si>
  <si>
    <t>Cycle time w/ 3kW Tower Load, h</t>
  </si>
  <si>
    <t>Cycle time w/ 5kW Tower Load, h</t>
  </si>
  <si>
    <t>Engine duty cycle w/ 0.5kW Tower Load, %</t>
  </si>
  <si>
    <t>Engine duty cycle w/ 1kW Tower Load, %</t>
  </si>
  <si>
    <t>Engine duty cycle w/ 3kW Tower Load, %</t>
  </si>
  <si>
    <t>Engine duty cycle w/ 5kW Tower Load, %</t>
  </si>
  <si>
    <t>Engine life in years w/ 0.5kW Tower Load, y</t>
  </si>
  <si>
    <t>Engine life in years w/ 1kW Tower Load, y</t>
  </si>
  <si>
    <t>Engine life in years w/ 3kW Tower Load, y</t>
  </si>
  <si>
    <t>Engine life in years w/ 5kW Tower Load, y</t>
  </si>
  <si>
    <t>Battery life in years w/ 0.5kW Tower Load, y</t>
  </si>
  <si>
    <t>Battery life in years w/ 1kW Tower Load, y</t>
  </si>
  <si>
    <t>Battery life in years w/ 3kW Tower Load, y</t>
  </si>
  <si>
    <t>Battery life in years w/ 5kW Tower Load, y</t>
  </si>
  <si>
    <t>Engine maintenance interval w/ 0.5kW T.L., d</t>
  </si>
  <si>
    <t>Engine maintenance interval w/ 1kW T.L., d</t>
  </si>
  <si>
    <t>Engine maintenance interval w/ 3kW T.L., d</t>
  </si>
  <si>
    <t>Engine maintenance interval w/ 5kW T.L., d</t>
  </si>
  <si>
    <t>SFC, l/kWh</t>
  </si>
  <si>
    <t>Fuel Tank Capacity, l</t>
  </si>
  <si>
    <t>Diesel cost, $/l</t>
  </si>
  <si>
    <t>250 liter tank refill interval, d</t>
  </si>
  <si>
    <t>Fuel Cost per Month, $USD</t>
  </si>
  <si>
    <t>1000 liter tank refill interval, days</t>
  </si>
  <si>
    <t>Engine maintenance interval, days</t>
  </si>
  <si>
    <t>These plots customized for Angus's Chilean customer.</t>
  </si>
  <si>
    <t>W</t>
  </si>
  <si>
    <t>Batt end of life definition, capacity degradation</t>
  </si>
  <si>
    <t>Avg bank energy over lifetime</t>
  </si>
  <si>
    <t>Batt Cycles 50% DOD, 0.5C charge, estimated by Boston Power</t>
  </si>
  <si>
    <t>Battery Parameters</t>
  </si>
  <si>
    <t>Engine Parameters</t>
  </si>
  <si>
    <t>Life under most conservative assumptions</t>
  </si>
  <si>
    <t>Life under most optimistic assumptions</t>
  </si>
  <si>
    <t>Middle case</t>
  </si>
  <si>
    <t>Batt Cycles, projected based on end of life extension</t>
  </si>
  <si>
    <t>4 sets of assumptions</t>
  </si>
  <si>
    <t>Beckett battery spec</t>
  </si>
  <si>
    <t>Estimating points on the pink curve above to use in extrapolating our battery life.</t>
  </si>
  <si>
    <t>Cycle</t>
  </si>
  <si>
    <t>Fuel use per day, L</t>
  </si>
  <si>
    <t>BP Published Graph</t>
  </si>
  <si>
    <t>PPI 70% EOL</t>
  </si>
  <si>
    <t>Beckett Spec</t>
  </si>
  <si>
    <t>BP 50% DOD Projected</t>
  </si>
  <si>
    <t>PPI 50% DOD guestimate</t>
  </si>
  <si>
    <t>Updates</t>
  </si>
  <si>
    <t>Our voltage limit switches are giving us about 16% to 79% SOC.</t>
  </si>
  <si>
    <t>We're actually running the NovaTorque above it spec.</t>
  </si>
  <si>
    <t>BK calculated this efficiency from our first 4kW Charge/Discharge cycle test.</t>
  </si>
  <si>
    <t>Toshiba LTO Design</t>
  </si>
  <si>
    <t>Voltage, nominal</t>
  </si>
  <si>
    <t>Nominal capacity, Ah, 100% DOD</t>
  </si>
  <si>
    <t>Dimensions, mm</t>
  </si>
  <si>
    <t>Voltage, operating max</t>
  </si>
  <si>
    <t>Voltage, operating min</t>
  </si>
  <si>
    <t>Max charge rate, A</t>
  </si>
  <si>
    <t>Cycle life, 80% DOD</t>
  </si>
  <si>
    <t>Stack height, modules</t>
  </si>
  <si>
    <t>Charge peak voltage</t>
  </si>
  <si>
    <t>Discharge minimum voltage</t>
  </si>
  <si>
    <t>Enatel minimum voltage range</t>
  </si>
  <si>
    <t>Vicor minimum voltage range</t>
  </si>
  <si>
    <t>Weight, kg</t>
  </si>
  <si>
    <t>Nominal total energy/module,  Wh</t>
  </si>
  <si>
    <t>Nominal total energy/stack, Wh</t>
  </si>
  <si>
    <t>stack mass, kg</t>
  </si>
  <si>
    <t>stack volume, m^3</t>
  </si>
  <si>
    <t>Beckett
8224S</t>
  </si>
  <si>
    <t>Toshiba
SCiB 2P12S</t>
  </si>
  <si>
    <t>Est cycle life, 50% DOD</t>
  </si>
  <si>
    <t>Cycle energy, Wh</t>
  </si>
  <si>
    <t>Designed DoD, fraction</t>
  </si>
  <si>
    <t>Lifetime energy delivered, kWh</t>
  </si>
  <si>
    <t>Ratio</t>
  </si>
  <si>
    <t>Toshiba
SCiB 1P12S</t>
  </si>
  <si>
    <t>Does Toshiba offer this module?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</si>
</sst>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2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9" fontId="0" fillId="4" borderId="0" xfId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9" fontId="0" fillId="0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top" wrapText="1"/>
    </xf>
    <xf numFmtId="164" fontId="0" fillId="3" borderId="0" xfId="0" applyNumberFormat="1" applyFill="1"/>
    <xf numFmtId="9" fontId="0" fillId="3" borderId="0" xfId="1" applyFont="1" applyFill="1"/>
    <xf numFmtId="0" fontId="3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Models'!$G$105:$G$111</c:f>
              <c:numCache>
                <c:formatCode>0.00</c:formatCode>
                <c:ptCount val="7"/>
                <c:pt idx="0">
                  <c:v>32.288440184051723</c:v>
                </c:pt>
                <c:pt idx="1">
                  <c:v>16.068765661633794</c:v>
                </c:pt>
                <c:pt idx="2">
                  <c:v>7.9589284004248251</c:v>
                </c:pt>
                <c:pt idx="3">
                  <c:v>5.2556493133551694</c:v>
                </c:pt>
                <c:pt idx="4">
                  <c:v>3.9040097698203415</c:v>
                </c:pt>
                <c:pt idx="5">
                  <c:v>3.0930260436994446</c:v>
                </c:pt>
                <c:pt idx="6">
                  <c:v>2.5523702262855132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Models'!$D$114:$D$120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Models'!$G$114:$G$120</c:f>
              <c:numCache>
                <c:formatCode>0.00</c:formatCode>
                <c:ptCount val="7"/>
                <c:pt idx="0">
                  <c:v>15.323226339665265</c:v>
                </c:pt>
                <c:pt idx="1">
                  <c:v>8.2990154268002563</c:v>
                </c:pt>
                <c:pt idx="2">
                  <c:v>4.991917134927097</c:v>
                </c:pt>
                <c:pt idx="3">
                  <c:v>4.1961251038281713</c:v>
                </c:pt>
                <c:pt idx="4">
                  <c:v>4.2871141590662507</c:v>
                </c:pt>
                <c:pt idx="5">
                  <c:v>5.4380417748215653</c:v>
                </c:pt>
                <c:pt idx="6">
                  <c:v>11.248220551248643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7824"/>
        <c:axId val="167999744"/>
      </c:scatterChart>
      <c:valAx>
        <c:axId val="167997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67999744"/>
        <c:crosses val="autoZero"/>
        <c:crossBetween val="midCat"/>
      </c:valAx>
      <c:valAx>
        <c:axId val="167999744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997824"/>
        <c:crosses val="autoZero"/>
        <c:crossBetween val="midCat"/>
        <c:majorUnit val="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Engine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4"/>
          <c:order val="1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2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1952"/>
        <c:axId val="169588608"/>
      </c:scatterChart>
      <c:valAx>
        <c:axId val="16958195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69588608"/>
        <c:crosses val="autoZero"/>
        <c:crossBetween val="midCat"/>
      </c:valAx>
      <c:valAx>
        <c:axId val="169588608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581952"/>
        <c:crosses val="autoZero"/>
        <c:crossBetween val="midCat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'Boston Power Life'!$E$30</c:f>
              <c:strCache>
                <c:ptCount val="1"/>
                <c:pt idx="0">
                  <c:v>BP 50% DOD Projected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'Boston Power Life'!$C$31:$C$40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10000</c:v>
                </c:pt>
              </c:numCache>
            </c:numRef>
          </c:xVal>
          <c:yVal>
            <c:numRef>
              <c:f>'Boston Power Life'!$E$31:$E$40</c:f>
              <c:numCache>
                <c:formatCode>General</c:formatCode>
                <c:ptCount val="10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  <c:pt idx="8">
                  <c:v>80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'Boston Power Life'!$K$30</c:f>
              <c:strCache>
                <c:ptCount val="1"/>
                <c:pt idx="0">
                  <c:v>PPI 50% DOD guestimate</c:v>
                </c:pt>
              </c:strCache>
            </c:strRef>
          </c:tx>
          <c:xVal>
            <c:numRef>
              <c:f>'Boston Power Life'!$J$31:$J$33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7500</c:v>
                </c:pt>
              </c:numCache>
            </c:numRef>
          </c:xVal>
          <c:yVal>
            <c:numRef>
              <c:f>'Boston Power Life'!$K$31:$K$33</c:f>
              <c:numCache>
                <c:formatCode>General</c:formatCode>
                <c:ptCount val="3"/>
                <c:pt idx="0">
                  <c:v>100</c:v>
                </c:pt>
                <c:pt idx="1">
                  <c:v>88.9</c:v>
                </c:pt>
                <c:pt idx="2">
                  <c:v>80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'Boston Power Life'!$H$30</c:f>
              <c:strCache>
                <c:ptCount val="1"/>
                <c:pt idx="0">
                  <c:v>PPI 70% EOL</c:v>
                </c:pt>
              </c:strCache>
            </c:strRef>
          </c:tx>
          <c:xVal>
            <c:numRef>
              <c:f>'Boston Power Life'!$G$31:$G$39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15000</c:v>
                </c:pt>
              </c:numCache>
            </c:numRef>
          </c:xVal>
          <c:yVal>
            <c:numRef>
              <c:f>'Boston Power Life'!$H$31:$H$39</c:f>
              <c:numCache>
                <c:formatCode>General</c:formatCode>
                <c:ptCount val="9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  <c:pt idx="8">
                  <c:v>70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'Boston Power Life'!$D$30</c:f>
              <c:strCache>
                <c:ptCount val="1"/>
                <c:pt idx="0">
                  <c:v>BP Published Graph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pPr>
              <a:solidFill>
                <a:srgbClr val="FF00FF"/>
              </a:solidFill>
            </c:spPr>
          </c:marker>
          <c:xVal>
            <c:numRef>
              <c:f>'Boston Power Life'!$C$31:$C$38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'Boston Power Life'!$D$31:$D$38</c:f>
              <c:numCache>
                <c:formatCode>General</c:formatCode>
                <c:ptCount val="8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'Boston Power Life'!$N$30</c:f>
              <c:strCache>
                <c:ptCount val="1"/>
                <c:pt idx="0">
                  <c:v>Beckett Spec</c:v>
                </c:pt>
              </c:strCache>
            </c:strRef>
          </c:tx>
          <c:marker>
            <c:symbol val="circle"/>
            <c:size val="7"/>
          </c:marker>
          <c:xVal>
            <c:numRef>
              <c:f>'Boston Power Life'!$M$31</c:f>
              <c:numCache>
                <c:formatCode>General</c:formatCode>
                <c:ptCount val="1"/>
                <c:pt idx="0">
                  <c:v>3000</c:v>
                </c:pt>
              </c:numCache>
            </c:numRef>
          </c:xVal>
          <c:yVal>
            <c:numRef>
              <c:f>'Boston Power Life'!$N$31</c:f>
              <c:numCache>
                <c:formatCode>General</c:formatCode>
                <c:ptCount val="1"/>
                <c:pt idx="0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99904"/>
        <c:axId val="171516672"/>
      </c:scatterChart>
      <c:valAx>
        <c:axId val="17189990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71516672"/>
        <c:crosses val="autoZero"/>
        <c:crossBetween val="midCat"/>
        <c:minorUnit val="1000"/>
      </c:valAx>
      <c:valAx>
        <c:axId val="171516672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99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Models'!$J$46:$J$53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7472"/>
        <c:axId val="168139392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Models'!$K$46:$K$53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7584"/>
        <c:axId val="168145664"/>
      </c:scatterChart>
      <c:valAx>
        <c:axId val="168137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139392"/>
        <c:crosses val="autoZero"/>
        <c:crossBetween val="midCat"/>
      </c:valAx>
      <c:valAx>
        <c:axId val="16813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8137472"/>
        <c:crosses val="autoZero"/>
        <c:crossBetween val="midCat"/>
      </c:valAx>
      <c:valAx>
        <c:axId val="168145664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147584"/>
        <c:crosses val="max"/>
        <c:crossBetween val="midCat"/>
        <c:majorUnit val="30"/>
      </c:valAx>
      <c:valAx>
        <c:axId val="16814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1456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Models'!$J$46:$J$49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6144"/>
        <c:axId val="171208064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Models'!$K$46:$K$49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'Hygen Use Models'!$M$45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Models'!$M$46:$M$49</c:f>
              <c:numCache>
                <c:formatCode>0.00</c:formatCode>
                <c:ptCount val="4"/>
                <c:pt idx="1">
                  <c:v>589.26403335894395</c:v>
                </c:pt>
                <c:pt idx="2">
                  <c:v>293.25497332481672</c:v>
                </c:pt>
                <c:pt idx="3">
                  <c:v>145.25044330775305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16256"/>
        <c:axId val="171214336"/>
      </c:scatterChart>
      <c:valAx>
        <c:axId val="17120614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08064"/>
        <c:crosses val="autoZero"/>
        <c:crossBetween val="midCat"/>
        <c:majorUnit val="0.5"/>
      </c:valAx>
      <c:valAx>
        <c:axId val="17120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1206144"/>
        <c:crosses val="autoZero"/>
        <c:crossBetween val="midCat"/>
      </c:valAx>
      <c:valAx>
        <c:axId val="171214336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16256"/>
        <c:crosses val="max"/>
        <c:crossBetween val="midCat"/>
        <c:majorUnit val="60"/>
      </c:valAx>
      <c:valAx>
        <c:axId val="17121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2143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Models'!$D$105:$D$107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Models'!$G$105:$G$107</c:f>
              <c:numCache>
                <c:formatCode>0.00</c:formatCode>
                <c:ptCount val="3"/>
                <c:pt idx="0">
                  <c:v>32.288440184051723</c:v>
                </c:pt>
                <c:pt idx="1">
                  <c:v>16.068765661633794</c:v>
                </c:pt>
                <c:pt idx="2">
                  <c:v>7.9589284004248251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Models'!$D$114:$D$116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Models'!$G$114:$G$116</c:f>
              <c:numCache>
                <c:formatCode>0.00</c:formatCode>
                <c:ptCount val="3"/>
                <c:pt idx="0">
                  <c:v>15.323226339665265</c:v>
                </c:pt>
                <c:pt idx="1">
                  <c:v>8.2990154268002563</c:v>
                </c:pt>
                <c:pt idx="2">
                  <c:v>4.991917134927097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9136"/>
        <c:axId val="169421056"/>
      </c:scatterChart>
      <c:valAx>
        <c:axId val="16941913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69421056"/>
        <c:crosses val="autoZero"/>
        <c:crossBetween val="midCat"/>
        <c:majorUnit val="0.5"/>
      </c:valAx>
      <c:valAx>
        <c:axId val="16942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4191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2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3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4"/>
          <c:order val="4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5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ser>
          <c:idx val="6"/>
          <c:order val="6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5.8178236343826999</c:v>
                </c:pt>
                <c:pt idx="1">
                  <c:v>3.1379678055320634</c:v>
                </c:pt>
                <c:pt idx="2">
                  <c:v>1.8660258386726254</c:v>
                </c:pt>
                <c:pt idx="3">
                  <c:v>1.5397463028905254</c:v>
                </c:pt>
                <c:pt idx="4">
                  <c:v>1.5218684639927331</c:v>
                </c:pt>
                <c:pt idx="5">
                  <c:v>1.7971035276265439</c:v>
                </c:pt>
                <c:pt idx="6">
                  <c:v>2.8973333983327652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7664"/>
        <c:axId val="169476096"/>
      </c:scatterChart>
      <c:valAx>
        <c:axId val="16913766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69476096"/>
        <c:crosses val="autoZero"/>
        <c:crossBetween val="midCat"/>
      </c:valAx>
      <c:valAx>
        <c:axId val="169476096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137664"/>
        <c:crosses val="autoZero"/>
        <c:crossBetween val="midCat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projections'!$M$53:$M$60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5264"/>
        <c:axId val="169521536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projections'!$N$53:$N$60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3824"/>
        <c:axId val="169523456"/>
      </c:scatterChart>
      <c:valAx>
        <c:axId val="169515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21536"/>
        <c:crosses val="autoZero"/>
        <c:crossBetween val="midCat"/>
      </c:valAx>
      <c:valAx>
        <c:axId val="16952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9515264"/>
        <c:crosses val="autoZero"/>
        <c:crossBetween val="midCat"/>
      </c:valAx>
      <c:valAx>
        <c:axId val="169523456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33824"/>
        <c:crosses val="max"/>
        <c:crossBetween val="midCat"/>
        <c:majorUnit val="30"/>
      </c:valAx>
      <c:valAx>
        <c:axId val="1695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5234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projections'!$M$53:$M$56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90752"/>
        <c:axId val="169292928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projections'!$N$53:$N$56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 year life projections'!$P$52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projections'!$P$53:$P$56</c:f>
              <c:numCache>
                <c:formatCode>0.00</c:formatCode>
                <c:ptCount val="4"/>
                <c:pt idx="1">
                  <c:v>616.55701754385973</c:v>
                </c:pt>
                <c:pt idx="2">
                  <c:v>307.18201754385967</c:v>
                </c:pt>
                <c:pt idx="3">
                  <c:v>152.49451754385962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9312"/>
        <c:axId val="169294848"/>
      </c:scatterChart>
      <c:valAx>
        <c:axId val="1692907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92928"/>
        <c:crosses val="autoZero"/>
        <c:crossBetween val="midCat"/>
        <c:majorUnit val="0.5"/>
      </c:valAx>
      <c:valAx>
        <c:axId val="16929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9290752"/>
        <c:crosses val="autoZero"/>
        <c:crossBetween val="midCat"/>
      </c:valAx>
      <c:valAx>
        <c:axId val="169294848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09312"/>
        <c:crosses val="max"/>
        <c:crossBetween val="midCat"/>
        <c:majorUnit val="60"/>
      </c:valAx>
      <c:valAx>
        <c:axId val="16930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948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'5 year life projections'!$D$112:$D$114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projections'!$E$112:$E$114</c:f>
              <c:numCache>
                <c:formatCode>0.00</c:formatCode>
                <c:ptCount val="3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projections'!$E$121:$E$123</c:f>
              <c:numCache>
                <c:formatCode>0.00</c:formatCode>
                <c:ptCount val="3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30176"/>
        <c:axId val="169332096"/>
      </c:scatterChart>
      <c:valAx>
        <c:axId val="16933017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69332096"/>
        <c:crosses val="autoZero"/>
        <c:crossBetween val="midCat"/>
        <c:majorUnit val="0.5"/>
      </c:valAx>
      <c:valAx>
        <c:axId val="16933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330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Battery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1"/>
          <c:order val="0"/>
          <c:tx>
            <c:v>Battery Life in Years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1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2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0"/>
          <c:order val="3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5.8178236343826999</c:v>
                </c:pt>
                <c:pt idx="1">
                  <c:v>3.1379678055320634</c:v>
                </c:pt>
                <c:pt idx="2">
                  <c:v>1.8660258386726254</c:v>
                </c:pt>
                <c:pt idx="3">
                  <c:v>1.5397463028905254</c:v>
                </c:pt>
                <c:pt idx="4">
                  <c:v>1.5218684639927331</c:v>
                </c:pt>
                <c:pt idx="5">
                  <c:v>1.7971035276265439</c:v>
                </c:pt>
                <c:pt idx="6">
                  <c:v>2.8973333983327652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2736"/>
        <c:axId val="169267584"/>
      </c:scatterChart>
      <c:valAx>
        <c:axId val="1692527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69267584"/>
        <c:crosses val="autoZero"/>
        <c:crossBetween val="midCat"/>
      </c:valAx>
      <c:valAx>
        <c:axId val="169267584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252736"/>
        <c:crosses val="autoZero"/>
        <c:crossBetween val="midCat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  <xdr:twoCellAnchor>
    <xdr:from>
      <xdr:col>7</xdr:col>
      <xdr:colOff>752474</xdr:colOff>
      <xdr:row>98</xdr:row>
      <xdr:rowOff>33336</xdr:rowOff>
    </xdr:from>
    <xdr:to>
      <xdr:col>15</xdr:col>
      <xdr:colOff>9525</xdr:colOff>
      <xdr:row>121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733424</xdr:colOff>
      <xdr:row>73</xdr:row>
      <xdr:rowOff>180975</xdr:rowOff>
    </xdr:from>
    <xdr:to>
      <xdr:col>14</xdr:col>
      <xdr:colOff>609599</xdr:colOff>
      <xdr:row>96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73</xdr:row>
      <xdr:rowOff>171450</xdr:rowOff>
    </xdr:from>
    <xdr:to>
      <xdr:col>27</xdr:col>
      <xdr:colOff>371475</xdr:colOff>
      <xdr:row>96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98</xdr:row>
      <xdr:rowOff>0</xdr:rowOff>
    </xdr:from>
    <xdr:to>
      <xdr:col>27</xdr:col>
      <xdr:colOff>371476</xdr:colOff>
      <xdr:row>121</xdr:row>
      <xdr:rowOff>138114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5</xdr:col>
      <xdr:colOff>2076450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85750"/>
          <a:ext cx="7715250" cy="1991313"/>
        </a:xfrm>
        <a:prstGeom prst="rect">
          <a:avLst/>
        </a:prstGeom>
      </xdr:spPr>
    </xdr:pic>
    <xdr:clientData/>
  </xdr:twoCellAnchor>
  <xdr:twoCellAnchor>
    <xdr:from>
      <xdr:col>10</xdr:col>
      <xdr:colOff>752474</xdr:colOff>
      <xdr:row>105</xdr:row>
      <xdr:rowOff>33336</xdr:rowOff>
    </xdr:from>
    <xdr:to>
      <xdr:col>19</xdr:col>
      <xdr:colOff>409575</xdr:colOff>
      <xdr:row>136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733424</xdr:colOff>
      <xdr:row>80</xdr:row>
      <xdr:rowOff>180975</xdr:rowOff>
    </xdr:from>
    <xdr:to>
      <xdr:col>17</xdr:col>
      <xdr:colOff>609599</xdr:colOff>
      <xdr:row>103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80</xdr:row>
      <xdr:rowOff>171450</xdr:rowOff>
    </xdr:from>
    <xdr:to>
      <xdr:col>30</xdr:col>
      <xdr:colOff>371475</xdr:colOff>
      <xdr:row>103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105</xdr:row>
      <xdr:rowOff>0</xdr:rowOff>
    </xdr:from>
    <xdr:to>
      <xdr:col>30</xdr:col>
      <xdr:colOff>371476</xdr:colOff>
      <xdr:row>128</xdr:row>
      <xdr:rowOff>138114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790575</xdr:colOff>
      <xdr:row>140</xdr:row>
      <xdr:rowOff>114300</xdr:rowOff>
    </xdr:from>
    <xdr:to>
      <xdr:col>19</xdr:col>
      <xdr:colOff>447676</xdr:colOff>
      <xdr:row>172</xdr:row>
      <xdr:rowOff>61914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828675</xdr:colOff>
      <xdr:row>174</xdr:row>
      <xdr:rowOff>57150</xdr:rowOff>
    </xdr:from>
    <xdr:to>
      <xdr:col>19</xdr:col>
      <xdr:colOff>485776</xdr:colOff>
      <xdr:row>206</xdr:row>
      <xdr:rowOff>4764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0.84088</cdr:x>
      <cdr:y>0.6383</cdr:y>
    </cdr:from>
    <cdr:to>
      <cdr:x>0.94415</cdr:x>
      <cdr:y>0.78014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949" y="3857625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Beckett Spec</a:t>
          </a:r>
        </a:p>
        <a:p xmlns:a="http://schemas.openxmlformats.org/drawingml/2006/main">
          <a:r>
            <a:rPr lang="en-US" sz="1100"/>
            <a:t>3000 Cycles</a:t>
          </a:r>
        </a:p>
        <a:p xmlns:a="http://schemas.openxmlformats.org/drawingml/2006/main">
          <a:r>
            <a:rPr lang="en-US" sz="1100"/>
            <a:t>80%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0.8444</cdr:x>
      <cdr:y>0.46231</cdr:y>
    </cdr:from>
    <cdr:to>
      <cdr:x>0.94766</cdr:x>
      <cdr:y>0.60415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32700" y="2794000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Marty Est</a:t>
          </a:r>
        </a:p>
        <a:p xmlns:a="http://schemas.openxmlformats.org/drawingml/2006/main">
          <a:r>
            <a:rPr lang="en-US" sz="1100"/>
            <a:t>7500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0.84229</cdr:x>
      <cdr:y>0.30785</cdr:y>
    </cdr:from>
    <cdr:to>
      <cdr:x>0.94556</cdr:x>
      <cdr:y>0.45548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13650" y="1860549"/>
          <a:ext cx="933451" cy="892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Boston Pwr</a:t>
          </a:r>
        </a:p>
        <a:p xmlns:a="http://schemas.openxmlformats.org/drawingml/2006/main">
          <a:r>
            <a:rPr lang="en-US" sz="1100"/>
            <a:t>10000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  <cdr:relSizeAnchor xmlns:cdr="http://schemas.openxmlformats.org/drawingml/2006/chartDrawing">
    <cdr:from>
      <cdr:x>0.84124</cdr:x>
      <cdr:y>0.09982</cdr:y>
    </cdr:from>
    <cdr:to>
      <cdr:x>0.9445</cdr:x>
      <cdr:y>0.25532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604125" y="603250"/>
          <a:ext cx="933451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Extrapolation</a:t>
          </a:r>
        </a:p>
        <a:p xmlns:a="http://schemas.openxmlformats.org/drawingml/2006/main">
          <a:r>
            <a:rPr lang="en-US" sz="1100"/>
            <a:t>15000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70%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0.84721</cdr:x>
      <cdr:y>0.67297</cdr:y>
    </cdr:from>
    <cdr:to>
      <cdr:x>0.94731</cdr:x>
      <cdr:y>0.77541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58100" y="4067175"/>
          <a:ext cx="90487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Perkins</a:t>
          </a:r>
          <a:r>
            <a:rPr lang="en-US" sz="1100" baseline="0"/>
            <a:t> Spec</a:t>
          </a:r>
        </a:p>
        <a:p xmlns:a="http://schemas.openxmlformats.org/drawingml/2006/main">
          <a:r>
            <a:rPr lang="en-US" sz="1100" baseline="0"/>
            <a:t>15,000 hrs</a:t>
          </a:r>
        </a:p>
        <a:p xmlns:a="http://schemas.openxmlformats.org/drawingml/2006/main">
          <a:r>
            <a:rPr lang="en-US" sz="1100" baseline="0"/>
            <a:t>70% load</a:t>
          </a:r>
          <a:endParaRPr lang="en-US" sz="1100"/>
        </a:p>
      </cdr:txBody>
    </cdr:sp>
  </cdr:relSizeAnchor>
  <cdr:relSizeAnchor xmlns:cdr="http://schemas.openxmlformats.org/drawingml/2006/chartDrawing">
    <cdr:from>
      <cdr:x>0.84615</cdr:x>
      <cdr:y>0.62727</cdr:y>
    </cdr:from>
    <cdr:to>
      <cdr:x>0.94626</cdr:x>
      <cdr:y>0.66982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48575" y="3790950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20,000 hrs</a:t>
          </a:r>
        </a:p>
      </cdr:txBody>
    </cdr:sp>
  </cdr:relSizeAnchor>
  <cdr:relSizeAnchor xmlns:cdr="http://schemas.openxmlformats.org/drawingml/2006/chartDrawing">
    <cdr:from>
      <cdr:x>0.84861</cdr:x>
      <cdr:y>0.56475</cdr:y>
    </cdr:from>
    <cdr:to>
      <cdr:x>0.94872</cdr:x>
      <cdr:y>0.6073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70800" y="3413125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25,000 hrs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89130</xdr:colOff>
      <xdr:row>25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337655" cy="4467225"/>
        </a:xfrm>
        <a:prstGeom prst="rect">
          <a:avLst/>
        </a:prstGeom>
      </xdr:spPr>
    </xdr:pic>
    <xdr:clientData/>
  </xdr:twoCellAnchor>
  <xdr:twoCellAnchor>
    <xdr:from>
      <xdr:col>14</xdr:col>
      <xdr:colOff>333374</xdr:colOff>
      <xdr:row>6</xdr:row>
      <xdr:rowOff>23811</xdr:rowOff>
    </xdr:from>
    <xdr:to>
      <xdr:col>27</xdr:col>
      <xdr:colOff>95249</xdr:colOff>
      <xdr:row>30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0.41884</cdr:x>
      <cdr:y>0.29916</cdr:y>
    </cdr:from>
    <cdr:to>
      <cdr:x>0.56134</cdr:x>
      <cdr:y>0.38863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1" y="1528764"/>
          <a:ext cx="10953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All these lines are 50% DOD</a:t>
          </a:r>
        </a:p>
      </cdr:txBody>
    </cdr:sp>
  </cdr:relSizeAnchor>
  <cdr:relSizeAnchor xmlns:cdr="http://schemas.openxmlformats.org/drawingml/2006/chartDrawing">
    <cdr:from>
      <cdr:x>0.15366</cdr:x>
      <cdr:y>0.47709</cdr:y>
    </cdr:from>
    <cdr:to>
      <cdr:x>0.33457</cdr:x>
      <cdr:y>0.57053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1101" y="2528889"/>
          <a:ext cx="13906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Beckett Spec</a:t>
          </a:r>
        </a:p>
        <a:p xmlns:a="http://schemas.openxmlformats.org/drawingml/2006/main">
          <a:r>
            <a:rPr lang="en-US" sz="1100"/>
            <a:t>80% DOD, 80% EOL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K21" sqref="K21"/>
    </sheetView>
  </sheetViews>
  <sheetFormatPr defaultRowHeight="15" x14ac:dyDescent="0.25"/>
  <cols>
    <col min="2" max="2" width="16.5703125" bestFit="1" customWidth="1"/>
    <col min="7" max="7" width="28" customWidth="1"/>
    <col min="10" max="10" width="8.42578125" bestFit="1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27</v>
      </c>
      <c r="C11">
        <v>3.2</v>
      </c>
      <c r="D11" t="s">
        <v>6</v>
      </c>
      <c r="G11" t="s">
        <v>45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28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24</v>
      </c>
      <c r="M14" t="s">
        <v>10</v>
      </c>
      <c r="N14">
        <f>H14*Format_Series_Stack</f>
        <v>261.8</v>
      </c>
      <c r="O14" t="s">
        <v>6</v>
      </c>
      <c r="P14">
        <v>260</v>
      </c>
      <c r="Q14" t="s">
        <v>6</v>
      </c>
      <c r="R14" t="s">
        <v>36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25</v>
      </c>
      <c r="M15" t="s">
        <v>11</v>
      </c>
      <c r="N15">
        <f>H15*Format_Series_Stack</f>
        <v>296.45</v>
      </c>
      <c r="O15" t="s">
        <v>6</v>
      </c>
      <c r="P15">
        <v>296</v>
      </c>
      <c r="Q15" t="s">
        <v>6</v>
      </c>
      <c r="R15" t="s">
        <v>37</v>
      </c>
    </row>
    <row r="16" spans="1:18" x14ac:dyDescent="0.25">
      <c r="R16" t="s">
        <v>38</v>
      </c>
    </row>
    <row r="17" spans="1:16" x14ac:dyDescent="0.25">
      <c r="G17" t="s">
        <v>81</v>
      </c>
      <c r="H17">
        <f>Format_Series*Format_Parallel*Nominal_Energy</f>
        <v>945.7</v>
      </c>
      <c r="I17" t="s">
        <v>4</v>
      </c>
      <c r="J17" t="s">
        <v>26</v>
      </c>
      <c r="M17" t="s">
        <v>79</v>
      </c>
      <c r="N17">
        <f>H17*Format_Series_Stack</f>
        <v>10402.700000000001</v>
      </c>
      <c r="O17" t="s">
        <v>4</v>
      </c>
      <c r="P17" t="s">
        <v>23</v>
      </c>
    </row>
    <row r="19" spans="1:16" x14ac:dyDescent="0.25">
      <c r="G19" t="s">
        <v>29</v>
      </c>
      <c r="H19">
        <f>Nominal_Capacity_Module/2</f>
        <v>21.2</v>
      </c>
      <c r="I19" t="s">
        <v>8</v>
      </c>
    </row>
    <row r="20" spans="1:16" x14ac:dyDescent="0.25">
      <c r="G20" t="s">
        <v>30</v>
      </c>
      <c r="H20">
        <v>25</v>
      </c>
      <c r="I20" t="s">
        <v>8</v>
      </c>
      <c r="J20">
        <f>(P15+P14)/2*H20</f>
        <v>6950</v>
      </c>
      <c r="K20" t="s">
        <v>168</v>
      </c>
    </row>
    <row r="21" spans="1:16" x14ac:dyDescent="0.25">
      <c r="G21" t="s">
        <v>31</v>
      </c>
      <c r="H21">
        <v>50</v>
      </c>
      <c r="I21" t="s">
        <v>8</v>
      </c>
    </row>
    <row r="27" spans="1:16" x14ac:dyDescent="0.25">
      <c r="A27" t="s">
        <v>32</v>
      </c>
    </row>
    <row r="28" spans="1:16" x14ac:dyDescent="0.25">
      <c r="B28" t="s">
        <v>33</v>
      </c>
      <c r="C28">
        <v>24.4</v>
      </c>
      <c r="D28" t="s">
        <v>8</v>
      </c>
    </row>
    <row r="29" spans="1:16" x14ac:dyDescent="0.25">
      <c r="B29" t="s">
        <v>34</v>
      </c>
      <c r="C29" t="s">
        <v>35</v>
      </c>
      <c r="D29" t="s">
        <v>34</v>
      </c>
    </row>
    <row r="30" spans="1:16" x14ac:dyDescent="0.25">
      <c r="B30" t="s">
        <v>39</v>
      </c>
      <c r="C30">
        <f>220 * 2/SQRT(2)</f>
        <v>311.12698372208087</v>
      </c>
      <c r="D30" t="s">
        <v>34</v>
      </c>
    </row>
    <row r="31" spans="1:16" x14ac:dyDescent="0.25">
      <c r="B31" t="s">
        <v>40</v>
      </c>
      <c r="C31">
        <f>240*2/SQRT(2)</f>
        <v>339.41125496954277</v>
      </c>
      <c r="D31" t="s">
        <v>34</v>
      </c>
    </row>
    <row r="35" spans="2:2" x14ac:dyDescent="0.25">
      <c r="B35" t="s">
        <v>41</v>
      </c>
    </row>
    <row r="36" spans="2:2" x14ac:dyDescent="0.25">
      <c r="B36" t="s">
        <v>42</v>
      </c>
    </row>
    <row r="37" spans="2:2" x14ac:dyDescent="0.25">
      <c r="B37" t="s">
        <v>43</v>
      </c>
    </row>
    <row r="38" spans="2:2" x14ac:dyDescent="0.25">
      <c r="B3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9"/>
  <sheetViews>
    <sheetView workbookViewId="0">
      <selection activeCell="G42" sqref="G42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8" width="17.7109375" customWidth="1"/>
    <col min="9" max="14" width="15.7109375" customWidth="1"/>
  </cols>
  <sheetData>
    <row r="1" spans="2:8" x14ac:dyDescent="0.25">
      <c r="B1" t="s">
        <v>46</v>
      </c>
    </row>
    <row r="13" spans="2:8" x14ac:dyDescent="0.25">
      <c r="H13" s="55" t="s">
        <v>188</v>
      </c>
    </row>
    <row r="14" spans="2:8" ht="30" x14ac:dyDescent="0.25">
      <c r="C14" s="1" t="s">
        <v>80</v>
      </c>
      <c r="D14" s="3">
        <v>1</v>
      </c>
      <c r="F14" s="1" t="s">
        <v>110</v>
      </c>
      <c r="G14">
        <v>20000</v>
      </c>
    </row>
    <row r="15" spans="2:8" x14ac:dyDescent="0.25">
      <c r="C15" t="s">
        <v>82</v>
      </c>
      <c r="D15">
        <v>11</v>
      </c>
      <c r="F15" t="s">
        <v>111</v>
      </c>
      <c r="G15">
        <f>365*24</f>
        <v>8760</v>
      </c>
    </row>
    <row r="16" spans="2:8" ht="30" x14ac:dyDescent="0.25">
      <c r="C16" s="1" t="s">
        <v>83</v>
      </c>
      <c r="D16">
        <f>D15*D14</f>
        <v>11</v>
      </c>
      <c r="F16" s="1" t="s">
        <v>122</v>
      </c>
      <c r="G16">
        <v>1000</v>
      </c>
    </row>
    <row r="17" spans="2:8" x14ac:dyDescent="0.25">
      <c r="C17" s="1" t="s">
        <v>169</v>
      </c>
      <c r="D17" s="2">
        <v>0.8</v>
      </c>
      <c r="F17" s="1"/>
    </row>
    <row r="18" spans="2:8" x14ac:dyDescent="0.25">
      <c r="C18" s="1" t="s">
        <v>170</v>
      </c>
      <c r="D18" s="2">
        <f>(1+D17)/2</f>
        <v>0.9</v>
      </c>
      <c r="F18" s="1"/>
    </row>
    <row r="19" spans="2:8" x14ac:dyDescent="0.25">
      <c r="C19" s="1" t="s">
        <v>87</v>
      </c>
      <c r="D19" s="2">
        <v>0.63</v>
      </c>
      <c r="H19" t="s">
        <v>189</v>
      </c>
    </row>
    <row r="20" spans="2:8" x14ac:dyDescent="0.25">
      <c r="C20" t="s">
        <v>88</v>
      </c>
      <c r="D20">
        <f>D19*Batt_bank_energy__kWh*Avg_bank_energy_over_lifetime</f>
        <v>6.2370000000000001</v>
      </c>
      <c r="F20" s="1" t="s">
        <v>160</v>
      </c>
      <c r="G20">
        <v>0.38</v>
      </c>
    </row>
    <row r="21" spans="2:8" x14ac:dyDescent="0.25">
      <c r="C21" t="s">
        <v>117</v>
      </c>
      <c r="D21">
        <v>3000</v>
      </c>
      <c r="F21" t="s">
        <v>161</v>
      </c>
      <c r="G21">
        <v>1000</v>
      </c>
    </row>
    <row r="22" spans="2:8" ht="30" x14ac:dyDescent="0.25">
      <c r="C22" s="1" t="s">
        <v>171</v>
      </c>
      <c r="D22">
        <v>10000</v>
      </c>
      <c r="F22" s="1" t="s">
        <v>162</v>
      </c>
      <c r="G22" s="25">
        <v>1</v>
      </c>
    </row>
    <row r="23" spans="2:8" x14ac:dyDescent="0.25">
      <c r="C23" s="1"/>
      <c r="D23" s="19"/>
    </row>
    <row r="24" spans="2:8" x14ac:dyDescent="0.25">
      <c r="C24" s="1"/>
    </row>
    <row r="25" spans="2:8" x14ac:dyDescent="0.25">
      <c r="C25" s="1"/>
    </row>
    <row r="27" spans="2:8" x14ac:dyDescent="0.25">
      <c r="C27" t="s">
        <v>63</v>
      </c>
      <c r="E27" s="4" t="s">
        <v>47</v>
      </c>
      <c r="F27" s="4" t="s">
        <v>48</v>
      </c>
      <c r="G27" s="32" t="s">
        <v>48</v>
      </c>
    </row>
    <row r="28" spans="2:8" ht="45" x14ac:dyDescent="0.25">
      <c r="F28" s="1" t="s">
        <v>89</v>
      </c>
      <c r="G28" s="33" t="s">
        <v>90</v>
      </c>
    </row>
    <row r="29" spans="2:8" x14ac:dyDescent="0.25">
      <c r="B29" s="4" t="s">
        <v>8</v>
      </c>
      <c r="C29" t="s">
        <v>49</v>
      </c>
      <c r="E29" s="4">
        <v>10.3</v>
      </c>
      <c r="F29" s="4">
        <v>15.3</v>
      </c>
      <c r="G29" s="32">
        <v>15.3</v>
      </c>
    </row>
    <row r="30" spans="2:8" x14ac:dyDescent="0.25">
      <c r="B30" s="4"/>
      <c r="C30" t="s">
        <v>52</v>
      </c>
      <c r="E30" s="5">
        <v>0.7</v>
      </c>
      <c r="F30" s="5">
        <v>0.7</v>
      </c>
      <c r="G30" s="34">
        <v>0.59</v>
      </c>
    </row>
    <row r="31" spans="2:8" x14ac:dyDescent="0.25">
      <c r="B31" s="4" t="s">
        <v>50</v>
      </c>
      <c r="C31" t="s">
        <v>51</v>
      </c>
      <c r="E31" s="6">
        <f>E29*E30</f>
        <v>7.21</v>
      </c>
      <c r="F31" s="6">
        <f>F29*F30</f>
        <v>10.709999999999999</v>
      </c>
      <c r="G31" s="35">
        <f>G29*G30</f>
        <v>9.0269999999999992</v>
      </c>
    </row>
    <row r="32" spans="2:8" x14ac:dyDescent="0.25">
      <c r="B32" s="4"/>
      <c r="C32" t="s">
        <v>53</v>
      </c>
      <c r="E32" s="5">
        <v>0.88</v>
      </c>
      <c r="F32" s="5">
        <v>0.88</v>
      </c>
      <c r="G32" s="34">
        <v>0.88</v>
      </c>
    </row>
    <row r="33" spans="2:14" x14ac:dyDescent="0.25">
      <c r="B33" s="4" t="s">
        <v>54</v>
      </c>
      <c r="C33" t="s">
        <v>55</v>
      </c>
      <c r="E33" s="6">
        <f>E32*E31</f>
        <v>6.3448000000000002</v>
      </c>
      <c r="F33" s="6">
        <f>F32*F31</f>
        <v>9.4247999999999994</v>
      </c>
      <c r="G33" s="35">
        <f>G32*G31</f>
        <v>7.9437599999999993</v>
      </c>
    </row>
    <row r="34" spans="2:14" x14ac:dyDescent="0.25">
      <c r="B34" s="4"/>
      <c r="C34" t="s">
        <v>56</v>
      </c>
      <c r="E34" s="5">
        <v>0.94</v>
      </c>
      <c r="F34" s="5">
        <v>0.94</v>
      </c>
      <c r="G34" s="34">
        <v>0.94</v>
      </c>
    </row>
    <row r="35" spans="2:14" x14ac:dyDescent="0.25">
      <c r="B35" s="4" t="s">
        <v>57</v>
      </c>
      <c r="C35" t="s">
        <v>58</v>
      </c>
      <c r="E35" s="9">
        <f>E34*E33</f>
        <v>5.9641120000000001</v>
      </c>
      <c r="F35" s="6">
        <f>F34*F33</f>
        <v>8.8593119999999992</v>
      </c>
      <c r="G35" s="35">
        <f>G34*G33</f>
        <v>7.4671343999999991</v>
      </c>
    </row>
    <row r="36" spans="2:14" x14ac:dyDescent="0.25">
      <c r="B36" s="4" t="s">
        <v>57</v>
      </c>
      <c r="C36" t="s">
        <v>59</v>
      </c>
      <c r="E36" s="4">
        <v>7.5</v>
      </c>
      <c r="F36" s="9">
        <f>F35</f>
        <v>8.8593119999999992</v>
      </c>
      <c r="G36" s="10">
        <v>7.75</v>
      </c>
      <c r="H36" t="s">
        <v>190</v>
      </c>
    </row>
    <row r="37" spans="2:14" x14ac:dyDescent="0.25">
      <c r="B37" s="4"/>
      <c r="C37" t="s">
        <v>60</v>
      </c>
      <c r="E37" s="5">
        <v>0.99</v>
      </c>
      <c r="F37" s="5">
        <v>0.99</v>
      </c>
      <c r="G37" s="34">
        <v>0.99</v>
      </c>
    </row>
    <row r="38" spans="2:14" x14ac:dyDescent="0.25">
      <c r="B38" s="4" t="s">
        <v>61</v>
      </c>
      <c r="C38" t="s">
        <v>62</v>
      </c>
      <c r="E38" s="6">
        <f>E37*E35</f>
        <v>5.9044708799999999</v>
      </c>
      <c r="F38" s="6">
        <f>F37*F36</f>
        <v>8.7707188799999987</v>
      </c>
      <c r="G38" s="35">
        <f>G37*G36</f>
        <v>7.6725000000000003</v>
      </c>
    </row>
    <row r="39" spans="2:14" x14ac:dyDescent="0.25">
      <c r="B39" s="4"/>
      <c r="C39" t="s">
        <v>64</v>
      </c>
      <c r="E39" s="5">
        <v>0.95</v>
      </c>
      <c r="F39" s="5">
        <v>0.95</v>
      </c>
      <c r="G39" s="34">
        <v>0.93799999999999994</v>
      </c>
      <c r="H39" t="s">
        <v>191</v>
      </c>
    </row>
    <row r="40" spans="2:14" x14ac:dyDescent="0.25">
      <c r="B40" s="4" t="s">
        <v>65</v>
      </c>
      <c r="C40" t="s">
        <v>66</v>
      </c>
      <c r="E40" s="6">
        <f>E39*E38</f>
        <v>5.6092473359999993</v>
      </c>
      <c r="F40" s="6">
        <f>F39*F38</f>
        <v>8.3321829359999988</v>
      </c>
      <c r="G40" s="35">
        <f>G39*G38</f>
        <v>7.1968049999999995</v>
      </c>
    </row>
    <row r="41" spans="2:14" x14ac:dyDescent="0.25">
      <c r="B41" s="4" t="s">
        <v>71</v>
      </c>
      <c r="C41" t="s">
        <v>72</v>
      </c>
      <c r="E41" s="4">
        <v>0.5</v>
      </c>
      <c r="F41" s="4">
        <v>0.5</v>
      </c>
      <c r="G41" s="32">
        <v>0.5</v>
      </c>
    </row>
    <row r="42" spans="2:14" x14ac:dyDescent="0.25">
      <c r="B42" s="4"/>
      <c r="C42" t="s">
        <v>73</v>
      </c>
      <c r="E42" s="5">
        <f>E39</f>
        <v>0.95</v>
      </c>
      <c r="F42" s="5">
        <f>F39</f>
        <v>0.95</v>
      </c>
      <c r="G42" s="34">
        <f>G39</f>
        <v>0.93799999999999994</v>
      </c>
    </row>
    <row r="43" spans="2:14" x14ac:dyDescent="0.25">
      <c r="B43" s="4" t="s">
        <v>67</v>
      </c>
      <c r="C43" t="s">
        <v>68</v>
      </c>
      <c r="E43" s="7">
        <f>E41/E42</f>
        <v>0.52631578947368418</v>
      </c>
      <c r="F43" s="7">
        <f>F41/F42</f>
        <v>0.52631578947368418</v>
      </c>
      <c r="G43" s="36">
        <f>G41/G42</f>
        <v>0.53304904051172708</v>
      </c>
    </row>
    <row r="44" spans="2:14" x14ac:dyDescent="0.25">
      <c r="B44" s="4" t="s">
        <v>69</v>
      </c>
      <c r="C44" t="s">
        <v>70</v>
      </c>
      <c r="E44" s="8">
        <f>E40-E43</f>
        <v>5.0829315465263152</v>
      </c>
      <c r="F44" s="8">
        <f>F40-F43</f>
        <v>7.8058671465263147</v>
      </c>
      <c r="G44" s="37">
        <f>G40-G43</f>
        <v>6.663755959488272</v>
      </c>
    </row>
    <row r="45" spans="2:14" ht="45" x14ac:dyDescent="0.25">
      <c r="B45" s="4"/>
      <c r="E45" s="8"/>
      <c r="F45" s="8"/>
      <c r="G45" s="8"/>
      <c r="H45" s="8"/>
      <c r="I45" s="1" t="s">
        <v>85</v>
      </c>
      <c r="J45" s="27" t="s">
        <v>164</v>
      </c>
      <c r="K45" s="27" t="s">
        <v>165</v>
      </c>
      <c r="L45" s="27" t="s">
        <v>163</v>
      </c>
      <c r="M45" s="27" t="s">
        <v>166</v>
      </c>
      <c r="N45" s="27" t="s">
        <v>182</v>
      </c>
    </row>
    <row r="46" spans="2:14" x14ac:dyDescent="0.25">
      <c r="B46" s="4"/>
      <c r="C46" t="s">
        <v>127</v>
      </c>
      <c r="E46" s="8"/>
      <c r="F46" s="8"/>
      <c r="G46" s="8"/>
      <c r="H46" s="11"/>
      <c r="I46" s="4">
        <v>0</v>
      </c>
      <c r="J46" s="26">
        <f t="shared" ref="J46:J53" si="0">$I46*24*30.5*SFC__l_kWh*Diesel_cost____l</f>
        <v>0</v>
      </c>
      <c r="M46" s="4"/>
      <c r="N46">
        <f t="shared" ref="N46:N53" si="1">I46*24*SFC__l_kWh</f>
        <v>0</v>
      </c>
    </row>
    <row r="47" spans="2:14" ht="30" x14ac:dyDescent="0.25">
      <c r="B47" s="4"/>
      <c r="C47" s="1" t="s">
        <v>78</v>
      </c>
      <c r="D47" s="1" t="s">
        <v>85</v>
      </c>
      <c r="E47" s="8"/>
      <c r="F47" s="8"/>
      <c r="G47" s="8"/>
      <c r="H47" s="11"/>
      <c r="I47" s="29">
        <v>0.5</v>
      </c>
      <c r="J47" s="28">
        <f t="shared" si="0"/>
        <v>139.08000000000001</v>
      </c>
      <c r="K47" s="30">
        <f t="shared" ref="K47:K53" si="2">Fuel_Tank_Capacity__l/($I47*24*SFC__l_kWh)</f>
        <v>219.29824561403507</v>
      </c>
      <c r="L47" s="30">
        <f t="shared" ref="L47:L53" si="3">K47/4</f>
        <v>54.824561403508767</v>
      </c>
      <c r="M47" s="24">
        <f t="shared" ref="M47:M53" si="4">G123</f>
        <v>589.26403335894395</v>
      </c>
      <c r="N47">
        <f t="shared" si="1"/>
        <v>4.5600000000000005</v>
      </c>
    </row>
    <row r="48" spans="2:14" x14ac:dyDescent="0.25">
      <c r="B48" s="4" t="s">
        <v>84</v>
      </c>
      <c r="C48" t="s">
        <v>86</v>
      </c>
      <c r="D48" s="4">
        <v>0</v>
      </c>
      <c r="E48" s="11">
        <f t="shared" ref="E48:G55" si="5">E$38-($D48+E$43)/E$39</f>
        <v>5.3504542595013849</v>
      </c>
      <c r="F48" s="11">
        <f t="shared" si="5"/>
        <v>8.2167022595013837</v>
      </c>
      <c r="G48" s="13">
        <f t="shared" si="5"/>
        <v>7.1042174408190544</v>
      </c>
      <c r="H48" s="11"/>
      <c r="I48" s="29">
        <v>1</v>
      </c>
      <c r="J48" s="28">
        <f t="shared" si="0"/>
        <v>278.16000000000003</v>
      </c>
      <c r="K48" s="30">
        <f t="shared" si="2"/>
        <v>109.64912280701753</v>
      </c>
      <c r="L48" s="30">
        <f t="shared" si="3"/>
        <v>27.412280701754383</v>
      </c>
      <c r="M48" s="24">
        <f t="shared" si="4"/>
        <v>293.25497332481672</v>
      </c>
      <c r="N48">
        <f t="shared" si="1"/>
        <v>9.120000000000001</v>
      </c>
    </row>
    <row r="49" spans="2:14" x14ac:dyDescent="0.25">
      <c r="B49" s="4"/>
      <c r="C49" t="s">
        <v>86</v>
      </c>
      <c r="D49" s="4">
        <v>0.5</v>
      </c>
      <c r="E49" s="11">
        <f t="shared" si="5"/>
        <v>4.8241384700277008</v>
      </c>
      <c r="F49" s="11">
        <f t="shared" si="5"/>
        <v>7.6903864700276996</v>
      </c>
      <c r="G49" s="11">
        <f t="shared" si="5"/>
        <v>6.5711684003073279</v>
      </c>
      <c r="H49" s="11"/>
      <c r="I49" s="4">
        <v>2</v>
      </c>
      <c r="J49" s="26">
        <f t="shared" si="0"/>
        <v>556.32000000000005</v>
      </c>
      <c r="K49" s="3">
        <f t="shared" si="2"/>
        <v>54.824561403508767</v>
      </c>
      <c r="L49" s="3">
        <f t="shared" si="3"/>
        <v>13.706140350877192</v>
      </c>
      <c r="M49" s="7">
        <f t="shared" si="4"/>
        <v>145.25044330775305</v>
      </c>
      <c r="N49">
        <f t="shared" si="1"/>
        <v>18.240000000000002</v>
      </c>
    </row>
    <row r="50" spans="2:14" x14ac:dyDescent="0.25">
      <c r="B50" s="4"/>
      <c r="C50" t="s">
        <v>86</v>
      </c>
      <c r="D50" s="4">
        <v>1</v>
      </c>
      <c r="E50" s="11">
        <f t="shared" si="5"/>
        <v>4.2978226805540167</v>
      </c>
      <c r="F50" s="11">
        <f t="shared" si="5"/>
        <v>7.1640706805540155</v>
      </c>
      <c r="G50" s="11">
        <f t="shared" si="5"/>
        <v>6.0381193597956004</v>
      </c>
      <c r="H50" s="11"/>
      <c r="I50" s="4">
        <v>3</v>
      </c>
      <c r="J50" s="26">
        <f t="shared" si="0"/>
        <v>834.48</v>
      </c>
      <c r="K50" s="3">
        <f t="shared" si="2"/>
        <v>36.549707602339183</v>
      </c>
      <c r="L50" s="3">
        <f t="shared" si="3"/>
        <v>9.1374269005847957</v>
      </c>
      <c r="M50" s="7">
        <f t="shared" si="4"/>
        <v>95.91559996873184</v>
      </c>
      <c r="N50">
        <f t="shared" si="1"/>
        <v>27.36</v>
      </c>
    </row>
    <row r="51" spans="2:14" x14ac:dyDescent="0.25">
      <c r="B51" s="4"/>
      <c r="C51" t="s">
        <v>86</v>
      </c>
      <c r="D51" s="4">
        <v>2</v>
      </c>
      <c r="E51" s="11">
        <f t="shared" si="5"/>
        <v>3.2451911016066481</v>
      </c>
      <c r="F51" s="11">
        <f t="shared" si="5"/>
        <v>6.1114391016066474</v>
      </c>
      <c r="G51" s="11">
        <f t="shared" si="5"/>
        <v>4.9720212787721465</v>
      </c>
      <c r="H51" s="11"/>
      <c r="I51" s="4">
        <v>4</v>
      </c>
      <c r="J51" s="26">
        <f t="shared" si="0"/>
        <v>1112.6400000000001</v>
      </c>
      <c r="K51" s="3">
        <f t="shared" si="2"/>
        <v>27.412280701754383</v>
      </c>
      <c r="L51" s="3">
        <f t="shared" si="3"/>
        <v>6.8530701754385959</v>
      </c>
      <c r="M51" s="7">
        <f t="shared" si="4"/>
        <v>71.248178299221237</v>
      </c>
      <c r="N51">
        <f t="shared" si="1"/>
        <v>36.480000000000004</v>
      </c>
    </row>
    <row r="52" spans="2:14" x14ac:dyDescent="0.25">
      <c r="B52" s="4"/>
      <c r="C52" t="s">
        <v>86</v>
      </c>
      <c r="D52" s="4">
        <v>3</v>
      </c>
      <c r="E52" s="11">
        <f t="shared" si="5"/>
        <v>2.1925595226592796</v>
      </c>
      <c r="F52" s="11">
        <f t="shared" si="5"/>
        <v>5.0588075226592784</v>
      </c>
      <c r="G52" s="11">
        <f t="shared" si="5"/>
        <v>3.9059231977486921</v>
      </c>
      <c r="H52" s="11"/>
      <c r="I52" s="4">
        <v>5</v>
      </c>
      <c r="J52" s="26">
        <f t="shared" si="0"/>
        <v>1390.8</v>
      </c>
      <c r="K52" s="3">
        <f t="shared" si="2"/>
        <v>21.929824561403507</v>
      </c>
      <c r="L52" s="3">
        <f t="shared" si="3"/>
        <v>5.4824561403508767</v>
      </c>
      <c r="M52" s="7">
        <f t="shared" si="4"/>
        <v>56.447725297514857</v>
      </c>
      <c r="N52">
        <f t="shared" si="1"/>
        <v>45.6</v>
      </c>
    </row>
    <row r="53" spans="2:14" x14ac:dyDescent="0.25">
      <c r="B53" s="4"/>
      <c r="C53" t="s">
        <v>86</v>
      </c>
      <c r="D53" s="4">
        <v>4</v>
      </c>
      <c r="E53" s="11">
        <f t="shared" si="5"/>
        <v>1.1399279437119114</v>
      </c>
      <c r="F53" s="11">
        <f t="shared" si="5"/>
        <v>4.0061759437119102</v>
      </c>
      <c r="G53" s="11">
        <f t="shared" si="5"/>
        <v>2.8398251167252377</v>
      </c>
      <c r="H53" s="11"/>
      <c r="I53" s="4">
        <v>6</v>
      </c>
      <c r="J53" s="26">
        <f t="shared" si="0"/>
        <v>1668.96</v>
      </c>
      <c r="K53" s="3">
        <f t="shared" si="2"/>
        <v>18.274853801169591</v>
      </c>
      <c r="L53" s="3">
        <f t="shared" si="3"/>
        <v>4.5687134502923978</v>
      </c>
      <c r="M53" s="7">
        <f t="shared" si="4"/>
        <v>46.580756629710613</v>
      </c>
      <c r="N53">
        <f t="shared" si="1"/>
        <v>54.72</v>
      </c>
    </row>
    <row r="54" spans="2:14" x14ac:dyDescent="0.25">
      <c r="B54" s="4"/>
      <c r="C54" t="s">
        <v>86</v>
      </c>
      <c r="D54" s="4">
        <v>5</v>
      </c>
      <c r="E54" s="11">
        <f t="shared" si="5"/>
        <v>8.7296364764542389E-2</v>
      </c>
      <c r="F54" s="11">
        <f t="shared" si="5"/>
        <v>2.9535443647645412</v>
      </c>
      <c r="G54" s="11">
        <f t="shared" si="5"/>
        <v>1.7737270357017829</v>
      </c>
    </row>
    <row r="55" spans="2:14" x14ac:dyDescent="0.25">
      <c r="B55" s="4"/>
      <c r="C55" t="s">
        <v>86</v>
      </c>
      <c r="D55" s="4">
        <v>6</v>
      </c>
      <c r="E55" s="22">
        <f t="shared" si="5"/>
        <v>-0.96533521418282575</v>
      </c>
      <c r="F55" s="11">
        <f t="shared" si="5"/>
        <v>1.900912785817173</v>
      </c>
      <c r="G55" s="11">
        <f t="shared" si="5"/>
        <v>0.70762895467832898</v>
      </c>
    </row>
    <row r="56" spans="2:14" x14ac:dyDescent="0.25">
      <c r="E56" s="12"/>
      <c r="F56" s="12"/>
      <c r="G56" s="12"/>
    </row>
    <row r="57" spans="2:14" x14ac:dyDescent="0.25">
      <c r="C57" s="17" t="s">
        <v>74</v>
      </c>
      <c r="D57" s="17"/>
      <c r="E57" s="21">
        <f t="shared" ref="E57:G64" si="6">E48/(Batt_bank_energy__kWh *Avg_bank_energy_over_lifetime)</f>
        <v>0.54044992520216006</v>
      </c>
      <c r="F57" s="21">
        <f t="shared" si="6"/>
        <v>0.82996992520215995</v>
      </c>
      <c r="G57" s="21">
        <f t="shared" si="6"/>
        <v>0.717597721294854</v>
      </c>
    </row>
    <row r="58" spans="2:14" x14ac:dyDescent="0.25">
      <c r="C58" s="17" t="s">
        <v>128</v>
      </c>
      <c r="D58" s="17"/>
      <c r="E58" s="18">
        <f t="shared" si="6"/>
        <v>0.48728671414421221</v>
      </c>
      <c r="F58" s="21">
        <f t="shared" si="6"/>
        <v>0.7768067141442121</v>
      </c>
      <c r="G58" s="21">
        <f t="shared" si="6"/>
        <v>0.66375438386942698</v>
      </c>
    </row>
    <row r="59" spans="2:14" x14ac:dyDescent="0.25">
      <c r="C59" s="17" t="s">
        <v>129</v>
      </c>
      <c r="D59" s="17"/>
      <c r="E59" s="18">
        <f t="shared" si="6"/>
        <v>0.4341235030862643</v>
      </c>
      <c r="F59" s="21">
        <f t="shared" si="6"/>
        <v>0.72364350308626413</v>
      </c>
      <c r="G59" s="21">
        <f t="shared" si="6"/>
        <v>0.60991104644400007</v>
      </c>
    </row>
    <row r="60" spans="2:14" x14ac:dyDescent="0.25">
      <c r="C60" s="17" t="s">
        <v>75</v>
      </c>
      <c r="D60" s="17"/>
      <c r="E60" s="18">
        <f t="shared" si="6"/>
        <v>0.32779708097036847</v>
      </c>
      <c r="F60" s="21">
        <f t="shared" si="6"/>
        <v>0.61731708097036841</v>
      </c>
      <c r="G60" s="18">
        <f t="shared" si="6"/>
        <v>0.50222437159314615</v>
      </c>
    </row>
    <row r="61" spans="2:14" x14ac:dyDescent="0.25">
      <c r="C61" s="17" t="s">
        <v>130</v>
      </c>
      <c r="D61" s="17"/>
      <c r="E61" s="18">
        <f t="shared" si="6"/>
        <v>0.22147065885447267</v>
      </c>
      <c r="F61" s="21">
        <f t="shared" si="6"/>
        <v>0.51099065885447259</v>
      </c>
      <c r="G61" s="18">
        <f t="shared" si="6"/>
        <v>0.39453769674229211</v>
      </c>
    </row>
    <row r="62" spans="2:14" x14ac:dyDescent="0.25">
      <c r="C62" s="17" t="s">
        <v>76</v>
      </c>
      <c r="D62" s="17"/>
      <c r="E62" s="18">
        <f t="shared" si="6"/>
        <v>0.1151442367385769</v>
      </c>
      <c r="F62" s="18">
        <f t="shared" si="6"/>
        <v>0.40466423673857677</v>
      </c>
      <c r="G62" s="18">
        <f t="shared" si="6"/>
        <v>0.28685102189143813</v>
      </c>
    </row>
    <row r="63" spans="2:14" x14ac:dyDescent="0.25">
      <c r="C63" s="17" t="s">
        <v>131</v>
      </c>
      <c r="D63" s="17"/>
      <c r="E63" s="18">
        <f t="shared" si="6"/>
        <v>8.8178146226810493E-3</v>
      </c>
      <c r="F63" s="18">
        <f t="shared" si="6"/>
        <v>0.29833781462268094</v>
      </c>
      <c r="G63" s="18">
        <f t="shared" si="6"/>
        <v>0.17916434704058412</v>
      </c>
    </row>
    <row r="64" spans="2:14" x14ac:dyDescent="0.25">
      <c r="C64" s="17" t="s">
        <v>77</v>
      </c>
      <c r="D64" s="17"/>
      <c r="E64" s="18">
        <f t="shared" si="6"/>
        <v>-9.7508607493214716E-2</v>
      </c>
      <c r="F64" s="18">
        <f t="shared" si="6"/>
        <v>0.19201139250678514</v>
      </c>
      <c r="G64" s="18">
        <f t="shared" si="6"/>
        <v>7.1477672189730196E-2</v>
      </c>
    </row>
    <row r="66" spans="2:18" x14ac:dyDescent="0.25">
      <c r="B66" t="s">
        <v>99</v>
      </c>
      <c r="C66" t="s">
        <v>91</v>
      </c>
      <c r="E66" s="13">
        <f t="shared" ref="E66:G73" si="7">1/E57*Depth_of_Discharge</f>
        <v>1.1656954152863337</v>
      </c>
      <c r="F66" s="13">
        <f t="shared" si="7"/>
        <v>0.75906364901902657</v>
      </c>
      <c r="G66" s="13">
        <f t="shared" si="7"/>
        <v>0.877929209227713</v>
      </c>
    </row>
    <row r="67" spans="2:18" x14ac:dyDescent="0.25">
      <c r="C67" t="s">
        <v>132</v>
      </c>
      <c r="E67" s="13">
        <f t="shared" si="7"/>
        <v>1.2928733366072276</v>
      </c>
      <c r="F67" s="13">
        <f t="shared" si="7"/>
        <v>0.81101255760135227</v>
      </c>
      <c r="G67" s="13">
        <f t="shared" si="7"/>
        <v>0.94914627354677161</v>
      </c>
    </row>
    <row r="68" spans="2:18" x14ac:dyDescent="0.25">
      <c r="C68" t="s">
        <v>133</v>
      </c>
      <c r="E68" s="13">
        <f t="shared" si="7"/>
        <v>1.4511999362421373</v>
      </c>
      <c r="F68" s="13">
        <f t="shared" si="7"/>
        <v>0.87059442572636336</v>
      </c>
      <c r="G68" s="13">
        <f t="shared" si="7"/>
        <v>1.0329375138770247</v>
      </c>
    </row>
    <row r="69" spans="2:18" x14ac:dyDescent="0.25">
      <c r="C69" t="s">
        <v>92</v>
      </c>
      <c r="E69" s="13">
        <f t="shared" si="7"/>
        <v>1.9219207142877195</v>
      </c>
      <c r="F69" s="13">
        <f t="shared" si="7"/>
        <v>1.0205452261416372</v>
      </c>
      <c r="G69" s="13">
        <f t="shared" si="7"/>
        <v>1.2544194101961372</v>
      </c>
    </row>
    <row r="70" spans="2:18" x14ac:dyDescent="0.25">
      <c r="C70" t="s">
        <v>134</v>
      </c>
      <c r="E70" s="13">
        <f t="shared" si="7"/>
        <v>2.8446206068947943</v>
      </c>
      <c r="F70" s="13">
        <f t="shared" si="7"/>
        <v>1.2328992498851543</v>
      </c>
      <c r="G70" s="13">
        <f t="shared" si="7"/>
        <v>1.5968055909534784</v>
      </c>
    </row>
    <row r="71" spans="2:18" x14ac:dyDescent="0.25">
      <c r="C71" t="s">
        <v>93</v>
      </c>
      <c r="E71" s="13">
        <f t="shared" si="7"/>
        <v>5.4713984637403081</v>
      </c>
      <c r="F71" s="13">
        <f t="shared" si="7"/>
        <v>1.5568462512959746</v>
      </c>
      <c r="G71" s="13">
        <f t="shared" si="7"/>
        <v>2.1962620033420355</v>
      </c>
    </row>
    <row r="72" spans="2:18" x14ac:dyDescent="0.25">
      <c r="C72" t="s">
        <v>135</v>
      </c>
      <c r="E72" s="13">
        <f t="shared" si="7"/>
        <v>71.446274043857031</v>
      </c>
      <c r="F72" s="13">
        <f t="shared" si="7"/>
        <v>2.1117001235555226</v>
      </c>
      <c r="G72" s="13">
        <f t="shared" si="7"/>
        <v>3.5163245947436912</v>
      </c>
      <c r="R72" t="s">
        <v>167</v>
      </c>
    </row>
    <row r="73" spans="2:18" x14ac:dyDescent="0.25">
      <c r="C73" t="s">
        <v>94</v>
      </c>
      <c r="E73" s="21">
        <f t="shared" si="7"/>
        <v>-6.4609680744732154</v>
      </c>
      <c r="F73" s="13">
        <f t="shared" si="7"/>
        <v>3.2810553153909217</v>
      </c>
      <c r="G73" s="13">
        <f t="shared" si="7"/>
        <v>8.81394120289381</v>
      </c>
    </row>
    <row r="74" spans="2:18" x14ac:dyDescent="0.25">
      <c r="E74" s="13"/>
      <c r="F74" s="13"/>
      <c r="G74" s="13"/>
    </row>
    <row r="76" spans="2:18" x14ac:dyDescent="0.25">
      <c r="B76" t="s">
        <v>100</v>
      </c>
      <c r="C76" t="s">
        <v>95</v>
      </c>
      <c r="D76" s="4">
        <v>0</v>
      </c>
      <c r="E76" s="13"/>
      <c r="F76" s="13"/>
      <c r="G76" s="13"/>
    </row>
    <row r="77" spans="2:18" x14ac:dyDescent="0.25">
      <c r="C77" t="s">
        <v>136</v>
      </c>
      <c r="D77" s="4">
        <v>0.5</v>
      </c>
      <c r="E77" s="13">
        <f t="shared" ref="E77:G83" si="8">Cycle_energy__kWh/$D77</f>
        <v>12.474</v>
      </c>
      <c r="F77" s="13">
        <f t="shared" si="8"/>
        <v>12.474</v>
      </c>
      <c r="G77" s="13">
        <f t="shared" si="8"/>
        <v>12.474</v>
      </c>
    </row>
    <row r="78" spans="2:18" x14ac:dyDescent="0.25">
      <c r="C78" t="s">
        <v>137</v>
      </c>
      <c r="D78" s="4">
        <v>1</v>
      </c>
      <c r="E78" s="13">
        <f t="shared" si="8"/>
        <v>6.2370000000000001</v>
      </c>
      <c r="F78" s="13">
        <f t="shared" si="8"/>
        <v>6.2370000000000001</v>
      </c>
      <c r="G78" s="13">
        <f t="shared" si="8"/>
        <v>6.2370000000000001</v>
      </c>
    </row>
    <row r="79" spans="2:18" x14ac:dyDescent="0.25">
      <c r="C79" t="s">
        <v>96</v>
      </c>
      <c r="D79" s="4">
        <v>2</v>
      </c>
      <c r="E79" s="13">
        <f t="shared" si="8"/>
        <v>3.1185</v>
      </c>
      <c r="F79" s="13">
        <f t="shared" si="8"/>
        <v>3.1185</v>
      </c>
      <c r="G79" s="13">
        <f t="shared" si="8"/>
        <v>3.1185</v>
      </c>
    </row>
    <row r="80" spans="2:18" x14ac:dyDescent="0.25">
      <c r="C80" t="s">
        <v>138</v>
      </c>
      <c r="D80" s="4">
        <v>3</v>
      </c>
      <c r="E80" s="13">
        <f t="shared" si="8"/>
        <v>2.0790000000000002</v>
      </c>
      <c r="F80" s="13">
        <f t="shared" si="8"/>
        <v>2.0790000000000002</v>
      </c>
      <c r="G80" s="13">
        <f t="shared" si="8"/>
        <v>2.0790000000000002</v>
      </c>
    </row>
    <row r="81" spans="2:7" x14ac:dyDescent="0.25">
      <c r="C81" t="s">
        <v>97</v>
      </c>
      <c r="D81" s="4">
        <v>4</v>
      </c>
      <c r="E81" s="13">
        <f t="shared" si="8"/>
        <v>1.55925</v>
      </c>
      <c r="F81" s="13">
        <f t="shared" si="8"/>
        <v>1.55925</v>
      </c>
      <c r="G81" s="13">
        <f t="shared" si="8"/>
        <v>1.55925</v>
      </c>
    </row>
    <row r="82" spans="2:7" x14ac:dyDescent="0.25">
      <c r="C82" t="s">
        <v>139</v>
      </c>
      <c r="D82" s="4">
        <v>5</v>
      </c>
      <c r="E82" s="13">
        <f t="shared" si="8"/>
        <v>1.2474000000000001</v>
      </c>
      <c r="F82" s="13">
        <f t="shared" si="8"/>
        <v>1.2474000000000001</v>
      </c>
      <c r="G82" s="13">
        <f t="shared" si="8"/>
        <v>1.2474000000000001</v>
      </c>
    </row>
    <row r="83" spans="2:7" x14ac:dyDescent="0.25">
      <c r="C83" t="s">
        <v>98</v>
      </c>
      <c r="D83" s="4">
        <v>6</v>
      </c>
      <c r="E83" s="21">
        <f t="shared" si="8"/>
        <v>1.0395000000000001</v>
      </c>
      <c r="F83" s="13">
        <f t="shared" si="8"/>
        <v>1.0395000000000001</v>
      </c>
      <c r="G83" s="13">
        <f t="shared" si="8"/>
        <v>1.0395000000000001</v>
      </c>
    </row>
    <row r="85" spans="2:7" x14ac:dyDescent="0.25">
      <c r="B85" t="s">
        <v>101</v>
      </c>
      <c r="C85" t="s">
        <v>102</v>
      </c>
      <c r="E85" s="7"/>
      <c r="F85" s="7"/>
      <c r="G85" s="7"/>
    </row>
    <row r="86" spans="2:7" x14ac:dyDescent="0.25">
      <c r="C86" t="s">
        <v>140</v>
      </c>
      <c r="E86" s="7">
        <f t="shared" ref="E86:G92" si="9">E67+E77</f>
        <v>13.766873336607228</v>
      </c>
      <c r="F86" s="7">
        <f t="shared" si="9"/>
        <v>13.285012557601352</v>
      </c>
      <c r="G86" s="7">
        <f t="shared" si="9"/>
        <v>13.423146273546772</v>
      </c>
    </row>
    <row r="87" spans="2:7" x14ac:dyDescent="0.25">
      <c r="C87" t="s">
        <v>141</v>
      </c>
      <c r="E87" s="7">
        <f t="shared" si="9"/>
        <v>7.6881999362421372</v>
      </c>
      <c r="F87" s="7">
        <f t="shared" si="9"/>
        <v>7.1075944257263632</v>
      </c>
      <c r="G87" s="7">
        <f t="shared" si="9"/>
        <v>7.269937513877025</v>
      </c>
    </row>
    <row r="88" spans="2:7" x14ac:dyDescent="0.25">
      <c r="C88" t="s">
        <v>103</v>
      </c>
      <c r="E88" s="7">
        <f t="shared" si="9"/>
        <v>5.0404207142877198</v>
      </c>
      <c r="F88" s="7">
        <f t="shared" si="9"/>
        <v>4.1390452261416373</v>
      </c>
      <c r="G88" s="7">
        <f t="shared" si="9"/>
        <v>4.3729194101961371</v>
      </c>
    </row>
    <row r="89" spans="2:7" x14ac:dyDescent="0.25">
      <c r="C89" t="s">
        <v>142</v>
      </c>
      <c r="E89" s="7">
        <f t="shared" si="9"/>
        <v>4.9236206068947945</v>
      </c>
      <c r="F89" s="7">
        <f t="shared" si="9"/>
        <v>3.3118992498851547</v>
      </c>
      <c r="G89" s="7">
        <f t="shared" si="9"/>
        <v>3.6758055909534786</v>
      </c>
    </row>
    <row r="90" spans="2:7" x14ac:dyDescent="0.25">
      <c r="C90" t="s">
        <v>104</v>
      </c>
      <c r="E90" s="7">
        <f t="shared" si="9"/>
        <v>7.0306484637403077</v>
      </c>
      <c r="F90" s="7">
        <f t="shared" si="9"/>
        <v>3.1160962512959749</v>
      </c>
      <c r="G90" s="7">
        <f t="shared" si="9"/>
        <v>3.7555120033420355</v>
      </c>
    </row>
    <row r="91" spans="2:7" x14ac:dyDescent="0.25">
      <c r="C91" t="s">
        <v>143</v>
      </c>
      <c r="E91" s="7">
        <f t="shared" si="9"/>
        <v>72.69367404385703</v>
      </c>
      <c r="F91" s="7">
        <f t="shared" si="9"/>
        <v>3.3591001235555229</v>
      </c>
      <c r="G91" s="7">
        <f t="shared" si="9"/>
        <v>4.7637245947436915</v>
      </c>
    </row>
    <row r="92" spans="2:7" x14ac:dyDescent="0.25">
      <c r="C92" t="s">
        <v>105</v>
      </c>
      <c r="E92" s="31">
        <f t="shared" si="9"/>
        <v>-5.4214680744732151</v>
      </c>
      <c r="F92" s="7">
        <f t="shared" si="9"/>
        <v>4.320555315390922</v>
      </c>
      <c r="G92" s="7">
        <f t="shared" si="9"/>
        <v>9.8534412028938103</v>
      </c>
    </row>
    <row r="94" spans="2:7" x14ac:dyDescent="0.25">
      <c r="C94" t="s">
        <v>106</v>
      </c>
      <c r="E94" s="7"/>
      <c r="F94" s="7"/>
      <c r="G94" s="7"/>
    </row>
    <row r="95" spans="2:7" x14ac:dyDescent="0.25">
      <c r="C95" t="s">
        <v>144</v>
      </c>
      <c r="E95" s="7">
        <f t="shared" ref="E95:G100" si="10">E67/E86</f>
        <v>9.3911907591201049E-2</v>
      </c>
      <c r="F95" s="7">
        <f t="shared" si="10"/>
        <v>6.1047180353420979E-2</v>
      </c>
      <c r="G95" s="7">
        <f t="shared" si="10"/>
        <v>7.0709672248545088E-2</v>
      </c>
    </row>
    <row r="96" spans="2:7" x14ac:dyDescent="0.25">
      <c r="C96" t="s">
        <v>145</v>
      </c>
      <c r="E96" s="7">
        <f t="shared" si="10"/>
        <v>0.18875678940153309</v>
      </c>
      <c r="F96" s="7">
        <f t="shared" si="10"/>
        <v>0.1224879155421692</v>
      </c>
      <c r="G96" s="7">
        <f t="shared" si="10"/>
        <v>0.14208341019511236</v>
      </c>
    </row>
    <row r="97" spans="3:7" x14ac:dyDescent="0.25">
      <c r="C97" t="s">
        <v>107</v>
      </c>
      <c r="E97" s="7">
        <f t="shared" si="10"/>
        <v>0.38130164588042986</v>
      </c>
      <c r="F97" s="7">
        <f t="shared" si="10"/>
        <v>0.24656537205634158</v>
      </c>
      <c r="G97" s="7">
        <f t="shared" si="10"/>
        <v>0.28686085713614218</v>
      </c>
    </row>
    <row r="98" spans="3:7" x14ac:dyDescent="0.25">
      <c r="C98" t="s">
        <v>146</v>
      </c>
      <c r="E98" s="7">
        <f t="shared" si="10"/>
        <v>0.57774975653309446</v>
      </c>
      <c r="F98" s="7">
        <f t="shared" si="10"/>
        <v>0.37226351312706962</v>
      </c>
      <c r="G98" s="7">
        <f t="shared" si="10"/>
        <v>0.4344096964440598</v>
      </c>
    </row>
    <row r="99" spans="3:7" x14ac:dyDescent="0.25">
      <c r="C99" t="s">
        <v>108</v>
      </c>
      <c r="D99" s="20"/>
      <c r="E99" s="7">
        <f t="shared" si="10"/>
        <v>0.77822102640437263</v>
      </c>
      <c r="F99" s="7">
        <f t="shared" si="10"/>
        <v>0.49961430127470774</v>
      </c>
      <c r="G99" s="7">
        <f t="shared" si="10"/>
        <v>0.58481027390874496</v>
      </c>
    </row>
    <row r="100" spans="3:7" x14ac:dyDescent="0.25">
      <c r="C100" t="s">
        <v>147</v>
      </c>
      <c r="D100" s="20"/>
      <c r="E100" s="7">
        <f t="shared" si="10"/>
        <v>0.98284032253965559</v>
      </c>
      <c r="F100" s="7">
        <f t="shared" si="10"/>
        <v>0.62865054505143514</v>
      </c>
      <c r="G100" s="7">
        <f t="shared" si="10"/>
        <v>0.73814607137944432</v>
      </c>
    </row>
    <row r="101" spans="3:7" x14ac:dyDescent="0.25">
      <c r="C101" t="s">
        <v>109</v>
      </c>
      <c r="D101" s="20"/>
      <c r="E101" s="31" t="s">
        <v>116</v>
      </c>
      <c r="F101" s="7">
        <f>F73/F92</f>
        <v>0.75940592722027289</v>
      </c>
      <c r="G101" s="7">
        <f>G73/G92</f>
        <v>0.89450386128099957</v>
      </c>
    </row>
    <row r="102" spans="3:7" x14ac:dyDescent="0.25">
      <c r="D102" s="20"/>
      <c r="E102" s="7"/>
      <c r="F102" s="7"/>
      <c r="G102" s="7"/>
    </row>
    <row r="103" spans="3:7" x14ac:dyDescent="0.25">
      <c r="D103" s="20"/>
    </row>
    <row r="104" spans="3:7" x14ac:dyDescent="0.25">
      <c r="C104" s="14" t="s">
        <v>112</v>
      </c>
      <c r="D104" s="14">
        <v>0</v>
      </c>
      <c r="E104" s="15"/>
      <c r="F104" s="15"/>
      <c r="G104" s="15"/>
    </row>
    <row r="105" spans="3:7" x14ac:dyDescent="0.25">
      <c r="C105" s="23" t="s">
        <v>148</v>
      </c>
      <c r="D105" s="23">
        <v>0.5</v>
      </c>
      <c r="E105" s="24">
        <f t="shared" ref="E105:G110" si="11">Engine_spec_d_life__h/Hours_in_a_year__h/E95</f>
        <v>24.311134566336534</v>
      </c>
      <c r="F105" s="24">
        <f t="shared" si="11"/>
        <v>37.399024977295433</v>
      </c>
      <c r="G105" s="24">
        <f t="shared" si="11"/>
        <v>32.288440184051723</v>
      </c>
    </row>
    <row r="106" spans="3:7" x14ac:dyDescent="0.25">
      <c r="C106" s="23" t="s">
        <v>149</v>
      </c>
      <c r="D106" s="23">
        <v>1</v>
      </c>
      <c r="E106" s="24">
        <f t="shared" si="11"/>
        <v>12.095485572041135</v>
      </c>
      <c r="F106" s="24">
        <f t="shared" si="11"/>
        <v>18.639430777520584</v>
      </c>
      <c r="G106" s="24">
        <f t="shared" si="11"/>
        <v>16.068765661633794</v>
      </c>
    </row>
    <row r="107" spans="3:7" x14ac:dyDescent="0.25">
      <c r="C107" s="14" t="s">
        <v>113</v>
      </c>
      <c r="D107" s="14">
        <v>2</v>
      </c>
      <c r="E107" s="15">
        <f t="shared" si="11"/>
        <v>5.9876610748934347</v>
      </c>
      <c r="F107" s="15">
        <f t="shared" si="11"/>
        <v>9.2596336776331594</v>
      </c>
      <c r="G107" s="15">
        <f t="shared" si="11"/>
        <v>7.9589284004248251</v>
      </c>
    </row>
    <row r="108" spans="3:7" x14ac:dyDescent="0.25">
      <c r="C108" s="14" t="s">
        <v>150</v>
      </c>
      <c r="D108" s="14">
        <v>3</v>
      </c>
      <c r="E108" s="15">
        <f t="shared" si="11"/>
        <v>3.951719575844201</v>
      </c>
      <c r="F108" s="15">
        <f t="shared" si="11"/>
        <v>6.1330346443373509</v>
      </c>
      <c r="G108" s="15">
        <f t="shared" si="11"/>
        <v>5.2556493133551694</v>
      </c>
    </row>
    <row r="109" spans="3:7" x14ac:dyDescent="0.25">
      <c r="C109" s="14" t="s">
        <v>114</v>
      </c>
      <c r="D109" s="14">
        <v>4</v>
      </c>
      <c r="E109" s="15">
        <f t="shared" si="11"/>
        <v>2.9337488263195843</v>
      </c>
      <c r="F109" s="15">
        <f t="shared" si="11"/>
        <v>4.5697351276894471</v>
      </c>
      <c r="G109" s="15">
        <f t="shared" si="11"/>
        <v>3.9040097698203415</v>
      </c>
    </row>
    <row r="110" spans="3:7" x14ac:dyDescent="0.25">
      <c r="C110" s="14" t="s">
        <v>151</v>
      </c>
      <c r="D110" s="14">
        <v>5</v>
      </c>
      <c r="E110" s="15">
        <f t="shared" si="11"/>
        <v>2.3229663766048141</v>
      </c>
      <c r="F110" s="15">
        <f t="shared" si="11"/>
        <v>3.6317554177007043</v>
      </c>
      <c r="G110" s="15">
        <f t="shared" si="11"/>
        <v>3.0930260436994446</v>
      </c>
    </row>
    <row r="111" spans="3:7" x14ac:dyDescent="0.25">
      <c r="C111" s="14" t="s">
        <v>115</v>
      </c>
      <c r="D111" s="14">
        <v>6</v>
      </c>
      <c r="E111" s="31" t="s">
        <v>116</v>
      </c>
      <c r="F111" s="15">
        <f>Engine_spec_d_life__h/Hours_in_a_year__h/F101</f>
        <v>3.0064356110415424</v>
      </c>
      <c r="G111" s="15">
        <f>Engine_spec_d_life__h/Hours_in_a_year__h/G101</f>
        <v>2.5523702262855132</v>
      </c>
    </row>
    <row r="112" spans="3:7" x14ac:dyDescent="0.25">
      <c r="C112" s="14"/>
      <c r="D112" s="14"/>
      <c r="E112" s="14"/>
      <c r="F112" s="14"/>
      <c r="G112" s="14"/>
    </row>
    <row r="113" spans="3:7" x14ac:dyDescent="0.25">
      <c r="C113" s="14" t="s">
        <v>118</v>
      </c>
      <c r="D113" s="14">
        <v>0</v>
      </c>
      <c r="E113" s="16"/>
      <c r="F113" s="16"/>
      <c r="G113" s="16"/>
    </row>
    <row r="114" spans="3:7" x14ac:dyDescent="0.25">
      <c r="C114" s="23" t="s">
        <v>152</v>
      </c>
      <c r="D114" s="23">
        <v>0.5</v>
      </c>
      <c r="E114" s="24">
        <f t="shared" ref="E114:G119" si="12">Batt_Cycles_50__DOD__guesstimated/(Hours_in_a_year__h/E86)</f>
        <v>15.71560883174341</v>
      </c>
      <c r="F114" s="24">
        <f t="shared" si="12"/>
        <v>15.165539449316613</v>
      </c>
      <c r="G114" s="24">
        <f t="shared" si="12"/>
        <v>15.323226339665265</v>
      </c>
    </row>
    <row r="115" spans="3:7" x14ac:dyDescent="0.25">
      <c r="C115" s="23" t="s">
        <v>153</v>
      </c>
      <c r="D115" s="23">
        <v>1</v>
      </c>
      <c r="E115" s="24">
        <f t="shared" si="12"/>
        <v>8.7764839454818908</v>
      </c>
      <c r="F115" s="24">
        <f t="shared" si="12"/>
        <v>8.1136922668109168</v>
      </c>
      <c r="G115" s="24">
        <f t="shared" si="12"/>
        <v>8.2990154268002563</v>
      </c>
    </row>
    <row r="116" spans="3:7" x14ac:dyDescent="0.25">
      <c r="C116" s="14" t="s">
        <v>119</v>
      </c>
      <c r="D116" s="14">
        <v>2</v>
      </c>
      <c r="E116" s="15">
        <f t="shared" si="12"/>
        <v>5.7539049249859815</v>
      </c>
      <c r="F116" s="15">
        <f t="shared" si="12"/>
        <v>4.7249374727644256</v>
      </c>
      <c r="G116" s="15">
        <f t="shared" si="12"/>
        <v>4.991917134927097</v>
      </c>
    </row>
    <row r="117" spans="3:7" x14ac:dyDescent="0.25">
      <c r="C117" s="14" t="s">
        <v>154</v>
      </c>
      <c r="D117" s="14">
        <v>3</v>
      </c>
      <c r="E117" s="15">
        <f t="shared" si="12"/>
        <v>5.6205714690579844</v>
      </c>
      <c r="F117" s="15">
        <f t="shared" si="12"/>
        <v>3.7807069062615923</v>
      </c>
      <c r="G117" s="15">
        <f t="shared" si="12"/>
        <v>4.1961251038281713</v>
      </c>
    </row>
    <row r="118" spans="3:7" x14ac:dyDescent="0.25">
      <c r="C118" s="14" t="s">
        <v>120</v>
      </c>
      <c r="D118" s="14">
        <v>4</v>
      </c>
      <c r="E118" s="15">
        <f t="shared" si="12"/>
        <v>8.0258544106624523</v>
      </c>
      <c r="F118" s="15">
        <f t="shared" si="12"/>
        <v>3.5571875014794236</v>
      </c>
      <c r="G118" s="15">
        <f t="shared" si="12"/>
        <v>4.2871141590662507</v>
      </c>
    </row>
    <row r="119" spans="3:7" x14ac:dyDescent="0.25">
      <c r="C119" s="14" t="s">
        <v>155</v>
      </c>
      <c r="D119" s="14">
        <v>5</v>
      </c>
      <c r="E119" s="15">
        <f t="shared" si="12"/>
        <v>82.983646168786564</v>
      </c>
      <c r="F119" s="15">
        <f t="shared" si="12"/>
        <v>3.8345891821410083</v>
      </c>
      <c r="G119" s="15">
        <f t="shared" si="12"/>
        <v>5.4380417748215653</v>
      </c>
    </row>
    <row r="120" spans="3:7" x14ac:dyDescent="0.25">
      <c r="C120" s="14" t="s">
        <v>121</v>
      </c>
      <c r="D120" s="14">
        <v>6</v>
      </c>
      <c r="E120" s="31" t="s">
        <v>116</v>
      </c>
      <c r="F120" s="15">
        <f>Batt_Cycles_50__DOD__guesstimated/(Hours_in_a_year__h/F92)</f>
        <v>4.9321407709942031</v>
      </c>
      <c r="G120" s="15">
        <f>Batt_Cycles_50__DOD__guesstimated/(Hours_in_a_year__h/G92)</f>
        <v>11.248220551248643</v>
      </c>
    </row>
    <row r="122" spans="3:7" x14ac:dyDescent="0.25">
      <c r="C122" t="s">
        <v>123</v>
      </c>
      <c r="D122" s="20">
        <v>0</v>
      </c>
      <c r="E122" s="4"/>
      <c r="F122" s="4"/>
      <c r="G122" s="4"/>
    </row>
    <row r="123" spans="3:7" x14ac:dyDescent="0.25">
      <c r="C123" s="23" t="s">
        <v>156</v>
      </c>
      <c r="D123" s="23">
        <v>0.5</v>
      </c>
      <c r="E123" s="24">
        <f t="shared" ref="E123:G128" si="13">(Engine_service_interval__h/E95)/24</f>
        <v>443.67820583564179</v>
      </c>
      <c r="F123" s="24">
        <f t="shared" si="13"/>
        <v>682.53220583564166</v>
      </c>
      <c r="G123" s="24">
        <f t="shared" si="13"/>
        <v>589.26403335894395</v>
      </c>
    </row>
    <row r="124" spans="3:7" x14ac:dyDescent="0.25">
      <c r="C124" s="23" t="s">
        <v>157</v>
      </c>
      <c r="D124" s="23">
        <v>1</v>
      </c>
      <c r="E124" s="24">
        <f t="shared" si="13"/>
        <v>220.74261168975067</v>
      </c>
      <c r="F124" s="24">
        <f t="shared" si="13"/>
        <v>340.16961168975064</v>
      </c>
      <c r="G124" s="24">
        <f t="shared" si="13"/>
        <v>293.25497332481672</v>
      </c>
    </row>
    <row r="125" spans="3:7" x14ac:dyDescent="0.25">
      <c r="C125" t="s">
        <v>124</v>
      </c>
      <c r="D125" s="20">
        <v>2</v>
      </c>
      <c r="E125" s="7">
        <f t="shared" si="13"/>
        <v>109.27481461680516</v>
      </c>
      <c r="F125" s="7">
        <f t="shared" si="13"/>
        <v>168.98831461680516</v>
      </c>
      <c r="G125" s="7">
        <f t="shared" si="13"/>
        <v>145.25044330775305</v>
      </c>
    </row>
    <row r="126" spans="3:7" x14ac:dyDescent="0.25">
      <c r="C126" t="s">
        <v>158</v>
      </c>
      <c r="D126" s="20">
        <v>3</v>
      </c>
      <c r="E126" s="7">
        <f t="shared" si="13"/>
        <v>72.118882259156663</v>
      </c>
      <c r="F126" s="7">
        <f t="shared" si="13"/>
        <v>111.92788225915666</v>
      </c>
      <c r="G126" s="7">
        <f t="shared" si="13"/>
        <v>95.91559996873184</v>
      </c>
    </row>
    <row r="127" spans="3:7" x14ac:dyDescent="0.25">
      <c r="C127" t="s">
        <v>125</v>
      </c>
      <c r="D127" s="20">
        <v>4</v>
      </c>
      <c r="E127" s="7">
        <f t="shared" si="13"/>
        <v>53.540916080332408</v>
      </c>
      <c r="F127" s="7">
        <f t="shared" si="13"/>
        <v>83.397666080332399</v>
      </c>
      <c r="G127" s="7">
        <f t="shared" si="13"/>
        <v>71.248178299221237</v>
      </c>
    </row>
    <row r="128" spans="3:7" x14ac:dyDescent="0.25">
      <c r="C128" t="s">
        <v>159</v>
      </c>
      <c r="D128" s="20">
        <v>5</v>
      </c>
      <c r="E128" s="7">
        <f t="shared" si="13"/>
        <v>42.394136373037853</v>
      </c>
      <c r="F128" s="7">
        <f t="shared" si="13"/>
        <v>66.279536373037857</v>
      </c>
      <c r="G128" s="7">
        <f t="shared" si="13"/>
        <v>56.447725297514857</v>
      </c>
    </row>
    <row r="129" spans="3:7" x14ac:dyDescent="0.25">
      <c r="C129" t="s">
        <v>126</v>
      </c>
      <c r="D129" s="20">
        <v>6</v>
      </c>
      <c r="E129" s="31" t="s">
        <v>116</v>
      </c>
      <c r="F129" s="7">
        <f>(Engine_service_interval__h/F101)/24</f>
        <v>54.867449901508145</v>
      </c>
      <c r="G129" s="7">
        <f>(Engine_service_interval__h/G101)/24</f>
        <v>46.580756629710613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6"/>
  <sheetViews>
    <sheetView topLeftCell="E7" workbookViewId="0">
      <selection activeCell="F13" sqref="F13:J31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40.140625" style="20" customWidth="1"/>
    <col min="7" max="10" width="12.7109375" style="20" customWidth="1"/>
    <col min="11" max="11" width="18.28515625" customWidth="1"/>
    <col min="12" max="12" width="17" customWidth="1"/>
    <col min="13" max="13" width="17.7109375" customWidth="1"/>
    <col min="14" max="18" width="15.7109375" customWidth="1"/>
  </cols>
  <sheetData>
    <row r="1" spans="2:10" x14ac:dyDescent="0.25">
      <c r="B1" t="s">
        <v>46</v>
      </c>
    </row>
    <row r="13" spans="2:10" x14ac:dyDescent="0.25">
      <c r="C13" s="38" t="s">
        <v>172</v>
      </c>
      <c r="F13" s="38" t="s">
        <v>172</v>
      </c>
      <c r="G13" s="38"/>
      <c r="I13" s="52" t="s">
        <v>178</v>
      </c>
    </row>
    <row r="14" spans="2:10" x14ac:dyDescent="0.25">
      <c r="C14" s="1" t="s">
        <v>80</v>
      </c>
      <c r="D14" s="3">
        <v>1</v>
      </c>
      <c r="F14" s="1" t="s">
        <v>80</v>
      </c>
      <c r="G14" s="3">
        <v>1</v>
      </c>
      <c r="H14" s="3">
        <v>1</v>
      </c>
      <c r="I14" s="3">
        <v>1</v>
      </c>
      <c r="J14" s="50">
        <v>1.1000000000000001</v>
      </c>
    </row>
    <row r="15" spans="2:10" x14ac:dyDescent="0.25">
      <c r="C15" t="s">
        <v>82</v>
      </c>
      <c r="D15">
        <v>11</v>
      </c>
      <c r="F15" t="s">
        <v>82</v>
      </c>
      <c r="G15">
        <v>11</v>
      </c>
      <c r="H15">
        <v>11</v>
      </c>
      <c r="I15">
        <v>11</v>
      </c>
      <c r="J15">
        <v>11</v>
      </c>
    </row>
    <row r="16" spans="2:10" x14ac:dyDescent="0.25">
      <c r="C16" s="1" t="s">
        <v>83</v>
      </c>
      <c r="D16">
        <f>D15*D14</f>
        <v>11</v>
      </c>
      <c r="F16" s="1" t="s">
        <v>83</v>
      </c>
      <c r="G16">
        <f>G15*G14</f>
        <v>11</v>
      </c>
      <c r="H16">
        <f>H15*H14</f>
        <v>11</v>
      </c>
      <c r="I16">
        <f>I15*I14</f>
        <v>11</v>
      </c>
      <c r="J16">
        <f>J15*J14</f>
        <v>12.100000000000001</v>
      </c>
    </row>
    <row r="17" spans="3:10" ht="30" x14ac:dyDescent="0.25">
      <c r="C17" s="1" t="s">
        <v>169</v>
      </c>
      <c r="D17" s="2">
        <v>0.8</v>
      </c>
      <c r="F17" s="1" t="s">
        <v>169</v>
      </c>
      <c r="G17" s="2">
        <v>0.8</v>
      </c>
      <c r="H17" s="2">
        <v>0.8</v>
      </c>
      <c r="I17" s="2">
        <v>0.8</v>
      </c>
      <c r="J17" s="51">
        <v>0.7</v>
      </c>
    </row>
    <row r="18" spans="3:10" x14ac:dyDescent="0.25">
      <c r="C18" s="1" t="s">
        <v>170</v>
      </c>
      <c r="D18" s="2">
        <f>(1+D17)/2</f>
        <v>0.9</v>
      </c>
      <c r="F18" s="1" t="s">
        <v>170</v>
      </c>
      <c r="G18" s="2">
        <f>(1+G17)/2</f>
        <v>0.9</v>
      </c>
      <c r="H18" s="2">
        <f>(1+H17)/2</f>
        <v>0.9</v>
      </c>
      <c r="I18" s="2">
        <f>(1+I17)/2</f>
        <v>0.9</v>
      </c>
      <c r="J18" s="2">
        <f>(1+J17)/2</f>
        <v>0.85</v>
      </c>
    </row>
    <row r="19" spans="3:10" x14ac:dyDescent="0.25">
      <c r="C19" s="1" t="s">
        <v>87</v>
      </c>
      <c r="D19" s="2">
        <v>0.5</v>
      </c>
      <c r="F19" s="1" t="s">
        <v>87</v>
      </c>
      <c r="G19" s="51">
        <v>0.8</v>
      </c>
      <c r="H19" s="2">
        <v>0.5</v>
      </c>
      <c r="I19" s="2">
        <v>0.5</v>
      </c>
      <c r="J19" s="2">
        <v>0.5</v>
      </c>
    </row>
    <row r="20" spans="3:10" x14ac:dyDescent="0.25">
      <c r="C20" t="s">
        <v>88</v>
      </c>
      <c r="D20">
        <f>D19*Batt_bank_energy__kWh*Avg_bank_energy_over_lifetime</f>
        <v>4.95</v>
      </c>
      <c r="F20" t="s">
        <v>88</v>
      </c>
      <c r="G20">
        <f>G19*G16*G18</f>
        <v>7.9200000000000008</v>
      </c>
      <c r="H20">
        <f>H19*H16*H18</f>
        <v>4.95</v>
      </c>
      <c r="I20">
        <f>I19*I16*I18</f>
        <v>4.95</v>
      </c>
      <c r="J20" s="25">
        <f>J19*J16*J18</f>
        <v>5.1425000000000001</v>
      </c>
    </row>
    <row r="21" spans="3:10" x14ac:dyDescent="0.25">
      <c r="C21" t="s">
        <v>117</v>
      </c>
      <c r="D21">
        <v>3000</v>
      </c>
      <c r="F21" t="s">
        <v>117</v>
      </c>
      <c r="G21">
        <v>3000</v>
      </c>
      <c r="H21">
        <v>3000</v>
      </c>
      <c r="I21">
        <v>3000</v>
      </c>
      <c r="J21">
        <v>3000</v>
      </c>
    </row>
    <row r="22" spans="3:10" ht="30" x14ac:dyDescent="0.25">
      <c r="C22" s="1" t="s">
        <v>171</v>
      </c>
      <c r="D22">
        <v>10000</v>
      </c>
      <c r="F22" s="1" t="s">
        <v>171</v>
      </c>
      <c r="G22">
        <v>7500</v>
      </c>
      <c r="H22">
        <v>7500</v>
      </c>
      <c r="I22" s="20">
        <v>10000</v>
      </c>
      <c r="J22">
        <v>10000</v>
      </c>
    </row>
    <row r="23" spans="3:10" ht="30" x14ac:dyDescent="0.25">
      <c r="C23" s="1" t="s">
        <v>177</v>
      </c>
      <c r="F23" s="1" t="s">
        <v>177</v>
      </c>
      <c r="G23" s="14">
        <v>3000</v>
      </c>
      <c r="H23" s="14">
        <f>(1-H17)/(1-0.8) *H22</f>
        <v>7500</v>
      </c>
      <c r="I23" s="14">
        <f>(1-I17)/(1-0.8) *I22</f>
        <v>10000</v>
      </c>
      <c r="J23" s="14">
        <f>(1-J17)/(1-0.8) *J22</f>
        <v>15000.000000000004</v>
      </c>
    </row>
    <row r="24" spans="3:10" x14ac:dyDescent="0.25">
      <c r="C24" s="1"/>
      <c r="F24" s="1"/>
      <c r="G24"/>
      <c r="H24"/>
      <c r="I24"/>
      <c r="J24"/>
    </row>
    <row r="25" spans="3:10" x14ac:dyDescent="0.25">
      <c r="C25" s="39" t="s">
        <v>173</v>
      </c>
      <c r="D25" s="19"/>
      <c r="F25" s="39" t="s">
        <v>173</v>
      </c>
      <c r="G25" s="19"/>
      <c r="H25" s="19"/>
      <c r="I25" s="19"/>
      <c r="J25" s="19"/>
    </row>
    <row r="26" spans="3:10" x14ac:dyDescent="0.25">
      <c r="C26" s="1" t="s">
        <v>110</v>
      </c>
      <c r="D26">
        <v>20000</v>
      </c>
      <c r="F26" s="1" t="s">
        <v>110</v>
      </c>
      <c r="G26">
        <v>15000</v>
      </c>
      <c r="H26" s="14">
        <v>15000</v>
      </c>
      <c r="I26" s="14">
        <v>20000</v>
      </c>
      <c r="J26" s="14">
        <v>25000</v>
      </c>
    </row>
    <row r="27" spans="3:10" x14ac:dyDescent="0.25">
      <c r="C27" t="s">
        <v>111</v>
      </c>
      <c r="D27">
        <f>365*24</f>
        <v>8760</v>
      </c>
      <c r="F27" t="s">
        <v>111</v>
      </c>
      <c r="G27">
        <f>365*24</f>
        <v>8760</v>
      </c>
      <c r="H27">
        <f>365*24</f>
        <v>8760</v>
      </c>
      <c r="I27">
        <f>365*24</f>
        <v>8760</v>
      </c>
      <c r="J27">
        <f>365*24</f>
        <v>8760</v>
      </c>
    </row>
    <row r="28" spans="3:10" x14ac:dyDescent="0.25">
      <c r="C28" s="1" t="s">
        <v>122</v>
      </c>
      <c r="D28">
        <v>1000</v>
      </c>
      <c r="F28" s="1" t="s">
        <v>122</v>
      </c>
      <c r="G28">
        <v>1000</v>
      </c>
      <c r="H28">
        <v>1000</v>
      </c>
      <c r="I28">
        <v>1000</v>
      </c>
      <c r="J28">
        <v>1000</v>
      </c>
    </row>
    <row r="29" spans="3:10" x14ac:dyDescent="0.25">
      <c r="C29" s="1" t="s">
        <v>160</v>
      </c>
      <c r="D29">
        <v>0.38</v>
      </c>
      <c r="F29" s="1" t="s">
        <v>160</v>
      </c>
      <c r="G29">
        <v>0.38</v>
      </c>
      <c r="H29">
        <v>0.38</v>
      </c>
      <c r="I29">
        <v>0.38</v>
      </c>
      <c r="J29">
        <v>0.38</v>
      </c>
    </row>
    <row r="30" spans="3:10" x14ac:dyDescent="0.25">
      <c r="C30" t="s">
        <v>161</v>
      </c>
      <c r="D30">
        <v>1000</v>
      </c>
      <c r="F30" t="s">
        <v>161</v>
      </c>
      <c r="G30">
        <v>1000</v>
      </c>
      <c r="H30">
        <v>1000</v>
      </c>
      <c r="I30">
        <v>1000</v>
      </c>
      <c r="J30">
        <v>1000</v>
      </c>
    </row>
    <row r="31" spans="3:10" x14ac:dyDescent="0.25">
      <c r="C31" s="1" t="s">
        <v>162</v>
      </c>
      <c r="D31" s="25">
        <v>1</v>
      </c>
      <c r="F31" s="1" t="s">
        <v>162</v>
      </c>
      <c r="G31" s="25">
        <v>1</v>
      </c>
      <c r="H31" s="25">
        <v>1</v>
      </c>
      <c r="I31" s="25">
        <v>1</v>
      </c>
      <c r="J31" s="25">
        <v>1</v>
      </c>
    </row>
    <row r="32" spans="3:10" x14ac:dyDescent="0.25">
      <c r="C32" s="1"/>
      <c r="D32" s="19"/>
    </row>
    <row r="34" spans="2:10" x14ac:dyDescent="0.25">
      <c r="C34" t="s">
        <v>63</v>
      </c>
      <c r="E34" s="32" t="s">
        <v>48</v>
      </c>
      <c r="F34" s="40"/>
      <c r="G34" s="40"/>
      <c r="H34" s="40"/>
      <c r="I34" s="40"/>
      <c r="J34" s="40"/>
    </row>
    <row r="35" spans="2:10" ht="30" x14ac:dyDescent="0.25">
      <c r="E35" s="33" t="s">
        <v>90</v>
      </c>
      <c r="F35" s="41"/>
      <c r="G35" s="41"/>
      <c r="H35" s="41"/>
      <c r="I35" s="41"/>
      <c r="J35" s="41"/>
    </row>
    <row r="36" spans="2:10" x14ac:dyDescent="0.25">
      <c r="B36" s="4" t="s">
        <v>8</v>
      </c>
      <c r="C36" t="s">
        <v>49</v>
      </c>
      <c r="E36" s="32">
        <v>15.3</v>
      </c>
      <c r="F36" s="40"/>
      <c r="G36" s="40"/>
      <c r="H36" s="40"/>
      <c r="I36" s="40"/>
      <c r="J36" s="40"/>
    </row>
    <row r="37" spans="2:10" x14ac:dyDescent="0.25">
      <c r="B37" s="4"/>
      <c r="C37" t="s">
        <v>52</v>
      </c>
      <c r="E37" s="34">
        <v>0.59</v>
      </c>
      <c r="F37" s="42"/>
      <c r="G37" s="42"/>
      <c r="H37" s="42"/>
      <c r="I37" s="42"/>
      <c r="J37" s="42"/>
    </row>
    <row r="38" spans="2:10" x14ac:dyDescent="0.25">
      <c r="B38" s="4" t="s">
        <v>50</v>
      </c>
      <c r="C38" t="s">
        <v>51</v>
      </c>
      <c r="E38" s="35">
        <f>E36*E37</f>
        <v>9.0269999999999992</v>
      </c>
      <c r="F38" s="43"/>
      <c r="G38" s="43"/>
      <c r="H38" s="43"/>
      <c r="I38" s="43"/>
      <c r="J38" s="43"/>
    </row>
    <row r="39" spans="2:10" x14ac:dyDescent="0.25">
      <c r="B39" s="4"/>
      <c r="C39" t="s">
        <v>53</v>
      </c>
      <c r="E39" s="34">
        <v>0.88</v>
      </c>
      <c r="F39" s="42"/>
      <c r="G39" s="42"/>
      <c r="H39" s="42"/>
      <c r="I39" s="42"/>
      <c r="J39" s="42"/>
    </row>
    <row r="40" spans="2:10" x14ac:dyDescent="0.25">
      <c r="B40" s="4" t="s">
        <v>54</v>
      </c>
      <c r="C40" t="s">
        <v>55</v>
      </c>
      <c r="E40" s="35">
        <f>E39*E38</f>
        <v>7.9437599999999993</v>
      </c>
      <c r="F40" s="43"/>
      <c r="G40" s="43"/>
      <c r="H40" s="43"/>
      <c r="I40" s="43"/>
      <c r="J40" s="43"/>
    </row>
    <row r="41" spans="2:10" x14ac:dyDescent="0.25">
      <c r="B41" s="4"/>
      <c r="C41" t="s">
        <v>56</v>
      </c>
      <c r="E41" s="34">
        <v>0.94</v>
      </c>
      <c r="F41" s="42"/>
      <c r="G41" s="42"/>
      <c r="H41" s="42"/>
      <c r="I41" s="42"/>
      <c r="J41" s="42"/>
    </row>
    <row r="42" spans="2:10" x14ac:dyDescent="0.25">
      <c r="B42" s="4" t="s">
        <v>57</v>
      </c>
      <c r="C42" t="s">
        <v>58</v>
      </c>
      <c r="E42" s="35">
        <f>E41*E40</f>
        <v>7.4671343999999991</v>
      </c>
      <c r="F42" s="43"/>
      <c r="G42" s="43"/>
      <c r="H42" s="43"/>
      <c r="I42" s="43"/>
      <c r="J42" s="43"/>
    </row>
    <row r="43" spans="2:10" x14ac:dyDescent="0.25">
      <c r="B43" s="4" t="s">
        <v>57</v>
      </c>
      <c r="C43" t="s">
        <v>59</v>
      </c>
      <c r="E43" s="10">
        <v>7.5</v>
      </c>
      <c r="F43" s="40"/>
      <c r="G43" s="40"/>
      <c r="H43" s="40"/>
      <c r="I43" s="40"/>
      <c r="J43" s="40"/>
    </row>
    <row r="44" spans="2:10" x14ac:dyDescent="0.25">
      <c r="B44" s="4"/>
      <c r="C44" t="s">
        <v>60</v>
      </c>
      <c r="E44" s="34">
        <v>0.99</v>
      </c>
      <c r="F44" s="42"/>
      <c r="G44" s="42"/>
      <c r="H44" s="42"/>
      <c r="I44" s="42"/>
      <c r="J44" s="42"/>
    </row>
    <row r="45" spans="2:10" x14ac:dyDescent="0.25">
      <c r="B45" s="4" t="s">
        <v>61</v>
      </c>
      <c r="C45" t="s">
        <v>62</v>
      </c>
      <c r="E45" s="35">
        <f>E44*E43</f>
        <v>7.4249999999999998</v>
      </c>
      <c r="F45" s="43"/>
      <c r="G45" s="43"/>
      <c r="H45" s="43"/>
      <c r="I45" s="43"/>
      <c r="J45" s="43"/>
    </row>
    <row r="46" spans="2:10" x14ac:dyDescent="0.25">
      <c r="B46" s="4"/>
      <c r="C46" t="s">
        <v>64</v>
      </c>
      <c r="E46" s="34">
        <v>0.95</v>
      </c>
      <c r="F46" s="42"/>
      <c r="G46" s="42"/>
      <c r="H46" s="42"/>
      <c r="I46" s="42"/>
      <c r="J46" s="42"/>
    </row>
    <row r="47" spans="2:10" x14ac:dyDescent="0.25">
      <c r="B47" s="4" t="s">
        <v>65</v>
      </c>
      <c r="C47" t="s">
        <v>66</v>
      </c>
      <c r="E47" s="35">
        <f>E46*E45</f>
        <v>7.0537499999999991</v>
      </c>
      <c r="F47" s="43"/>
      <c r="G47" s="43"/>
      <c r="H47" s="43"/>
      <c r="I47" s="43"/>
      <c r="J47" s="43"/>
    </row>
    <row r="48" spans="2:10" x14ac:dyDescent="0.25">
      <c r="B48" s="4" t="s">
        <v>71</v>
      </c>
      <c r="C48" t="s">
        <v>72</v>
      </c>
      <c r="E48" s="53">
        <v>0</v>
      </c>
      <c r="F48" s="40"/>
      <c r="G48" s="40"/>
      <c r="H48" s="40"/>
      <c r="I48" s="40"/>
      <c r="J48" s="40"/>
    </row>
    <row r="49" spans="2:16" x14ac:dyDescent="0.25">
      <c r="B49" s="4"/>
      <c r="C49" t="s">
        <v>73</v>
      </c>
      <c r="E49" s="34">
        <f>E46</f>
        <v>0.95</v>
      </c>
      <c r="F49" s="42"/>
      <c r="G49" s="42"/>
      <c r="H49" s="42"/>
      <c r="I49" s="42"/>
      <c r="J49" s="42"/>
    </row>
    <row r="50" spans="2:16" x14ac:dyDescent="0.25">
      <c r="B50" s="4" t="s">
        <v>67</v>
      </c>
      <c r="C50" t="s">
        <v>68</v>
      </c>
      <c r="E50" s="36">
        <f>E48/E49</f>
        <v>0</v>
      </c>
      <c r="F50" s="44"/>
      <c r="G50" s="44"/>
      <c r="H50" s="44"/>
      <c r="I50" s="44"/>
      <c r="J50" s="44"/>
    </row>
    <row r="51" spans="2:16" x14ac:dyDescent="0.25">
      <c r="B51" s="4" t="s">
        <v>69</v>
      </c>
      <c r="C51" t="s">
        <v>70</v>
      </c>
      <c r="E51" s="37">
        <f>E47-E50</f>
        <v>7.0537499999999991</v>
      </c>
      <c r="F51" s="45"/>
      <c r="G51" s="45"/>
      <c r="H51" s="45"/>
      <c r="I51" s="45"/>
      <c r="J51" s="45"/>
    </row>
    <row r="52" spans="2:16" ht="45" x14ac:dyDescent="0.25">
      <c r="B52" s="4"/>
      <c r="E52" s="8"/>
      <c r="F52" s="45"/>
      <c r="G52" s="45"/>
      <c r="H52" s="45"/>
      <c r="I52" s="45"/>
      <c r="J52" s="45"/>
      <c r="K52" s="8"/>
      <c r="L52" s="1" t="s">
        <v>85</v>
      </c>
      <c r="M52" s="27" t="s">
        <v>164</v>
      </c>
      <c r="N52" s="27" t="s">
        <v>165</v>
      </c>
      <c r="O52" s="27" t="s">
        <v>163</v>
      </c>
      <c r="P52" s="27" t="s">
        <v>166</v>
      </c>
    </row>
    <row r="53" spans="2:16" ht="60" x14ac:dyDescent="0.25">
      <c r="B53" s="4"/>
      <c r="C53" t="s">
        <v>127</v>
      </c>
      <c r="E53" s="8"/>
      <c r="F53" s="45"/>
      <c r="G53" s="49" t="s">
        <v>179</v>
      </c>
      <c r="H53" s="49" t="s">
        <v>174</v>
      </c>
      <c r="I53" s="49" t="s">
        <v>176</v>
      </c>
      <c r="J53" s="49" t="s">
        <v>175</v>
      </c>
      <c r="K53" s="11"/>
      <c r="L53" s="4">
        <v>0</v>
      </c>
      <c r="M53" s="26">
        <f t="shared" ref="M53:M60" si="0">$L53*24*30.5*SFC__l_kWh*Diesel_cost____l</f>
        <v>0</v>
      </c>
      <c r="P53" s="4"/>
    </row>
    <row r="54" spans="2:16" ht="30" x14ac:dyDescent="0.25">
      <c r="B54" s="4"/>
      <c r="C54" s="1" t="s">
        <v>78</v>
      </c>
      <c r="D54" s="1" t="s">
        <v>85</v>
      </c>
      <c r="E54" s="8"/>
      <c r="F54" s="45"/>
      <c r="G54" s="45"/>
      <c r="H54" s="45"/>
      <c r="I54" s="45"/>
      <c r="J54" s="45"/>
      <c r="K54" s="11"/>
      <c r="L54" s="29">
        <v>0.5</v>
      </c>
      <c r="M54" s="28">
        <f t="shared" si="0"/>
        <v>139.08000000000001</v>
      </c>
      <c r="N54" s="30">
        <f t="shared" ref="N54:N60" si="1">Fuel_Tank_Capacity__l/($L54*24*SFC__l_kWh)</f>
        <v>219.29824561403507</v>
      </c>
      <c r="O54" s="30">
        <f t="shared" ref="O54:O60" si="2">N54/4</f>
        <v>54.824561403508767</v>
      </c>
      <c r="P54" s="24">
        <f t="shared" ref="P54:P60" si="3">E130</f>
        <v>616.55701754385973</v>
      </c>
    </row>
    <row r="55" spans="2:16" x14ac:dyDescent="0.25">
      <c r="B55" s="4" t="s">
        <v>84</v>
      </c>
      <c r="C55" t="s">
        <v>86</v>
      </c>
      <c r="D55" s="4">
        <v>0</v>
      </c>
      <c r="E55" s="11">
        <f t="shared" ref="E55:E62" si="4">Rectifier_max_output__kW - ($D55 + AC_accessory_load__kW)/DC___DC_converter_power_efficiency</f>
        <v>7.4249999999999998</v>
      </c>
      <c r="F55" s="46"/>
      <c r="G55" s="11">
        <f t="shared" ref="G55:J62" si="5">Rectifier_max_output__kW - ($D55 + AC_accessory_load__kW)/DC___DC_converter_power_efficiency</f>
        <v>7.4249999999999998</v>
      </c>
      <c r="H55" s="11">
        <f t="shared" si="5"/>
        <v>7.4249999999999998</v>
      </c>
      <c r="I55" s="11">
        <f t="shared" si="5"/>
        <v>7.4249999999999998</v>
      </c>
      <c r="J55" s="11">
        <f t="shared" si="5"/>
        <v>7.4249999999999998</v>
      </c>
      <c r="K55" s="11"/>
      <c r="L55" s="29">
        <v>1</v>
      </c>
      <c r="M55" s="28">
        <f t="shared" si="0"/>
        <v>278.16000000000003</v>
      </c>
      <c r="N55" s="30">
        <f t="shared" si="1"/>
        <v>109.64912280701753</v>
      </c>
      <c r="O55" s="30">
        <f t="shared" si="2"/>
        <v>27.412280701754383</v>
      </c>
      <c r="P55" s="24">
        <f t="shared" si="3"/>
        <v>307.18201754385967</v>
      </c>
    </row>
    <row r="56" spans="2:16" x14ac:dyDescent="0.25">
      <c r="B56" s="4"/>
      <c r="C56" t="s">
        <v>86</v>
      </c>
      <c r="D56" s="4">
        <v>0.5</v>
      </c>
      <c r="E56" s="11">
        <f t="shared" si="4"/>
        <v>6.8986842105263158</v>
      </c>
      <c r="F56" s="46"/>
      <c r="G56" s="11">
        <f t="shared" si="5"/>
        <v>6.8986842105263158</v>
      </c>
      <c r="H56" s="11">
        <f t="shared" si="5"/>
        <v>6.8986842105263158</v>
      </c>
      <c r="I56" s="11">
        <f t="shared" si="5"/>
        <v>6.8986842105263158</v>
      </c>
      <c r="J56" s="11">
        <f t="shared" si="5"/>
        <v>6.8986842105263158</v>
      </c>
      <c r="K56" s="11"/>
      <c r="L56" s="4">
        <v>2</v>
      </c>
      <c r="M56" s="26">
        <f t="shared" si="0"/>
        <v>556.32000000000005</v>
      </c>
      <c r="N56" s="3">
        <f t="shared" si="1"/>
        <v>54.824561403508767</v>
      </c>
      <c r="O56" s="3">
        <f t="shared" si="2"/>
        <v>13.706140350877192</v>
      </c>
      <c r="P56" s="7">
        <f t="shared" si="3"/>
        <v>152.49451754385962</v>
      </c>
    </row>
    <row r="57" spans="2:16" x14ac:dyDescent="0.25">
      <c r="B57" s="4"/>
      <c r="C57" t="s">
        <v>86</v>
      </c>
      <c r="D57" s="4">
        <v>1</v>
      </c>
      <c r="E57" s="11">
        <f t="shared" si="4"/>
        <v>6.3723684210526317</v>
      </c>
      <c r="F57" s="46"/>
      <c r="G57" s="11">
        <f t="shared" si="5"/>
        <v>6.3723684210526317</v>
      </c>
      <c r="H57" s="11">
        <f t="shared" si="5"/>
        <v>6.3723684210526317</v>
      </c>
      <c r="I57" s="11">
        <f t="shared" si="5"/>
        <v>6.3723684210526317</v>
      </c>
      <c r="J57" s="11">
        <f t="shared" si="5"/>
        <v>6.3723684210526317</v>
      </c>
      <c r="K57" s="11"/>
      <c r="L57" s="4">
        <v>3</v>
      </c>
      <c r="M57" s="26">
        <f t="shared" si="0"/>
        <v>834.48</v>
      </c>
      <c r="N57" s="3">
        <f t="shared" si="1"/>
        <v>36.549707602339183</v>
      </c>
      <c r="O57" s="3">
        <f t="shared" si="2"/>
        <v>9.1374269005847957</v>
      </c>
      <c r="P57" s="7">
        <f t="shared" si="3"/>
        <v>100.93201754385963</v>
      </c>
    </row>
    <row r="58" spans="2:16" x14ac:dyDescent="0.25">
      <c r="B58" s="4"/>
      <c r="C58" t="s">
        <v>86</v>
      </c>
      <c r="D58" s="4">
        <v>2</v>
      </c>
      <c r="E58" s="11">
        <f t="shared" si="4"/>
        <v>5.3197368421052627</v>
      </c>
      <c r="F58" s="46"/>
      <c r="G58" s="11">
        <f t="shared" si="5"/>
        <v>5.3197368421052627</v>
      </c>
      <c r="H58" s="11">
        <f t="shared" si="5"/>
        <v>5.3197368421052627</v>
      </c>
      <c r="I58" s="11">
        <f t="shared" si="5"/>
        <v>5.3197368421052627</v>
      </c>
      <c r="J58" s="11">
        <f t="shared" si="5"/>
        <v>5.3197368421052627</v>
      </c>
      <c r="K58" s="11"/>
      <c r="L58" s="4">
        <v>4</v>
      </c>
      <c r="M58" s="26">
        <f t="shared" si="0"/>
        <v>1112.6400000000001</v>
      </c>
      <c r="N58" s="3">
        <f t="shared" si="1"/>
        <v>27.412280701754383</v>
      </c>
      <c r="O58" s="3">
        <f t="shared" si="2"/>
        <v>6.8530701754385959</v>
      </c>
      <c r="P58" s="7">
        <f t="shared" si="3"/>
        <v>75.150767543859644</v>
      </c>
    </row>
    <row r="59" spans="2:16" x14ac:dyDescent="0.25">
      <c r="B59" s="4"/>
      <c r="C59" t="s">
        <v>86</v>
      </c>
      <c r="D59" s="4">
        <v>3</v>
      </c>
      <c r="E59" s="11">
        <f t="shared" si="4"/>
        <v>4.2671052631578945</v>
      </c>
      <c r="F59" s="46"/>
      <c r="G59" s="11">
        <f t="shared" si="5"/>
        <v>4.2671052631578945</v>
      </c>
      <c r="H59" s="11">
        <f t="shared" si="5"/>
        <v>4.2671052631578945</v>
      </c>
      <c r="I59" s="11">
        <f t="shared" si="5"/>
        <v>4.2671052631578945</v>
      </c>
      <c r="J59" s="11">
        <f t="shared" si="5"/>
        <v>4.2671052631578945</v>
      </c>
      <c r="K59" s="11"/>
      <c r="L59" s="4">
        <v>5</v>
      </c>
      <c r="M59" s="26">
        <f t="shared" si="0"/>
        <v>1390.8</v>
      </c>
      <c r="N59" s="3">
        <f t="shared" si="1"/>
        <v>21.929824561403507</v>
      </c>
      <c r="O59" s="3">
        <f t="shared" si="2"/>
        <v>5.4824561403508767</v>
      </c>
      <c r="P59" s="7">
        <f t="shared" si="3"/>
        <v>59.682017543859651</v>
      </c>
    </row>
    <row r="60" spans="2:16" x14ac:dyDescent="0.25">
      <c r="B60" s="4"/>
      <c r="C60" t="s">
        <v>86</v>
      </c>
      <c r="D60" s="4">
        <v>4</v>
      </c>
      <c r="E60" s="11">
        <f t="shared" si="4"/>
        <v>3.2144736842105264</v>
      </c>
      <c r="F60" s="46"/>
      <c r="G60" s="11">
        <f t="shared" si="5"/>
        <v>3.2144736842105264</v>
      </c>
      <c r="H60" s="11">
        <f t="shared" si="5"/>
        <v>3.2144736842105264</v>
      </c>
      <c r="I60" s="11">
        <f t="shared" si="5"/>
        <v>3.2144736842105264</v>
      </c>
      <c r="J60" s="11">
        <f t="shared" si="5"/>
        <v>3.2144736842105264</v>
      </c>
      <c r="K60" s="11"/>
      <c r="L60" s="4">
        <v>6</v>
      </c>
      <c r="M60" s="26">
        <f t="shared" si="0"/>
        <v>1668.96</v>
      </c>
      <c r="N60" s="3">
        <f t="shared" si="1"/>
        <v>18.274853801169591</v>
      </c>
      <c r="O60" s="3">
        <f t="shared" si="2"/>
        <v>4.5687134502923978</v>
      </c>
      <c r="P60" s="7">
        <f t="shared" si="3"/>
        <v>49.369517543859644</v>
      </c>
    </row>
    <row r="61" spans="2:16" x14ac:dyDescent="0.25">
      <c r="B61" s="4"/>
      <c r="C61" t="s">
        <v>86</v>
      </c>
      <c r="D61" s="4">
        <v>5</v>
      </c>
      <c r="E61" s="11">
        <f t="shared" si="4"/>
        <v>2.1618421052631573</v>
      </c>
      <c r="F61" s="46"/>
      <c r="G61" s="11">
        <f t="shared" si="5"/>
        <v>2.1618421052631573</v>
      </c>
      <c r="H61" s="11">
        <f t="shared" si="5"/>
        <v>2.1618421052631573</v>
      </c>
      <c r="I61" s="11">
        <f t="shared" si="5"/>
        <v>2.1618421052631573</v>
      </c>
      <c r="J61" s="11">
        <f t="shared" si="5"/>
        <v>2.1618421052631573</v>
      </c>
    </row>
    <row r="62" spans="2:16" x14ac:dyDescent="0.25">
      <c r="B62" s="4"/>
      <c r="C62" t="s">
        <v>86</v>
      </c>
      <c r="D62" s="4">
        <v>6</v>
      </c>
      <c r="E62" s="11">
        <f t="shared" si="4"/>
        <v>1.1092105263157892</v>
      </c>
      <c r="F62" s="46"/>
      <c r="G62" s="11">
        <f t="shared" si="5"/>
        <v>1.1092105263157892</v>
      </c>
      <c r="H62" s="11">
        <f t="shared" si="5"/>
        <v>1.1092105263157892</v>
      </c>
      <c r="I62" s="11">
        <f t="shared" si="5"/>
        <v>1.1092105263157892</v>
      </c>
      <c r="J62" s="11">
        <f t="shared" si="5"/>
        <v>1.1092105263157892</v>
      </c>
    </row>
    <row r="63" spans="2:16" x14ac:dyDescent="0.25">
      <c r="E63" s="12"/>
      <c r="F63" s="47"/>
      <c r="G63" s="12"/>
      <c r="H63" s="12"/>
      <c r="I63" s="47"/>
      <c r="J63" s="47"/>
    </row>
    <row r="64" spans="2:16" x14ac:dyDescent="0.25">
      <c r="C64" s="17" t="s">
        <v>74</v>
      </c>
      <c r="D64" s="17"/>
      <c r="E64" s="21">
        <f t="shared" ref="E64:E71" si="6">E55/(Batt_bank_energy__kWh *Avg_bank_energy_over_lifetime)</f>
        <v>0.75</v>
      </c>
      <c r="F64" s="48"/>
      <c r="G64" s="21">
        <f>G55/(G$16*G$18)</f>
        <v>0.75</v>
      </c>
      <c r="H64" s="21">
        <f>H55/(H$16*H$18)</f>
        <v>0.75</v>
      </c>
      <c r="I64" s="21">
        <f>I55/(I$16*I$18)</f>
        <v>0.75</v>
      </c>
      <c r="J64" s="21">
        <f>J55/(J$16*J$18)</f>
        <v>0.72192513368983957</v>
      </c>
    </row>
    <row r="65" spans="2:21" x14ac:dyDescent="0.25">
      <c r="C65" s="17" t="s">
        <v>128</v>
      </c>
      <c r="D65" s="17"/>
      <c r="E65" s="21">
        <f t="shared" si="6"/>
        <v>0.69683678894205203</v>
      </c>
      <c r="F65" s="48"/>
      <c r="G65" s="21">
        <f t="shared" ref="G65:G71" si="7">G56/(G$16*G$18)</f>
        <v>0.69683678894205203</v>
      </c>
      <c r="H65" s="21">
        <f t="shared" ref="H65:J71" si="8">H56/(H$16*H$18)</f>
        <v>0.69683678894205203</v>
      </c>
      <c r="I65" s="21">
        <f t="shared" si="8"/>
        <v>0.69683678894205203</v>
      </c>
      <c r="J65" s="21">
        <f t="shared" si="8"/>
        <v>0.67075198935598601</v>
      </c>
    </row>
    <row r="66" spans="2:21" x14ac:dyDescent="0.25">
      <c r="C66" s="17" t="s">
        <v>129</v>
      </c>
      <c r="D66" s="17"/>
      <c r="E66" s="21">
        <f t="shared" si="6"/>
        <v>0.64367357788410418</v>
      </c>
      <c r="F66" s="48"/>
      <c r="G66" s="21">
        <f t="shared" si="7"/>
        <v>0.64367357788410418</v>
      </c>
      <c r="H66" s="21">
        <f t="shared" si="8"/>
        <v>0.64367357788410418</v>
      </c>
      <c r="I66" s="21">
        <f t="shared" si="8"/>
        <v>0.64367357788410418</v>
      </c>
      <c r="J66" s="21">
        <f t="shared" si="8"/>
        <v>0.61957884502213234</v>
      </c>
    </row>
    <row r="67" spans="2:21" x14ac:dyDescent="0.25">
      <c r="C67" s="17" t="s">
        <v>75</v>
      </c>
      <c r="D67" s="17"/>
      <c r="E67" s="21">
        <f t="shared" si="6"/>
        <v>0.53734715576820835</v>
      </c>
      <c r="F67" s="48"/>
      <c r="G67" s="21">
        <f t="shared" si="7"/>
        <v>0.53734715576820835</v>
      </c>
      <c r="H67" s="21">
        <f t="shared" si="8"/>
        <v>0.53734715576820835</v>
      </c>
      <c r="I67" s="21">
        <f t="shared" si="8"/>
        <v>0.53734715576820835</v>
      </c>
      <c r="J67" s="21">
        <f t="shared" si="8"/>
        <v>0.51723255635442511</v>
      </c>
    </row>
    <row r="68" spans="2:21" x14ac:dyDescent="0.25">
      <c r="C68" s="17" t="s">
        <v>130</v>
      </c>
      <c r="D68" s="17"/>
      <c r="E68" s="18">
        <f t="shared" si="6"/>
        <v>0.43102073365231258</v>
      </c>
      <c r="F68" s="48"/>
      <c r="G68" s="18">
        <f t="shared" si="7"/>
        <v>0.43102073365231258</v>
      </c>
      <c r="H68" s="18">
        <f t="shared" si="8"/>
        <v>0.43102073365231258</v>
      </c>
      <c r="I68" s="18">
        <f t="shared" si="8"/>
        <v>0.43102073365231258</v>
      </c>
      <c r="J68" s="18">
        <f t="shared" si="8"/>
        <v>0.41488626768671799</v>
      </c>
    </row>
    <row r="69" spans="2:21" x14ac:dyDescent="0.25">
      <c r="C69" s="17" t="s">
        <v>76</v>
      </c>
      <c r="D69" s="17"/>
      <c r="E69" s="18">
        <f t="shared" si="6"/>
        <v>0.32469431153641681</v>
      </c>
      <c r="F69" s="48"/>
      <c r="G69" s="18">
        <f t="shared" si="7"/>
        <v>0.32469431153641681</v>
      </c>
      <c r="H69" s="18">
        <f t="shared" si="8"/>
        <v>0.32469431153641681</v>
      </c>
      <c r="I69" s="18">
        <f t="shared" si="8"/>
        <v>0.32469431153641681</v>
      </c>
      <c r="J69" s="18">
        <f t="shared" si="8"/>
        <v>0.31253997901901082</v>
      </c>
    </row>
    <row r="70" spans="2:21" x14ac:dyDescent="0.25">
      <c r="C70" s="17" t="s">
        <v>131</v>
      </c>
      <c r="D70" s="17"/>
      <c r="E70" s="18">
        <f t="shared" si="6"/>
        <v>0.21836788942052093</v>
      </c>
      <c r="F70" s="48"/>
      <c r="G70" s="18">
        <f t="shared" si="7"/>
        <v>0.21836788942052093</v>
      </c>
      <c r="H70" s="18">
        <f t="shared" si="8"/>
        <v>0.21836788942052093</v>
      </c>
      <c r="I70" s="18">
        <f t="shared" si="8"/>
        <v>0.21836788942052093</v>
      </c>
      <c r="J70" s="18">
        <f t="shared" si="8"/>
        <v>0.21019369035130359</v>
      </c>
    </row>
    <row r="71" spans="2:21" x14ac:dyDescent="0.25">
      <c r="C71" s="17" t="s">
        <v>77</v>
      </c>
      <c r="D71" s="17"/>
      <c r="E71" s="18">
        <f t="shared" si="6"/>
        <v>0.11204146730462516</v>
      </c>
      <c r="F71" s="48"/>
      <c r="G71" s="18">
        <f t="shared" si="7"/>
        <v>0.11204146730462516</v>
      </c>
      <c r="H71" s="18">
        <f t="shared" si="8"/>
        <v>0.11204146730462516</v>
      </c>
      <c r="I71" s="18">
        <f t="shared" si="8"/>
        <v>0.11204146730462516</v>
      </c>
      <c r="J71" s="18">
        <f t="shared" si="8"/>
        <v>0.10784740168359642</v>
      </c>
    </row>
    <row r="72" spans="2:21" x14ac:dyDescent="0.25">
      <c r="G72"/>
      <c r="H72"/>
    </row>
    <row r="73" spans="2:21" x14ac:dyDescent="0.25">
      <c r="B73" t="s">
        <v>99</v>
      </c>
      <c r="C73" t="s">
        <v>91</v>
      </c>
      <c r="E73" s="13">
        <f t="shared" ref="E73:E80" si="9">1/E64*Depth_of_Discharge</f>
        <v>0.66666666666666663</v>
      </c>
      <c r="F73" s="48"/>
      <c r="G73" s="13">
        <f>1/G64*G$19</f>
        <v>1.0666666666666667</v>
      </c>
      <c r="H73" s="13">
        <f>1/H64*H$19</f>
        <v>0.66666666666666663</v>
      </c>
      <c r="I73" s="13">
        <f>1/I64*I$19</f>
        <v>0.66666666666666663</v>
      </c>
      <c r="J73" s="13">
        <f>1/J64*J$19</f>
        <v>0.69259259259259265</v>
      </c>
    </row>
    <row r="74" spans="2:21" x14ac:dyDescent="0.25">
      <c r="C74" t="s">
        <v>132</v>
      </c>
      <c r="E74" s="13">
        <f t="shared" si="9"/>
        <v>0.71752813274842653</v>
      </c>
      <c r="F74" s="48"/>
      <c r="G74" s="13">
        <f t="shared" ref="G74:G80" si="10">1/G65*G$19</f>
        <v>1.1480450123974826</v>
      </c>
      <c r="H74" s="13">
        <f t="shared" ref="H74:J80" si="11">1/H65*H$19</f>
        <v>0.71752813274842653</v>
      </c>
      <c r="I74" s="13">
        <f t="shared" si="11"/>
        <v>0.71752813274842653</v>
      </c>
      <c r="J74" s="13">
        <f t="shared" si="11"/>
        <v>0.74543200457753189</v>
      </c>
    </row>
    <row r="75" spans="2:21" x14ac:dyDescent="0.25">
      <c r="C75" t="s">
        <v>133</v>
      </c>
      <c r="E75" s="13">
        <f t="shared" si="9"/>
        <v>0.77679124509601494</v>
      </c>
      <c r="F75" s="48"/>
      <c r="G75" s="13">
        <f t="shared" si="10"/>
        <v>1.242865992153624</v>
      </c>
      <c r="H75" s="13">
        <f t="shared" si="11"/>
        <v>0.77679124509601494</v>
      </c>
      <c r="I75" s="13">
        <f t="shared" si="11"/>
        <v>0.77679124509601494</v>
      </c>
      <c r="J75" s="13">
        <f t="shared" si="11"/>
        <v>0.80699979351641549</v>
      </c>
    </row>
    <row r="76" spans="2:21" x14ac:dyDescent="0.25">
      <c r="C76" t="s">
        <v>92</v>
      </c>
      <c r="E76" s="13">
        <f t="shared" si="9"/>
        <v>0.93049715557754153</v>
      </c>
      <c r="F76" s="48"/>
      <c r="G76" s="13">
        <f t="shared" si="10"/>
        <v>1.4887954489240665</v>
      </c>
      <c r="H76" s="13">
        <f t="shared" si="11"/>
        <v>0.93049715557754153</v>
      </c>
      <c r="I76" s="13">
        <f t="shared" si="11"/>
        <v>0.93049715557754153</v>
      </c>
      <c r="J76" s="13">
        <f t="shared" si="11"/>
        <v>0.96668315607222377</v>
      </c>
    </row>
    <row r="77" spans="2:21" x14ac:dyDescent="0.25">
      <c r="C77" t="s">
        <v>134</v>
      </c>
      <c r="E77" s="13">
        <f t="shared" si="9"/>
        <v>1.1600370027752083</v>
      </c>
      <c r="F77" s="48"/>
      <c r="G77" s="13">
        <f t="shared" si="10"/>
        <v>1.8560592044403332</v>
      </c>
      <c r="H77" s="13">
        <f t="shared" si="11"/>
        <v>1.1600370027752083</v>
      </c>
      <c r="I77" s="13">
        <f t="shared" si="11"/>
        <v>1.1600370027752083</v>
      </c>
      <c r="J77" s="13">
        <f t="shared" si="11"/>
        <v>1.2051495528831329</v>
      </c>
    </row>
    <row r="78" spans="2:21" x14ac:dyDescent="0.25">
      <c r="C78" t="s">
        <v>93</v>
      </c>
      <c r="E78" s="13">
        <f t="shared" si="9"/>
        <v>1.5399099467867376</v>
      </c>
      <c r="F78" s="48"/>
      <c r="G78" s="13">
        <f t="shared" si="10"/>
        <v>2.4638559148587804</v>
      </c>
      <c r="H78" s="13">
        <f t="shared" si="11"/>
        <v>1.5399099467867376</v>
      </c>
      <c r="I78" s="13">
        <f t="shared" si="11"/>
        <v>1.5399099467867376</v>
      </c>
      <c r="J78" s="13">
        <f t="shared" si="11"/>
        <v>1.5997953336062218</v>
      </c>
    </row>
    <row r="79" spans="2:21" x14ac:dyDescent="0.25">
      <c r="C79" t="s">
        <v>135</v>
      </c>
      <c r="E79" s="13">
        <f t="shared" si="9"/>
        <v>2.2897139379184424</v>
      </c>
      <c r="F79" s="48"/>
      <c r="G79" s="13">
        <f t="shared" si="10"/>
        <v>3.663542300669508</v>
      </c>
      <c r="H79" s="13">
        <f t="shared" si="11"/>
        <v>2.2897139379184424</v>
      </c>
      <c r="I79" s="13">
        <f t="shared" si="11"/>
        <v>2.2897139379184424</v>
      </c>
      <c r="J79" s="13">
        <f t="shared" si="11"/>
        <v>2.3787583688374929</v>
      </c>
      <c r="U79" t="s">
        <v>167</v>
      </c>
    </row>
    <row r="80" spans="2:21" x14ac:dyDescent="0.25">
      <c r="C80" t="s">
        <v>94</v>
      </c>
      <c r="E80" s="13">
        <f t="shared" si="9"/>
        <v>4.4626334519572968</v>
      </c>
      <c r="F80" s="48"/>
      <c r="G80" s="13">
        <f t="shared" si="10"/>
        <v>7.140213523131675</v>
      </c>
      <c r="H80" s="13">
        <f t="shared" si="11"/>
        <v>4.4626334519572968</v>
      </c>
      <c r="I80" s="13">
        <f t="shared" si="11"/>
        <v>4.4626334519572968</v>
      </c>
      <c r="J80" s="13">
        <f t="shared" si="11"/>
        <v>4.6361803084223023</v>
      </c>
    </row>
    <row r="81" spans="2:10" x14ac:dyDescent="0.25">
      <c r="E81" s="13"/>
      <c r="F81" s="48"/>
      <c r="G81" s="13"/>
      <c r="H81" s="13"/>
      <c r="I81" s="48"/>
      <c r="J81" s="48"/>
    </row>
    <row r="82" spans="2:10" x14ac:dyDescent="0.25">
      <c r="G82"/>
      <c r="H82"/>
    </row>
    <row r="83" spans="2:10" x14ac:dyDescent="0.25">
      <c r="B83" t="s">
        <v>100</v>
      </c>
      <c r="C83" t="s">
        <v>95</v>
      </c>
      <c r="D83" s="4">
        <v>0</v>
      </c>
      <c r="E83" s="13"/>
      <c r="F83" s="48"/>
      <c r="G83" s="13"/>
      <c r="H83" s="13"/>
      <c r="I83" s="48"/>
      <c r="J83" s="48"/>
    </row>
    <row r="84" spans="2:10" x14ac:dyDescent="0.25">
      <c r="C84" t="s">
        <v>136</v>
      </c>
      <c r="D84" s="4">
        <v>0.5</v>
      </c>
      <c r="E84" s="13">
        <f t="shared" ref="E84:E90" si="12">Cycle_energy__kWh/$D84</f>
        <v>9.9</v>
      </c>
      <c r="F84" s="48"/>
      <c r="G84" s="13">
        <f>G$20/$D84</f>
        <v>15.840000000000002</v>
      </c>
      <c r="H84" s="13">
        <f>H$20/$D84</f>
        <v>9.9</v>
      </c>
      <c r="I84" s="13">
        <f>I$20/$D84</f>
        <v>9.9</v>
      </c>
      <c r="J84" s="13">
        <f>J$20/$D84</f>
        <v>10.285</v>
      </c>
    </row>
    <row r="85" spans="2:10" x14ac:dyDescent="0.25">
      <c r="C85" t="s">
        <v>137</v>
      </c>
      <c r="D85" s="4">
        <v>1</v>
      </c>
      <c r="E85" s="13">
        <f t="shared" si="12"/>
        <v>4.95</v>
      </c>
      <c r="F85" s="48"/>
      <c r="G85" s="13">
        <f t="shared" ref="G85:J90" si="13">G$20/$D85</f>
        <v>7.9200000000000008</v>
      </c>
      <c r="H85" s="13">
        <f t="shared" si="13"/>
        <v>4.95</v>
      </c>
      <c r="I85" s="13">
        <f t="shared" si="13"/>
        <v>4.95</v>
      </c>
      <c r="J85" s="13">
        <f t="shared" si="13"/>
        <v>5.1425000000000001</v>
      </c>
    </row>
    <row r="86" spans="2:10" x14ac:dyDescent="0.25">
      <c r="C86" t="s">
        <v>96</v>
      </c>
      <c r="D86" s="4">
        <v>2</v>
      </c>
      <c r="E86" s="13">
        <f t="shared" si="12"/>
        <v>2.4750000000000001</v>
      </c>
      <c r="F86" s="48"/>
      <c r="G86" s="13">
        <f t="shared" si="13"/>
        <v>3.9600000000000004</v>
      </c>
      <c r="H86" s="13">
        <f t="shared" si="13"/>
        <v>2.4750000000000001</v>
      </c>
      <c r="I86" s="13">
        <f t="shared" si="13"/>
        <v>2.4750000000000001</v>
      </c>
      <c r="J86" s="13">
        <f t="shared" si="13"/>
        <v>2.57125</v>
      </c>
    </row>
    <row r="87" spans="2:10" x14ac:dyDescent="0.25">
      <c r="C87" t="s">
        <v>138</v>
      </c>
      <c r="D87" s="4">
        <v>3</v>
      </c>
      <c r="E87" s="13">
        <f t="shared" si="12"/>
        <v>1.6500000000000001</v>
      </c>
      <c r="F87" s="48"/>
      <c r="G87" s="13">
        <f t="shared" si="13"/>
        <v>2.64</v>
      </c>
      <c r="H87" s="13">
        <f t="shared" si="13"/>
        <v>1.6500000000000001</v>
      </c>
      <c r="I87" s="13">
        <f t="shared" si="13"/>
        <v>1.6500000000000001</v>
      </c>
      <c r="J87" s="13">
        <f t="shared" si="13"/>
        <v>1.7141666666666666</v>
      </c>
    </row>
    <row r="88" spans="2:10" x14ac:dyDescent="0.25">
      <c r="C88" t="s">
        <v>97</v>
      </c>
      <c r="D88" s="4">
        <v>4</v>
      </c>
      <c r="E88" s="13">
        <f t="shared" si="12"/>
        <v>1.2375</v>
      </c>
      <c r="F88" s="48"/>
      <c r="G88" s="13">
        <f t="shared" si="13"/>
        <v>1.9800000000000002</v>
      </c>
      <c r="H88" s="13">
        <f t="shared" si="13"/>
        <v>1.2375</v>
      </c>
      <c r="I88" s="13">
        <f t="shared" si="13"/>
        <v>1.2375</v>
      </c>
      <c r="J88" s="13">
        <f t="shared" si="13"/>
        <v>1.285625</v>
      </c>
    </row>
    <row r="89" spans="2:10" x14ac:dyDescent="0.25">
      <c r="C89" t="s">
        <v>139</v>
      </c>
      <c r="D89" s="4">
        <v>5</v>
      </c>
      <c r="E89" s="13">
        <f t="shared" si="12"/>
        <v>0.99</v>
      </c>
      <c r="F89" s="48"/>
      <c r="G89" s="13">
        <f t="shared" si="13"/>
        <v>1.5840000000000001</v>
      </c>
      <c r="H89" s="13">
        <f t="shared" si="13"/>
        <v>0.99</v>
      </c>
      <c r="I89" s="13">
        <f t="shared" si="13"/>
        <v>0.99</v>
      </c>
      <c r="J89" s="13">
        <f t="shared" si="13"/>
        <v>1.0285</v>
      </c>
    </row>
    <row r="90" spans="2:10" x14ac:dyDescent="0.25">
      <c r="C90" t="s">
        <v>98</v>
      </c>
      <c r="D90" s="4">
        <v>6</v>
      </c>
      <c r="E90" s="13">
        <f t="shared" si="12"/>
        <v>0.82500000000000007</v>
      </c>
      <c r="F90" s="48"/>
      <c r="G90" s="13">
        <f t="shared" si="13"/>
        <v>1.32</v>
      </c>
      <c r="H90" s="13">
        <f t="shared" si="13"/>
        <v>0.82500000000000007</v>
      </c>
      <c r="I90" s="13">
        <f t="shared" si="13"/>
        <v>0.82500000000000007</v>
      </c>
      <c r="J90" s="13">
        <f t="shared" si="13"/>
        <v>0.85708333333333331</v>
      </c>
    </row>
    <row r="91" spans="2:10" x14ac:dyDescent="0.25">
      <c r="G91"/>
      <c r="H91"/>
    </row>
    <row r="92" spans="2:10" x14ac:dyDescent="0.25">
      <c r="B92" t="s">
        <v>101</v>
      </c>
      <c r="C92" t="s">
        <v>102</v>
      </c>
      <c r="E92" s="7"/>
      <c r="F92" s="44"/>
      <c r="G92" s="7"/>
      <c r="H92" s="7"/>
      <c r="I92" s="44"/>
      <c r="J92" s="44"/>
    </row>
    <row r="93" spans="2:10" x14ac:dyDescent="0.25">
      <c r="C93" t="s">
        <v>140</v>
      </c>
      <c r="E93" s="7">
        <f t="shared" ref="E93:H99" si="14">E74+E84</f>
        <v>10.617528132748427</v>
      </c>
      <c r="F93" s="44"/>
      <c r="G93" s="7">
        <f t="shared" ref="G93:G99" si="15">G74+G84</f>
        <v>16.988045012397485</v>
      </c>
      <c r="H93" s="7">
        <f t="shared" si="14"/>
        <v>10.617528132748427</v>
      </c>
      <c r="I93" s="7">
        <f t="shared" ref="I93:J99" si="16">I74+I84</f>
        <v>10.617528132748427</v>
      </c>
      <c r="J93" s="7">
        <f t="shared" si="16"/>
        <v>11.030432004577532</v>
      </c>
    </row>
    <row r="94" spans="2:10" x14ac:dyDescent="0.25">
      <c r="C94" t="s">
        <v>141</v>
      </c>
      <c r="E94" s="7">
        <f t="shared" si="14"/>
        <v>5.726791245096015</v>
      </c>
      <c r="F94" s="44"/>
      <c r="G94" s="7">
        <f t="shared" si="15"/>
        <v>9.1628659921536251</v>
      </c>
      <c r="H94" s="7">
        <f t="shared" si="14"/>
        <v>5.726791245096015</v>
      </c>
      <c r="I94" s="7">
        <f t="shared" si="16"/>
        <v>5.726791245096015</v>
      </c>
      <c r="J94" s="7">
        <f t="shared" si="16"/>
        <v>5.9494997935164156</v>
      </c>
    </row>
    <row r="95" spans="2:10" x14ac:dyDescent="0.25">
      <c r="C95" t="s">
        <v>103</v>
      </c>
      <c r="E95" s="7">
        <f t="shared" si="14"/>
        <v>3.4054971555775415</v>
      </c>
      <c r="F95" s="44"/>
      <c r="G95" s="7">
        <f t="shared" si="15"/>
        <v>5.4487954489240664</v>
      </c>
      <c r="H95" s="7">
        <f t="shared" si="14"/>
        <v>3.4054971555775415</v>
      </c>
      <c r="I95" s="7">
        <f t="shared" si="16"/>
        <v>3.4054971555775415</v>
      </c>
      <c r="J95" s="7">
        <f t="shared" si="16"/>
        <v>3.5379331560722238</v>
      </c>
    </row>
    <row r="96" spans="2:10" x14ac:dyDescent="0.25">
      <c r="C96" t="s">
        <v>142</v>
      </c>
      <c r="E96" s="7">
        <f t="shared" si="14"/>
        <v>2.8100370027752084</v>
      </c>
      <c r="F96" s="44"/>
      <c r="G96" s="7">
        <f t="shared" si="15"/>
        <v>4.4960592044403338</v>
      </c>
      <c r="H96" s="7">
        <f t="shared" si="14"/>
        <v>2.8100370027752084</v>
      </c>
      <c r="I96" s="7">
        <f t="shared" si="16"/>
        <v>2.8100370027752084</v>
      </c>
      <c r="J96" s="7">
        <f t="shared" si="16"/>
        <v>2.9193162195497995</v>
      </c>
    </row>
    <row r="97" spans="3:10" x14ac:dyDescent="0.25">
      <c r="C97" t="s">
        <v>104</v>
      </c>
      <c r="E97" s="7">
        <f t="shared" si="14"/>
        <v>2.7774099467867375</v>
      </c>
      <c r="F97" s="44"/>
      <c r="G97" s="7">
        <f t="shared" si="15"/>
        <v>4.4438559148587808</v>
      </c>
      <c r="H97" s="7">
        <f t="shared" si="14"/>
        <v>2.7774099467867375</v>
      </c>
      <c r="I97" s="7">
        <f t="shared" si="16"/>
        <v>2.7774099467867375</v>
      </c>
      <c r="J97" s="7">
        <f t="shared" si="16"/>
        <v>2.8854203336062216</v>
      </c>
    </row>
    <row r="98" spans="3:10" x14ac:dyDescent="0.25">
      <c r="C98" t="s">
        <v>143</v>
      </c>
      <c r="E98" s="7">
        <f t="shared" si="14"/>
        <v>3.2797139379184426</v>
      </c>
      <c r="F98" s="44"/>
      <c r="G98" s="7">
        <f t="shared" si="15"/>
        <v>5.2475423006695081</v>
      </c>
      <c r="H98" s="7">
        <f t="shared" si="14"/>
        <v>3.2797139379184426</v>
      </c>
      <c r="I98" s="7">
        <f t="shared" si="16"/>
        <v>3.2797139379184426</v>
      </c>
      <c r="J98" s="7">
        <f t="shared" si="16"/>
        <v>3.4072583688374927</v>
      </c>
    </row>
    <row r="99" spans="3:10" x14ac:dyDescent="0.25">
      <c r="C99" t="s">
        <v>105</v>
      </c>
      <c r="E99" s="7">
        <f t="shared" si="14"/>
        <v>5.2876334519572969</v>
      </c>
      <c r="F99" s="44"/>
      <c r="G99" s="7">
        <f t="shared" si="15"/>
        <v>8.4602135231316744</v>
      </c>
      <c r="H99" s="7">
        <f t="shared" si="14"/>
        <v>5.2876334519572969</v>
      </c>
      <c r="I99" s="7">
        <f t="shared" si="16"/>
        <v>5.2876334519572969</v>
      </c>
      <c r="J99" s="7">
        <f t="shared" si="16"/>
        <v>5.493263641755636</v>
      </c>
    </row>
    <row r="100" spans="3:10" x14ac:dyDescent="0.25">
      <c r="G100"/>
      <c r="H100"/>
    </row>
    <row r="101" spans="3:10" x14ac:dyDescent="0.25">
      <c r="C101" t="s">
        <v>106</v>
      </c>
      <c r="E101" s="7"/>
      <c r="F101" s="44"/>
      <c r="G101" s="7"/>
      <c r="H101" s="7"/>
      <c r="I101" s="44"/>
      <c r="J101" s="44"/>
    </row>
    <row r="102" spans="3:10" x14ac:dyDescent="0.25">
      <c r="C102" t="s">
        <v>144</v>
      </c>
      <c r="E102" s="7">
        <f t="shared" ref="E102:H107" si="17">E74/E93</f>
        <v>6.7579583852036273E-2</v>
      </c>
      <c r="F102" s="44"/>
      <c r="G102" s="7">
        <f t="shared" ref="G102:G108" si="18">G74/G93</f>
        <v>6.7579583852036287E-2</v>
      </c>
      <c r="H102" s="7">
        <f t="shared" si="17"/>
        <v>6.7579583852036273E-2</v>
      </c>
      <c r="I102" s="7">
        <f t="shared" ref="I102:J108" si="19">I74/I93</f>
        <v>6.7579583852036273E-2</v>
      </c>
      <c r="J102" s="7">
        <f t="shared" si="19"/>
        <v>6.7579583852036273E-2</v>
      </c>
    </row>
    <row r="103" spans="3:10" x14ac:dyDescent="0.25">
      <c r="C103" t="s">
        <v>145</v>
      </c>
      <c r="E103" s="7">
        <f t="shared" si="17"/>
        <v>0.13564162056041407</v>
      </c>
      <c r="F103" s="44"/>
      <c r="G103" s="7">
        <f t="shared" si="18"/>
        <v>0.13564162056041407</v>
      </c>
      <c r="H103" s="7">
        <f t="shared" si="17"/>
        <v>0.13564162056041407</v>
      </c>
      <c r="I103" s="7">
        <f t="shared" si="19"/>
        <v>0.13564162056041407</v>
      </c>
      <c r="J103" s="7">
        <f t="shared" si="19"/>
        <v>0.13564162056041407</v>
      </c>
    </row>
    <row r="104" spans="3:10" x14ac:dyDescent="0.25">
      <c r="C104" t="s">
        <v>107</v>
      </c>
      <c r="E104" s="7">
        <f t="shared" si="17"/>
        <v>0.27323386661873095</v>
      </c>
      <c r="F104" s="44"/>
      <c r="G104" s="7">
        <f t="shared" si="18"/>
        <v>0.27323386661873095</v>
      </c>
      <c r="H104" s="7">
        <f t="shared" si="17"/>
        <v>0.27323386661873095</v>
      </c>
      <c r="I104" s="7">
        <f t="shared" si="19"/>
        <v>0.27323386661873095</v>
      </c>
      <c r="J104" s="7">
        <f t="shared" si="19"/>
        <v>0.27323386661873095</v>
      </c>
    </row>
    <row r="105" spans="3:10" x14ac:dyDescent="0.25">
      <c r="C105" t="s">
        <v>146</v>
      </c>
      <c r="E105" s="7">
        <f t="shared" si="17"/>
        <v>0.41281912004345467</v>
      </c>
      <c r="F105" s="44"/>
      <c r="G105" s="7">
        <f t="shared" si="18"/>
        <v>0.41281912004345461</v>
      </c>
      <c r="H105" s="7">
        <f t="shared" si="17"/>
        <v>0.41281912004345467</v>
      </c>
      <c r="I105" s="7">
        <f t="shared" si="19"/>
        <v>0.41281912004345467</v>
      </c>
      <c r="J105" s="7">
        <f t="shared" si="19"/>
        <v>0.41281912004345467</v>
      </c>
    </row>
    <row r="106" spans="3:10" x14ac:dyDescent="0.25">
      <c r="C106" t="s">
        <v>108</v>
      </c>
      <c r="D106" s="20"/>
      <c r="E106" s="7">
        <f t="shared" si="17"/>
        <v>0.5544409994528543</v>
      </c>
      <c r="F106" s="44"/>
      <c r="G106" s="7">
        <f t="shared" si="18"/>
        <v>0.5544409994528543</v>
      </c>
      <c r="H106" s="7">
        <f t="shared" si="17"/>
        <v>0.5544409994528543</v>
      </c>
      <c r="I106" s="7">
        <f t="shared" si="19"/>
        <v>0.5544409994528543</v>
      </c>
      <c r="J106" s="7">
        <f t="shared" si="19"/>
        <v>0.5544409994528543</v>
      </c>
    </row>
    <row r="107" spans="3:10" x14ac:dyDescent="0.25">
      <c r="C107" t="s">
        <v>147</v>
      </c>
      <c r="D107" s="20"/>
      <c r="E107" s="7">
        <f t="shared" si="17"/>
        <v>0.69814440565864411</v>
      </c>
      <c r="F107" s="44"/>
      <c r="G107" s="7">
        <f t="shared" si="18"/>
        <v>0.69814440565864422</v>
      </c>
      <c r="H107" s="7">
        <f t="shared" si="17"/>
        <v>0.69814440565864411</v>
      </c>
      <c r="I107" s="7">
        <f t="shared" si="19"/>
        <v>0.69814440565864411</v>
      </c>
      <c r="J107" s="7">
        <f t="shared" si="19"/>
        <v>0.69814440565864422</v>
      </c>
    </row>
    <row r="108" spans="3:10" x14ac:dyDescent="0.25">
      <c r="C108" t="s">
        <v>109</v>
      </c>
      <c r="D108" s="20"/>
      <c r="E108" s="7">
        <f>E80/E99</f>
        <v>0.8439755691282621</v>
      </c>
      <c r="F108" s="44"/>
      <c r="G108" s="7">
        <f t="shared" si="18"/>
        <v>0.84397556912826222</v>
      </c>
      <c r="H108" s="7">
        <f>H80/H99</f>
        <v>0.8439755691282621</v>
      </c>
      <c r="I108" s="7">
        <f t="shared" si="19"/>
        <v>0.8439755691282621</v>
      </c>
      <c r="J108" s="7">
        <f t="shared" si="19"/>
        <v>0.8439755691282621</v>
      </c>
    </row>
    <row r="109" spans="3:10" x14ac:dyDescent="0.25">
      <c r="D109" s="20"/>
      <c r="E109" s="7"/>
      <c r="F109" s="44"/>
      <c r="G109" s="7"/>
      <c r="H109" s="7"/>
      <c r="I109" s="44"/>
      <c r="J109" s="44"/>
    </row>
    <row r="110" spans="3:10" x14ac:dyDescent="0.25">
      <c r="D110" s="20"/>
      <c r="G110"/>
      <c r="H110"/>
    </row>
    <row r="111" spans="3:10" x14ac:dyDescent="0.25">
      <c r="C111" s="14" t="s">
        <v>112</v>
      </c>
      <c r="D111" s="14">
        <v>0</v>
      </c>
      <c r="E111" s="15"/>
      <c r="F111" s="44"/>
      <c r="G111" s="44"/>
      <c r="H111" s="44"/>
      <c r="I111" s="44"/>
      <c r="J111" s="44"/>
    </row>
    <row r="112" spans="3:10" x14ac:dyDescent="0.25">
      <c r="C112" s="23" t="s">
        <v>148</v>
      </c>
      <c r="D112" s="23">
        <v>0.5</v>
      </c>
      <c r="E112" s="24">
        <f t="shared" ref="E112:E117" si="20">Engine_spec_d_life__h/Hours_in_a_year__h/E102</f>
        <v>33.783946166786833</v>
      </c>
      <c r="F112" s="44"/>
      <c r="G112" s="44">
        <f t="shared" ref="G112:G118" si="21">G$26/Hours_in_a_year__h/G102</f>
        <v>25.337959625090118</v>
      </c>
      <c r="H112" s="44">
        <f t="shared" ref="H112:J118" si="22">H$26/Hours_in_a_year__h/H102</f>
        <v>25.337959625090125</v>
      </c>
      <c r="I112" s="44">
        <f t="shared" si="22"/>
        <v>33.783946166786833</v>
      </c>
      <c r="J112" s="44">
        <f t="shared" si="22"/>
        <v>42.229932708483538</v>
      </c>
    </row>
    <row r="113" spans="3:10" x14ac:dyDescent="0.25">
      <c r="C113" s="23" t="s">
        <v>149</v>
      </c>
      <c r="D113" s="23">
        <v>1</v>
      </c>
      <c r="E113" s="24">
        <f t="shared" si="20"/>
        <v>16.831891372266284</v>
      </c>
      <c r="F113" s="44"/>
      <c r="G113" s="44">
        <f t="shared" si="21"/>
        <v>12.623918529199711</v>
      </c>
      <c r="H113" s="44">
        <f t="shared" si="22"/>
        <v>12.623918529199711</v>
      </c>
      <c r="I113" s="44">
        <f t="shared" si="22"/>
        <v>16.831891372266284</v>
      </c>
      <c r="J113" s="44">
        <f t="shared" si="22"/>
        <v>21.039864215332852</v>
      </c>
    </row>
    <row r="114" spans="3:10" x14ac:dyDescent="0.25">
      <c r="C114" s="14" t="s">
        <v>113</v>
      </c>
      <c r="D114" s="14">
        <v>2</v>
      </c>
      <c r="E114" s="15">
        <f t="shared" si="20"/>
        <v>8.3558639750060077</v>
      </c>
      <c r="F114" s="44"/>
      <c r="G114" s="44">
        <f t="shared" si="21"/>
        <v>6.2668979812545045</v>
      </c>
      <c r="H114" s="44">
        <f t="shared" si="22"/>
        <v>6.2668979812545045</v>
      </c>
      <c r="I114" s="44">
        <f t="shared" si="22"/>
        <v>8.3558639750060077</v>
      </c>
      <c r="J114" s="44">
        <f t="shared" si="22"/>
        <v>10.444829968757508</v>
      </c>
    </row>
    <row r="115" spans="3:10" x14ac:dyDescent="0.25">
      <c r="C115" s="14" t="s">
        <v>150</v>
      </c>
      <c r="D115" s="14">
        <v>3</v>
      </c>
      <c r="E115" s="15">
        <f t="shared" si="20"/>
        <v>5.5305215092525835</v>
      </c>
      <c r="F115" s="44"/>
      <c r="G115" s="44">
        <f t="shared" si="21"/>
        <v>4.1478911319394376</v>
      </c>
      <c r="H115" s="44">
        <f t="shared" si="22"/>
        <v>4.1478911319394376</v>
      </c>
      <c r="I115" s="44">
        <f t="shared" si="22"/>
        <v>5.5305215092525835</v>
      </c>
      <c r="J115" s="44">
        <f t="shared" si="22"/>
        <v>6.9131518865657293</v>
      </c>
    </row>
    <row r="116" spans="3:10" x14ac:dyDescent="0.25">
      <c r="C116" s="14" t="s">
        <v>114</v>
      </c>
      <c r="D116" s="14">
        <v>4</v>
      </c>
      <c r="E116" s="15">
        <f t="shared" si="20"/>
        <v>4.1178502763758713</v>
      </c>
      <c r="F116" s="44"/>
      <c r="G116" s="44">
        <f t="shared" si="21"/>
        <v>3.0883877072819033</v>
      </c>
      <c r="H116" s="44">
        <f t="shared" si="22"/>
        <v>3.0883877072819033</v>
      </c>
      <c r="I116" s="44">
        <f t="shared" si="22"/>
        <v>4.1178502763758713</v>
      </c>
      <c r="J116" s="44">
        <f t="shared" si="22"/>
        <v>5.1473128454698385</v>
      </c>
    </row>
    <row r="117" spans="3:10" x14ac:dyDescent="0.25">
      <c r="C117" s="14" t="s">
        <v>151</v>
      </c>
      <c r="D117" s="14">
        <v>5</v>
      </c>
      <c r="E117" s="15">
        <f t="shared" si="20"/>
        <v>3.270247536649844</v>
      </c>
      <c r="F117" s="44"/>
      <c r="G117" s="44">
        <f t="shared" si="21"/>
        <v>2.4526856524873826</v>
      </c>
      <c r="H117" s="44">
        <f t="shared" si="22"/>
        <v>2.452685652487383</v>
      </c>
      <c r="I117" s="44">
        <f t="shared" si="22"/>
        <v>3.270247536649844</v>
      </c>
      <c r="J117" s="44">
        <f t="shared" si="22"/>
        <v>4.0878094208123041</v>
      </c>
    </row>
    <row r="118" spans="3:10" x14ac:dyDescent="0.25">
      <c r="C118" s="14" t="s">
        <v>115</v>
      </c>
      <c r="D118" s="14">
        <v>6</v>
      </c>
      <c r="E118" s="15">
        <f>Engine_spec_d_life__h/Hours_in_a_year__h/E108</f>
        <v>2.7051790434991587</v>
      </c>
      <c r="F118" s="44"/>
      <c r="G118" s="44">
        <f t="shared" si="21"/>
        <v>2.0288842826243689</v>
      </c>
      <c r="H118" s="44">
        <f t="shared" si="22"/>
        <v>2.0288842826243689</v>
      </c>
      <c r="I118" s="44">
        <f t="shared" si="22"/>
        <v>2.7051790434991587</v>
      </c>
      <c r="J118" s="44">
        <f t="shared" si="22"/>
        <v>3.3814738043739485</v>
      </c>
    </row>
    <row r="119" spans="3:10" x14ac:dyDescent="0.25">
      <c r="C119" s="14"/>
      <c r="D119" s="14"/>
      <c r="E119" s="14"/>
    </row>
    <row r="120" spans="3:10" x14ac:dyDescent="0.25">
      <c r="C120" s="14" t="s">
        <v>118</v>
      </c>
      <c r="D120" s="14">
        <v>0</v>
      </c>
      <c r="E120" s="16"/>
      <c r="F120" s="40"/>
      <c r="G120" s="40"/>
      <c r="H120" s="40"/>
      <c r="I120" s="40"/>
      <c r="J120" s="40"/>
    </row>
    <row r="121" spans="3:10" x14ac:dyDescent="0.25">
      <c r="C121" s="23" t="s">
        <v>152</v>
      </c>
      <c r="D121" s="23">
        <v>0.5</v>
      </c>
      <c r="E121" s="24">
        <f t="shared" ref="E121:E126" si="23">Batt_Cycles_50__DOD__guesstimated/(Hours_in_a_year__h/E93)</f>
        <v>12.120465904963957</v>
      </c>
      <c r="F121" s="44"/>
      <c r="G121" s="44">
        <f t="shared" ref="G121:G127" si="24">G$23/(Hours_in_a_year__h/G93)</f>
        <v>5.8178236343826999</v>
      </c>
      <c r="H121" s="44">
        <f t="shared" ref="H121:J127" si="25">H$23/(Hours_in_a_year__h/H93)</f>
        <v>9.090349428722968</v>
      </c>
      <c r="I121" s="44">
        <f t="shared" si="25"/>
        <v>12.120465904963957</v>
      </c>
      <c r="J121" s="44">
        <f t="shared" si="25"/>
        <v>18.887726035235506</v>
      </c>
    </row>
    <row r="122" spans="3:10" x14ac:dyDescent="0.25">
      <c r="C122" s="23" t="s">
        <v>153</v>
      </c>
      <c r="D122" s="23">
        <v>1</v>
      </c>
      <c r="E122" s="24">
        <f t="shared" si="23"/>
        <v>6.537432928191798</v>
      </c>
      <c r="F122" s="44"/>
      <c r="G122" s="44">
        <f t="shared" si="24"/>
        <v>3.1379678055320634</v>
      </c>
      <c r="H122" s="44">
        <f t="shared" si="25"/>
        <v>4.9030746961438485</v>
      </c>
      <c r="I122" s="44">
        <f t="shared" si="25"/>
        <v>6.537432928191798</v>
      </c>
      <c r="J122" s="44">
        <f t="shared" si="25"/>
        <v>10.187499646432221</v>
      </c>
    </row>
    <row r="123" spans="3:10" x14ac:dyDescent="0.25">
      <c r="C123" s="14" t="s">
        <v>119</v>
      </c>
      <c r="D123" s="14">
        <v>2</v>
      </c>
      <c r="E123" s="15">
        <f t="shared" si="23"/>
        <v>3.8875538305679695</v>
      </c>
      <c r="F123" s="44"/>
      <c r="G123" s="44">
        <f t="shared" si="24"/>
        <v>1.8660258386726254</v>
      </c>
      <c r="H123" s="44">
        <f t="shared" si="25"/>
        <v>2.9156653729259774</v>
      </c>
      <c r="I123" s="44">
        <f t="shared" si="25"/>
        <v>3.8875538305679695</v>
      </c>
      <c r="J123" s="44">
        <f t="shared" si="25"/>
        <v>6.0581047193017543</v>
      </c>
    </row>
    <row r="124" spans="3:10" x14ac:dyDescent="0.25">
      <c r="C124" s="14" t="s">
        <v>154</v>
      </c>
      <c r="D124" s="14">
        <v>3</v>
      </c>
      <c r="E124" s="15">
        <f t="shared" si="23"/>
        <v>3.2078047976885942</v>
      </c>
      <c r="F124" s="44"/>
      <c r="G124" s="44">
        <f t="shared" si="24"/>
        <v>1.5397463028905254</v>
      </c>
      <c r="H124" s="44">
        <f t="shared" si="25"/>
        <v>2.4058535982664453</v>
      </c>
      <c r="I124" s="44">
        <f t="shared" si="25"/>
        <v>3.2078047976885942</v>
      </c>
      <c r="J124" s="44">
        <f t="shared" si="25"/>
        <v>4.998829143064726</v>
      </c>
    </row>
    <row r="125" spans="3:10" x14ac:dyDescent="0.25">
      <c r="C125" s="14" t="s">
        <v>120</v>
      </c>
      <c r="D125" s="14">
        <v>4</v>
      </c>
      <c r="E125" s="15">
        <f t="shared" si="23"/>
        <v>3.17055929998486</v>
      </c>
      <c r="F125" s="44"/>
      <c r="G125" s="44">
        <f t="shared" si="24"/>
        <v>1.5218684639927331</v>
      </c>
      <c r="H125" s="44">
        <f t="shared" si="25"/>
        <v>2.3779194749886452</v>
      </c>
      <c r="I125" s="44">
        <f t="shared" si="25"/>
        <v>3.17055929998486</v>
      </c>
      <c r="J125" s="44">
        <f t="shared" si="25"/>
        <v>4.9407882424764082</v>
      </c>
    </row>
    <row r="126" spans="3:10" x14ac:dyDescent="0.25">
      <c r="C126" s="14" t="s">
        <v>155</v>
      </c>
      <c r="D126" s="14">
        <v>5</v>
      </c>
      <c r="E126" s="15">
        <f t="shared" si="23"/>
        <v>3.7439656825552996</v>
      </c>
      <c r="F126" s="44"/>
      <c r="G126" s="44">
        <f t="shared" si="24"/>
        <v>1.7971035276265439</v>
      </c>
      <c r="H126" s="44">
        <f t="shared" si="25"/>
        <v>2.8079742619164745</v>
      </c>
      <c r="I126" s="44">
        <f t="shared" si="25"/>
        <v>3.7439656825552996</v>
      </c>
      <c r="J126" s="44">
        <f t="shared" si="25"/>
        <v>5.8343465219820096</v>
      </c>
    </row>
    <row r="127" spans="3:10" x14ac:dyDescent="0.25">
      <c r="C127" s="14" t="s">
        <v>121</v>
      </c>
      <c r="D127" s="14">
        <v>6</v>
      </c>
      <c r="E127" s="15">
        <f>Batt_Cycles_50__DOD__guesstimated/(Hours_in_a_year__h/E99)</f>
        <v>6.0361112465265947</v>
      </c>
      <c r="F127" s="44"/>
      <c r="G127" s="44">
        <f t="shared" si="24"/>
        <v>2.8973333983327652</v>
      </c>
      <c r="H127" s="44">
        <f t="shared" si="25"/>
        <v>4.527083434894946</v>
      </c>
      <c r="I127" s="44">
        <f t="shared" si="25"/>
        <v>6.0361112465265947</v>
      </c>
      <c r="J127" s="44">
        <f t="shared" si="25"/>
        <v>9.406273359170612</v>
      </c>
    </row>
    <row r="129" spans="3:10" x14ac:dyDescent="0.25">
      <c r="C129" t="s">
        <v>123</v>
      </c>
      <c r="D129" s="20">
        <v>0</v>
      </c>
      <c r="E129" s="4"/>
      <c r="F129" s="40"/>
      <c r="G129" s="40"/>
      <c r="H129" s="40"/>
      <c r="I129" s="40"/>
      <c r="J129" s="40"/>
    </row>
    <row r="130" spans="3:10" x14ac:dyDescent="0.25">
      <c r="C130" s="23" t="s">
        <v>156</v>
      </c>
      <c r="D130" s="23">
        <v>0.5</v>
      </c>
      <c r="E130" s="24">
        <f t="shared" ref="E130:E135" si="26">(Engine_service_interval__h/E102)/24</f>
        <v>616.55701754385973</v>
      </c>
      <c r="F130" s="44"/>
      <c r="G130" s="44">
        <f>(G$28/G102)/24</f>
        <v>616.55701754385962</v>
      </c>
      <c r="H130" s="44">
        <f>(H$28/H102)/24</f>
        <v>616.55701754385973</v>
      </c>
      <c r="I130" s="44">
        <f>(I$28/I102)/24</f>
        <v>616.55701754385973</v>
      </c>
      <c r="J130" s="44">
        <f>(J$28/J102)/24</f>
        <v>616.55701754385973</v>
      </c>
    </row>
    <row r="131" spans="3:10" x14ac:dyDescent="0.25">
      <c r="C131" s="23" t="s">
        <v>157</v>
      </c>
      <c r="D131" s="23">
        <v>1</v>
      </c>
      <c r="E131" s="24">
        <f t="shared" si="26"/>
        <v>307.18201754385967</v>
      </c>
      <c r="F131" s="44"/>
      <c r="G131" s="44">
        <f t="shared" ref="G131:G136" si="27">(G$28/G103)/24</f>
        <v>307.18201754385967</v>
      </c>
      <c r="H131" s="44">
        <f t="shared" ref="H131:J136" si="28">(H$28/H103)/24</f>
        <v>307.18201754385967</v>
      </c>
      <c r="I131" s="44">
        <f t="shared" si="28"/>
        <v>307.18201754385967</v>
      </c>
      <c r="J131" s="44">
        <f t="shared" si="28"/>
        <v>307.18201754385967</v>
      </c>
    </row>
    <row r="132" spans="3:10" x14ac:dyDescent="0.25">
      <c r="C132" t="s">
        <v>124</v>
      </c>
      <c r="D132" s="20">
        <v>2</v>
      </c>
      <c r="E132" s="7">
        <f t="shared" si="26"/>
        <v>152.49451754385962</v>
      </c>
      <c r="F132" s="44"/>
      <c r="G132" s="44">
        <f t="shared" si="27"/>
        <v>152.49451754385962</v>
      </c>
      <c r="H132" s="44">
        <f t="shared" si="28"/>
        <v>152.49451754385962</v>
      </c>
      <c r="I132" s="44">
        <f t="shared" si="28"/>
        <v>152.49451754385962</v>
      </c>
      <c r="J132" s="44">
        <f t="shared" si="28"/>
        <v>152.49451754385962</v>
      </c>
    </row>
    <row r="133" spans="3:10" x14ac:dyDescent="0.25">
      <c r="C133" t="s">
        <v>158</v>
      </c>
      <c r="D133" s="20">
        <v>3</v>
      </c>
      <c r="E133" s="7">
        <f t="shared" si="26"/>
        <v>100.93201754385963</v>
      </c>
      <c r="F133" s="44"/>
      <c r="G133" s="44">
        <f t="shared" si="27"/>
        <v>100.93201754385966</v>
      </c>
      <c r="H133" s="44">
        <f t="shared" si="28"/>
        <v>100.93201754385963</v>
      </c>
      <c r="I133" s="44">
        <f t="shared" si="28"/>
        <v>100.93201754385963</v>
      </c>
      <c r="J133" s="44">
        <f t="shared" si="28"/>
        <v>100.93201754385963</v>
      </c>
    </row>
    <row r="134" spans="3:10" x14ac:dyDescent="0.25">
      <c r="C134" t="s">
        <v>125</v>
      </c>
      <c r="D134" s="20">
        <v>4</v>
      </c>
      <c r="E134" s="7">
        <f t="shared" si="26"/>
        <v>75.150767543859644</v>
      </c>
      <c r="F134" s="44"/>
      <c r="G134" s="44">
        <f t="shared" si="27"/>
        <v>75.150767543859644</v>
      </c>
      <c r="H134" s="44">
        <f t="shared" si="28"/>
        <v>75.150767543859644</v>
      </c>
      <c r="I134" s="44">
        <f t="shared" si="28"/>
        <v>75.150767543859644</v>
      </c>
      <c r="J134" s="44">
        <f t="shared" si="28"/>
        <v>75.150767543859644</v>
      </c>
    </row>
    <row r="135" spans="3:10" x14ac:dyDescent="0.25">
      <c r="C135" t="s">
        <v>159</v>
      </c>
      <c r="D135" s="20">
        <v>5</v>
      </c>
      <c r="E135" s="7">
        <f t="shared" si="26"/>
        <v>59.682017543859651</v>
      </c>
      <c r="F135" s="44"/>
      <c r="G135" s="44">
        <f t="shared" si="27"/>
        <v>59.682017543859644</v>
      </c>
      <c r="H135" s="44">
        <f t="shared" si="28"/>
        <v>59.682017543859651</v>
      </c>
      <c r="I135" s="44">
        <f t="shared" si="28"/>
        <v>59.682017543859651</v>
      </c>
      <c r="J135" s="44">
        <f t="shared" si="28"/>
        <v>59.682017543859644</v>
      </c>
    </row>
    <row r="136" spans="3:10" x14ac:dyDescent="0.25">
      <c r="C136" t="s">
        <v>126</v>
      </c>
      <c r="D136" s="20">
        <v>6</v>
      </c>
      <c r="E136" s="7">
        <f>(Engine_service_interval__h/E108)/24</f>
        <v>49.369517543859644</v>
      </c>
      <c r="F136" s="44"/>
      <c r="G136" s="44">
        <f t="shared" si="27"/>
        <v>49.369517543859644</v>
      </c>
      <c r="H136" s="44">
        <f t="shared" si="28"/>
        <v>49.369517543859644</v>
      </c>
      <c r="I136" s="44">
        <f t="shared" si="28"/>
        <v>49.369517543859644</v>
      </c>
      <c r="J136" s="44">
        <f t="shared" si="28"/>
        <v>49.369517543859644</v>
      </c>
    </row>
  </sheetData>
  <printOptions horizontalCentered="1" verticalCentered="1" gridLines="1"/>
  <pageMargins left="0.7" right="0.7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N39"/>
  <sheetViews>
    <sheetView topLeftCell="B1" workbookViewId="0">
      <selection activeCell="R36" sqref="R36"/>
    </sheetView>
  </sheetViews>
  <sheetFormatPr defaultRowHeight="15" x14ac:dyDescent="0.25"/>
  <cols>
    <col min="2" max="2" width="9.7109375" bestFit="1" customWidth="1"/>
    <col min="4" max="4" width="13.140625" customWidth="1"/>
    <col min="5" max="5" width="13.7109375" customWidth="1"/>
    <col min="6" max="6" width="13" customWidth="1"/>
    <col min="9" max="9" width="13.42578125" customWidth="1"/>
  </cols>
  <sheetData>
    <row r="28" spans="2:14" x14ac:dyDescent="0.25">
      <c r="B28" s="54">
        <v>42502</v>
      </c>
      <c r="C28" t="s">
        <v>180</v>
      </c>
    </row>
    <row r="30" spans="2:14" ht="60" x14ac:dyDescent="0.25">
      <c r="C30" t="s">
        <v>181</v>
      </c>
      <c r="D30" s="1" t="s">
        <v>183</v>
      </c>
      <c r="E30" s="1" t="s">
        <v>186</v>
      </c>
      <c r="F30" s="1"/>
      <c r="G30" t="s">
        <v>181</v>
      </c>
      <c r="H30" s="1" t="s">
        <v>184</v>
      </c>
      <c r="J30" t="s">
        <v>181</v>
      </c>
      <c r="K30" s="1" t="s">
        <v>187</v>
      </c>
      <c r="M30" t="s">
        <v>181</v>
      </c>
      <c r="N30" s="1" t="s">
        <v>185</v>
      </c>
    </row>
    <row r="31" spans="2:14" x14ac:dyDescent="0.25">
      <c r="C31">
        <v>0</v>
      </c>
      <c r="D31" s="1">
        <v>100</v>
      </c>
      <c r="E31" s="1">
        <v>100</v>
      </c>
      <c r="F31" s="1"/>
      <c r="G31">
        <v>0</v>
      </c>
      <c r="H31" s="1">
        <v>100</v>
      </c>
      <c r="J31" s="1">
        <v>0</v>
      </c>
      <c r="K31" s="1">
        <v>100</v>
      </c>
      <c r="M31" s="1">
        <v>3000</v>
      </c>
      <c r="N31" s="1">
        <v>80</v>
      </c>
    </row>
    <row r="32" spans="2:14" x14ac:dyDescent="0.25">
      <c r="C32">
        <v>500</v>
      </c>
      <c r="D32">
        <v>92.1</v>
      </c>
      <c r="E32">
        <v>92.1</v>
      </c>
      <c r="G32">
        <v>500</v>
      </c>
      <c r="H32">
        <v>92.1</v>
      </c>
      <c r="J32">
        <v>1000</v>
      </c>
      <c r="K32">
        <v>88.9</v>
      </c>
    </row>
    <row r="33" spans="3:11" x14ac:dyDescent="0.25">
      <c r="C33">
        <v>1000</v>
      </c>
      <c r="D33">
        <v>88.9</v>
      </c>
      <c r="E33">
        <v>88.9</v>
      </c>
      <c r="G33">
        <v>1000</v>
      </c>
      <c r="H33">
        <v>88.9</v>
      </c>
      <c r="J33">
        <v>7500</v>
      </c>
      <c r="K33">
        <v>80</v>
      </c>
    </row>
    <row r="34" spans="3:11" x14ac:dyDescent="0.25">
      <c r="C34">
        <v>1500</v>
      </c>
      <c r="D34">
        <v>87.3</v>
      </c>
      <c r="E34">
        <v>87.3</v>
      </c>
      <c r="G34">
        <v>1500</v>
      </c>
      <c r="H34">
        <v>87.3</v>
      </c>
    </row>
    <row r="35" spans="3:11" x14ac:dyDescent="0.25">
      <c r="C35">
        <v>2000</v>
      </c>
      <c r="D35">
        <v>86.1</v>
      </c>
      <c r="E35">
        <v>86.1</v>
      </c>
      <c r="G35">
        <v>2000</v>
      </c>
      <c r="H35">
        <v>86.1</v>
      </c>
    </row>
    <row r="36" spans="3:11" x14ac:dyDescent="0.25">
      <c r="C36">
        <v>2500</v>
      </c>
      <c r="D36">
        <v>85.3</v>
      </c>
      <c r="E36">
        <v>85.3</v>
      </c>
      <c r="G36">
        <v>2500</v>
      </c>
      <c r="H36">
        <v>85.3</v>
      </c>
    </row>
    <row r="37" spans="3:11" x14ac:dyDescent="0.25">
      <c r="C37">
        <v>3000</v>
      </c>
      <c r="D37">
        <v>84.5</v>
      </c>
      <c r="E37">
        <v>84.5</v>
      </c>
      <c r="G37">
        <v>3000</v>
      </c>
      <c r="H37">
        <v>84.5</v>
      </c>
    </row>
    <row r="38" spans="3:11" x14ac:dyDescent="0.25">
      <c r="C38">
        <v>3500</v>
      </c>
      <c r="D38">
        <v>84.1</v>
      </c>
      <c r="E38">
        <v>84.1</v>
      </c>
      <c r="G38">
        <v>3500</v>
      </c>
      <c r="H38">
        <v>84.1</v>
      </c>
    </row>
    <row r="39" spans="3:11" x14ac:dyDescent="0.25">
      <c r="C39">
        <v>10000</v>
      </c>
      <c r="E39">
        <v>80</v>
      </c>
      <c r="G39">
        <v>15000</v>
      </c>
      <c r="H39">
        <v>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abSelected="1" workbookViewId="0">
      <selection activeCell="I4" sqref="I4"/>
    </sheetView>
  </sheetViews>
  <sheetFormatPr defaultRowHeight="15" x14ac:dyDescent="0.25"/>
  <cols>
    <col min="2" max="2" width="36.42578125" customWidth="1"/>
    <col min="3" max="4" width="15.7109375" customWidth="1"/>
    <col min="5" max="5" width="9.5703125" bestFit="1" customWidth="1"/>
    <col min="7" max="7" width="15.7109375" customWidth="1"/>
  </cols>
  <sheetData>
    <row r="1" spans="2:7" x14ac:dyDescent="0.25">
      <c r="B1" s="54">
        <v>42643</v>
      </c>
    </row>
    <row r="2" spans="2:7" x14ac:dyDescent="0.25">
      <c r="B2" t="s">
        <v>192</v>
      </c>
    </row>
    <row r="3" spans="2:7" ht="45" x14ac:dyDescent="0.25">
      <c r="G3" s="56" t="s">
        <v>218</v>
      </c>
    </row>
    <row r="4" spans="2:7" ht="30" x14ac:dyDescent="0.25">
      <c r="C4" s="27" t="s">
        <v>210</v>
      </c>
      <c r="D4" s="27" t="s">
        <v>211</v>
      </c>
      <c r="E4" s="4" t="s">
        <v>216</v>
      </c>
      <c r="G4" s="27" t="s">
        <v>217</v>
      </c>
    </row>
    <row r="5" spans="2:7" x14ac:dyDescent="0.25">
      <c r="B5" t="s">
        <v>193</v>
      </c>
      <c r="C5">
        <v>24</v>
      </c>
      <c r="D5">
        <v>27.6</v>
      </c>
      <c r="G5">
        <v>27.6</v>
      </c>
    </row>
    <row r="6" spans="2:7" x14ac:dyDescent="0.25">
      <c r="B6" t="s">
        <v>196</v>
      </c>
      <c r="C6">
        <v>28.7</v>
      </c>
      <c r="D6">
        <v>32.4</v>
      </c>
      <c r="G6">
        <v>32.4</v>
      </c>
    </row>
    <row r="7" spans="2:7" x14ac:dyDescent="0.25">
      <c r="B7" t="s">
        <v>197</v>
      </c>
      <c r="C7">
        <v>21</v>
      </c>
      <c r="D7">
        <v>18</v>
      </c>
      <c r="G7">
        <v>18</v>
      </c>
    </row>
    <row r="8" spans="2:7" x14ac:dyDescent="0.25">
      <c r="B8" t="s">
        <v>194</v>
      </c>
      <c r="C8">
        <v>42.4</v>
      </c>
      <c r="D8">
        <v>40</v>
      </c>
      <c r="G8">
        <v>20</v>
      </c>
    </row>
    <row r="9" spans="2:7" x14ac:dyDescent="0.25">
      <c r="B9" t="s">
        <v>195</v>
      </c>
      <c r="C9">
        <v>600</v>
      </c>
      <c r="D9">
        <v>359</v>
      </c>
      <c r="G9">
        <v>359</v>
      </c>
    </row>
    <row r="10" spans="2:7" x14ac:dyDescent="0.25">
      <c r="B10" t="s">
        <v>195</v>
      </c>
      <c r="C10">
        <v>210</v>
      </c>
      <c r="D10">
        <v>187</v>
      </c>
      <c r="G10">
        <f>D10/2</f>
        <v>93.5</v>
      </c>
    </row>
    <row r="11" spans="2:7" x14ac:dyDescent="0.25">
      <c r="B11" t="s">
        <v>195</v>
      </c>
      <c r="C11">
        <v>56</v>
      </c>
      <c r="D11">
        <v>123</v>
      </c>
      <c r="G11">
        <v>123</v>
      </c>
    </row>
    <row r="12" spans="2:7" x14ac:dyDescent="0.25">
      <c r="B12" t="s">
        <v>205</v>
      </c>
      <c r="C12">
        <v>8</v>
      </c>
      <c r="D12">
        <v>14</v>
      </c>
      <c r="G12">
        <v>7</v>
      </c>
    </row>
    <row r="13" spans="2:7" x14ac:dyDescent="0.25">
      <c r="B13" t="s">
        <v>198</v>
      </c>
      <c r="C13">
        <v>21.2</v>
      </c>
      <c r="D13">
        <v>120</v>
      </c>
      <c r="G13">
        <v>120</v>
      </c>
    </row>
    <row r="14" spans="2:7" x14ac:dyDescent="0.25">
      <c r="B14" t="s">
        <v>199</v>
      </c>
      <c r="C14">
        <v>3000</v>
      </c>
      <c r="D14">
        <v>15000</v>
      </c>
      <c r="G14">
        <v>15000</v>
      </c>
    </row>
    <row r="15" spans="2:7" x14ac:dyDescent="0.25">
      <c r="B15" t="s">
        <v>212</v>
      </c>
      <c r="C15">
        <v>10000</v>
      </c>
    </row>
    <row r="17" spans="2:8" x14ac:dyDescent="0.25">
      <c r="B17" t="s">
        <v>200</v>
      </c>
      <c r="C17">
        <v>11</v>
      </c>
      <c r="D17">
        <v>10</v>
      </c>
      <c r="G17">
        <v>10</v>
      </c>
    </row>
    <row r="18" spans="2:8" x14ac:dyDescent="0.25">
      <c r="B18" t="s">
        <v>201</v>
      </c>
      <c r="C18">
        <v>308</v>
      </c>
      <c r="D18">
        <f>D17*D6</f>
        <v>324</v>
      </c>
      <c r="G18">
        <f>G17*G6</f>
        <v>324</v>
      </c>
    </row>
    <row r="19" spans="2:8" x14ac:dyDescent="0.25">
      <c r="B19" t="s">
        <v>202</v>
      </c>
      <c r="C19">
        <v>262</v>
      </c>
      <c r="D19">
        <f>D17*D7</f>
        <v>180</v>
      </c>
      <c r="G19">
        <f>G17*G7</f>
        <v>180</v>
      </c>
    </row>
    <row r="21" spans="2:8" x14ac:dyDescent="0.25">
      <c r="B21" t="s">
        <v>203</v>
      </c>
      <c r="C21">
        <v>200</v>
      </c>
      <c r="D21">
        <v>360</v>
      </c>
      <c r="G21">
        <v>360</v>
      </c>
    </row>
    <row r="22" spans="2:8" x14ac:dyDescent="0.25">
      <c r="B22" t="s">
        <v>204</v>
      </c>
      <c r="C22">
        <v>180</v>
      </c>
      <c r="D22">
        <v>375</v>
      </c>
      <c r="G22">
        <v>375</v>
      </c>
    </row>
    <row r="24" spans="2:8" x14ac:dyDescent="0.25">
      <c r="B24" t="s">
        <v>206</v>
      </c>
      <c r="C24">
        <f>C8*C5</f>
        <v>1017.5999999999999</v>
      </c>
      <c r="D24">
        <f>D8*D5</f>
        <v>1104</v>
      </c>
      <c r="G24">
        <f>G8*G5</f>
        <v>552</v>
      </c>
    </row>
    <row r="25" spans="2:8" x14ac:dyDescent="0.25">
      <c r="B25" t="s">
        <v>207</v>
      </c>
      <c r="C25">
        <f>C17*C24</f>
        <v>11193.599999999999</v>
      </c>
      <c r="D25">
        <f>D17*D24</f>
        <v>11040</v>
      </c>
      <c r="G25">
        <f>G17*G24</f>
        <v>5520</v>
      </c>
    </row>
    <row r="26" spans="2:8" x14ac:dyDescent="0.25">
      <c r="B26" t="s">
        <v>214</v>
      </c>
      <c r="C26">
        <v>0.55000000000000004</v>
      </c>
      <c r="D26">
        <v>0.8</v>
      </c>
      <c r="G26">
        <v>0.8</v>
      </c>
    </row>
    <row r="27" spans="2:8" x14ac:dyDescent="0.25">
      <c r="B27" t="s">
        <v>213</v>
      </c>
      <c r="C27">
        <f>C26*C25</f>
        <v>6156.48</v>
      </c>
      <c r="D27">
        <f>D26*D25</f>
        <v>8832</v>
      </c>
      <c r="G27">
        <f>G26*G25</f>
        <v>4416</v>
      </c>
      <c r="H27" s="3">
        <f>G27/C27</f>
        <v>0.71729299859660067</v>
      </c>
    </row>
    <row r="28" spans="2:8" x14ac:dyDescent="0.25">
      <c r="B28" t="s">
        <v>215</v>
      </c>
      <c r="C28">
        <f>C27*C15*0.9/1000</f>
        <v>55408.319999999992</v>
      </c>
      <c r="D28">
        <f>D27*D14*0.9/1000</f>
        <v>119232</v>
      </c>
      <c r="E28" s="3">
        <f>D28/C28</f>
        <v>2.1518789957898021</v>
      </c>
      <c r="G28">
        <f>G27*G14*0.9/1000</f>
        <v>59616</v>
      </c>
      <c r="H28" s="3">
        <f>G28/C28</f>
        <v>1.0759394978949011</v>
      </c>
    </row>
    <row r="30" spans="2:8" x14ac:dyDescent="0.25">
      <c r="B30" t="s">
        <v>208</v>
      </c>
      <c r="C30">
        <f>C17*C12</f>
        <v>88</v>
      </c>
      <c r="D30">
        <f>D17*D12</f>
        <v>140</v>
      </c>
      <c r="E30" s="3">
        <f>D30/C30</f>
        <v>1.5909090909090908</v>
      </c>
      <c r="G30">
        <f>G17*G12</f>
        <v>70</v>
      </c>
      <c r="H30" s="3">
        <f>G30/C30</f>
        <v>0.79545454545454541</v>
      </c>
    </row>
    <row r="31" spans="2:8" x14ac:dyDescent="0.25">
      <c r="B31" t="s">
        <v>209</v>
      </c>
      <c r="C31">
        <f>C17*C9*C10*C11/(1000^3)</f>
        <v>7.7616000000000004E-2</v>
      </c>
      <c r="D31">
        <f>D17*D9*D10*D11/(1000^3)</f>
        <v>8.2573590000000002E-2</v>
      </c>
      <c r="E31" s="3">
        <f>D31/C31</f>
        <v>1.063873299319728</v>
      </c>
      <c r="G31">
        <f>G17*G9*G10*G11/(1000^3)</f>
        <v>4.1286795000000001E-2</v>
      </c>
      <c r="H31" s="3">
        <f>G31/C31</f>
        <v>0.53193664965986398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63</vt:i4>
      </vt:variant>
    </vt:vector>
  </HeadingPairs>
  <TitlesOfParts>
    <vt:vector size="68" baseType="lpstr">
      <vt:lpstr>Beckett Battery Modules</vt:lpstr>
      <vt:lpstr>Hygen Use Models</vt:lpstr>
      <vt:lpstr>5 year life projections</vt:lpstr>
      <vt:lpstr>Boston Power Life</vt:lpstr>
      <vt:lpstr>LTO comparison</vt:lpstr>
      <vt:lpstr>AC_accessory_load__kW</vt:lpstr>
      <vt:lpstr>Alternator_max_output__calculated___kW</vt:lpstr>
      <vt:lpstr>Alternator_power_efficiency</vt:lpstr>
      <vt:lpstr>'5 year life projections'!Avg_bank_energy_over_lifetime</vt:lpstr>
      <vt:lpstr>Avg_bank_energy_over_lifetime</vt:lpstr>
      <vt:lpstr>'5 year life projections'!Batt_bank_energy__kWh</vt:lpstr>
      <vt:lpstr>Batt_bank_energy__kWh</vt:lpstr>
      <vt:lpstr>'5 year life projections'!Batt_Cycles_50__DOD__guesstimated</vt:lpstr>
      <vt:lpstr>Batt_Cycles_50__DOD__guesstimated</vt:lpstr>
      <vt:lpstr>'5 year life projections'!Batt_Cycles_80__DOD</vt:lpstr>
      <vt:lpstr>Batt_Cycles_80__DOD</vt:lpstr>
      <vt:lpstr>'5 year life projections'!Batt_end_of_life_definition__capacity_degradation</vt:lpstr>
      <vt:lpstr>Batt_end_of_life_definition__capacity_degradation</vt:lpstr>
      <vt:lpstr>'5 year life projections'!Beckett_module_nominal_energy__kWh</vt:lpstr>
      <vt:lpstr>Beckett_module_nominal_energy__kWh</vt:lpstr>
      <vt:lpstr>'5 year life projections'!Cycle_energy__kWh</vt:lpstr>
      <vt:lpstr>Cycle_energy__kWh</vt:lpstr>
      <vt:lpstr>DC___DC_converter_power_efficiency</vt:lpstr>
      <vt:lpstr>'5 year life projections'!Depth_of_Discharge</vt:lpstr>
      <vt:lpstr>Depth_of_Discharge</vt:lpstr>
      <vt:lpstr>'5 year life projections'!Diesel_cost____l</vt:lpstr>
      <vt:lpstr>Diesel_cost____l</vt:lpstr>
      <vt:lpstr>Engine_efficiency__after_fan__alternator__etc.</vt:lpstr>
      <vt:lpstr>Engine_gross_intermittent_power__kW</vt:lpstr>
      <vt:lpstr>Engine_max_net_weighted_power__kW</vt:lpstr>
      <vt:lpstr>Engine_net_intermittent_power__kW</vt:lpstr>
      <vt:lpstr>'5 year life projections'!Engine_service_interval__h</vt:lpstr>
      <vt:lpstr>Engine_service_interval__h</vt:lpstr>
      <vt:lpstr>'5 year life projections'!Engine_spec_d_life__h</vt:lpstr>
      <vt:lpstr>Engine_spec_d_life__h</vt:lpstr>
      <vt:lpstr>Estimated_AC_inverter_efficiency</vt:lpstr>
      <vt:lpstr>Format_Parallel</vt:lpstr>
      <vt:lpstr>Format_Parallel_Stack</vt:lpstr>
      <vt:lpstr>Format_Series</vt:lpstr>
      <vt:lpstr>Format_Series_Stack</vt:lpstr>
      <vt:lpstr>'5 year life projections'!Fuel_Tank_Capacity__l</vt:lpstr>
      <vt:lpstr>Fuel_Tank_Capacity__l</vt:lpstr>
      <vt:lpstr>'5 year life projections'!Hours_in_a_year__h</vt:lpstr>
      <vt:lpstr>Hours_in_a_year__h</vt:lpstr>
      <vt:lpstr>Max_charge_rate</vt:lpstr>
      <vt:lpstr>Max_discharge_rate</vt:lpstr>
      <vt:lpstr>Max_rated_DC_power_output__kW</vt:lpstr>
      <vt:lpstr>Max_rated_tower_load__kW</vt:lpstr>
      <vt:lpstr>Maximum_engine_load_factor</vt:lpstr>
      <vt:lpstr>Nominal_Capacity</vt:lpstr>
      <vt:lpstr>Nominal_Capacity_Module</vt:lpstr>
      <vt:lpstr>Nominal_Energy</vt:lpstr>
      <vt:lpstr>Nominal_Energy_Module</vt:lpstr>
      <vt:lpstr>Nominal_Voltage</vt:lpstr>
      <vt:lpstr>NovaTorque_max_power__kW</vt:lpstr>
      <vt:lpstr>'5 year life projections'!Print_Area</vt:lpstr>
      <vt:lpstr>'Hygen Use Models'!Print_Area</vt:lpstr>
      <vt:lpstr>Rectifier_max_output__kW</vt:lpstr>
      <vt:lpstr>Rectifier_power_efficiency</vt:lpstr>
      <vt:lpstr>'5 year life projections'!SFC__l_kWh</vt:lpstr>
      <vt:lpstr>SFC__l_kWh</vt:lpstr>
      <vt:lpstr>Spec_d_AC_max_accessory_load__kW</vt:lpstr>
      <vt:lpstr>'5 year life projections'!Stack_height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2016-05-06T22:30:12Z</cp:lastPrinted>
  <dcterms:created xsi:type="dcterms:W3CDTF">2016-02-24T21:15:18Z</dcterms:created>
  <dcterms:modified xsi:type="dcterms:W3CDTF">2016-10-04T16:11:34Z</dcterms:modified>
</cp:coreProperties>
</file>