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lliemeadowcroft/Dropbox/PhDGithub/RemoteDumbbells/Code/Simulation/"/>
    </mc:Choice>
  </mc:AlternateContent>
  <xr:revisionPtr revIDLastSave="0" documentId="13_ncr:1_{6CB55508-0982-F04B-BC2F-E206F4188313}" xr6:coauthVersionLast="47" xr6:coauthVersionMax="47" xr10:uidLastSave="{00000000-0000-0000-0000-000000000000}"/>
  <bookViews>
    <workbookView xWindow="0" yWindow="500" windowWidth="35840" windowHeight="19680" activeTab="2" xr2:uid="{ED189204-B5FB-C14C-9C2F-B6646124A211}"/>
  </bookViews>
  <sheets>
    <sheet name="Sheet1" sheetId="1" r:id="rId1"/>
    <sheet name="Sheet2" sheetId="2" r:id="rId2"/>
    <sheet name="Sheet3" sheetId="3" r:id="rId3"/>
    <sheet name="Sheet4" sheetId="4" r:id="rId4"/>
    <sheet name="WrappedN" sheetId="5" r:id="rId5"/>
    <sheet name="Pathway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5" i="3" l="1"/>
  <c r="M5" i="3"/>
  <c r="A6" i="3"/>
  <c r="B6" i="3"/>
  <c r="O5" i="3"/>
  <c r="O6" i="3" s="1"/>
  <c r="I9" i="3"/>
  <c r="J9" i="3"/>
  <c r="E21" i="3"/>
  <c r="H20" i="3"/>
  <c r="F20" i="3"/>
  <c r="G9" i="3"/>
  <c r="F6" i="3"/>
  <c r="E6" i="3"/>
  <c r="D6" i="3"/>
  <c r="H7" i="3"/>
  <c r="I10" i="3" l="1"/>
  <c r="O35" i="3"/>
  <c r="N10" i="3"/>
  <c r="M10" i="3"/>
  <c r="E26" i="4"/>
  <c r="G26" i="4" s="1"/>
  <c r="E27" i="4"/>
  <c r="J25" i="4"/>
  <c r="G25" i="4"/>
  <c r="G27" i="4"/>
  <c r="G24" i="4"/>
  <c r="C27" i="4" l="1"/>
  <c r="C26" i="4"/>
  <c r="E25" i="4"/>
  <c r="E24" i="4"/>
  <c r="C15" i="4" l="1"/>
  <c r="E15" i="4"/>
  <c r="B17" i="4"/>
  <c r="E11" i="4"/>
  <c r="B13" i="4"/>
  <c r="C6" i="3"/>
  <c r="E7" i="4"/>
  <c r="E6" i="4"/>
  <c r="K13" i="3" l="1" a="1"/>
  <c r="K13" i="3" s="1"/>
  <c r="K12" i="3"/>
  <c r="D11" i="3"/>
  <c r="C11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G11" i="3"/>
  <c r="D12" i="3"/>
  <c r="D13" i="3"/>
  <c r="G13" i="3"/>
  <c r="G10" i="3"/>
  <c r="G14" i="3"/>
  <c r="F19" i="3"/>
  <c r="G19" i="3"/>
  <c r="C33" i="3"/>
  <c r="D34" i="3"/>
  <c r="D19" i="3"/>
  <c r="C19" i="3" s="1"/>
  <c r="E66" i="3"/>
  <c r="E65" i="3"/>
  <c r="E64" i="3"/>
  <c r="H19" i="3" l="1"/>
  <c r="F21" i="3"/>
  <c r="C12" i="3" s="1"/>
  <c r="F22" i="3"/>
  <c r="C13" i="3" s="1"/>
  <c r="F23" i="3"/>
  <c r="F24" i="3"/>
  <c r="F25" i="3"/>
  <c r="F26" i="3"/>
  <c r="F27" i="3"/>
  <c r="F28" i="3"/>
  <c r="F29" i="3"/>
  <c r="F30" i="3"/>
  <c r="F31" i="3"/>
  <c r="F32" i="3"/>
  <c r="F33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H63" i="3"/>
  <c r="J63" i="3" s="1"/>
  <c r="D53" i="3" l="1"/>
  <c r="C53" i="3" s="1"/>
  <c r="D52" i="3"/>
  <c r="C52" i="3" s="1"/>
  <c r="D51" i="3"/>
  <c r="C51" i="3" s="1"/>
  <c r="C47" i="3"/>
  <c r="H91" i="3" s="1"/>
  <c r="C46" i="3"/>
  <c r="H90" i="3" s="1"/>
  <c r="D50" i="3"/>
  <c r="D49" i="3"/>
  <c r="D48" i="3"/>
  <c r="D47" i="3"/>
  <c r="D46" i="3"/>
  <c r="D45" i="3"/>
  <c r="D44" i="3"/>
  <c r="C36" i="3"/>
  <c r="C37" i="3"/>
  <c r="C38" i="3"/>
  <c r="C39" i="3"/>
  <c r="C40" i="3"/>
  <c r="C41" i="3"/>
  <c r="D35" i="3"/>
  <c r="C35" i="3" s="1"/>
  <c r="D36" i="3"/>
  <c r="D37" i="3"/>
  <c r="D38" i="3"/>
  <c r="D39" i="3"/>
  <c r="D40" i="3"/>
  <c r="D41" i="3"/>
  <c r="D42" i="3"/>
  <c r="C42" i="3" s="1"/>
  <c r="D43" i="3"/>
  <c r="C43" i="3" s="1"/>
  <c r="C34" i="3"/>
  <c r="F34" i="3" s="1"/>
  <c r="C21" i="3"/>
  <c r="C23" i="3"/>
  <c r="C26" i="3"/>
  <c r="D23" i="3"/>
  <c r="D24" i="3"/>
  <c r="C24" i="3" s="1"/>
  <c r="D25" i="3"/>
  <c r="C25" i="3" s="1"/>
  <c r="D26" i="3"/>
  <c r="D27" i="3"/>
  <c r="C27" i="3" s="1"/>
  <c r="D28" i="3"/>
  <c r="C28" i="3" s="1"/>
  <c r="D29" i="3"/>
  <c r="C29" i="3" s="1"/>
  <c r="H73" i="3" s="1"/>
  <c r="D30" i="3"/>
  <c r="C30" i="3" s="1"/>
  <c r="D31" i="3"/>
  <c r="C31" i="3" s="1"/>
  <c r="D32" i="3"/>
  <c r="C32" i="3" s="1"/>
  <c r="D33" i="3"/>
  <c r="D20" i="3"/>
  <c r="C20" i="3" s="1"/>
  <c r="D21" i="3"/>
  <c r="D22" i="3"/>
  <c r="C22" i="3" s="1"/>
  <c r="G48" i="3" l="1"/>
  <c r="I92" i="3" s="1"/>
  <c r="G47" i="3"/>
  <c r="I91" i="3" s="1"/>
  <c r="K91" i="3" s="1"/>
  <c r="G46" i="3"/>
  <c r="I90" i="3" s="1"/>
  <c r="L90" i="3" s="1"/>
  <c r="G45" i="3"/>
  <c r="I89" i="3" s="1"/>
  <c r="G49" i="3"/>
  <c r="I93" i="3" s="1"/>
  <c r="C48" i="3"/>
  <c r="C49" i="3"/>
  <c r="H93" i="3" s="1"/>
  <c r="G50" i="3"/>
  <c r="I94" i="3" s="1"/>
  <c r="C50" i="3"/>
  <c r="H94" i="3" s="1"/>
  <c r="G44" i="3"/>
  <c r="I88" i="3" s="1"/>
  <c r="C44" i="3"/>
  <c r="H95" i="3"/>
  <c r="H96" i="3"/>
  <c r="C45" i="3"/>
  <c r="H97" i="3"/>
  <c r="G53" i="3"/>
  <c r="I97" i="3" s="1"/>
  <c r="G52" i="3"/>
  <c r="I96" i="3" s="1"/>
  <c r="G51" i="3"/>
  <c r="I95" i="3" s="1"/>
  <c r="I46" i="3"/>
  <c r="K90" i="3"/>
  <c r="H74" i="3"/>
  <c r="H71" i="3"/>
  <c r="H81" i="3"/>
  <c r="H79" i="3"/>
  <c r="I63" i="3"/>
  <c r="H78" i="3"/>
  <c r="H66" i="3"/>
  <c r="H86" i="3"/>
  <c r="H85" i="3"/>
  <c r="H83" i="3"/>
  <c r="H69" i="3"/>
  <c r="H68" i="3"/>
  <c r="H67" i="3"/>
  <c r="H65" i="3"/>
  <c r="H77" i="3"/>
  <c r="H72" i="3"/>
  <c r="H82" i="3"/>
  <c r="H80" i="3"/>
  <c r="H76" i="3"/>
  <c r="H84" i="3"/>
  <c r="H70" i="3"/>
  <c r="H87" i="3"/>
  <c r="H75" i="3"/>
  <c r="J90" i="3" l="1"/>
  <c r="J93" i="3"/>
  <c r="H47" i="3"/>
  <c r="L91" i="3"/>
  <c r="J91" i="3"/>
  <c r="K93" i="3"/>
  <c r="L93" i="3"/>
  <c r="H46" i="3"/>
  <c r="J94" i="3"/>
  <c r="I49" i="3"/>
  <c r="K97" i="3"/>
  <c r="H49" i="3"/>
  <c r="J97" i="3"/>
  <c r="J96" i="3"/>
  <c r="J95" i="3"/>
  <c r="I47" i="3"/>
  <c r="H45" i="3"/>
  <c r="H89" i="3"/>
  <c r="J89" i="3" s="1"/>
  <c r="K88" i="3"/>
  <c r="H88" i="3"/>
  <c r="J88" i="3" s="1"/>
  <c r="H64" i="3"/>
  <c r="I44" i="3"/>
  <c r="H44" i="3"/>
  <c r="L95" i="3"/>
  <c r="L96" i="3"/>
  <c r="L88" i="3"/>
  <c r="I48" i="3"/>
  <c r="H92" i="3"/>
  <c r="J92" i="3" s="1"/>
  <c r="K92" i="3"/>
  <c r="K89" i="3"/>
  <c r="H48" i="3"/>
  <c r="L92" i="3"/>
  <c r="I45" i="3"/>
  <c r="L89" i="3"/>
  <c r="H50" i="3"/>
  <c r="I50" i="3"/>
  <c r="K94" i="3"/>
  <c r="L94" i="3"/>
  <c r="I53" i="3"/>
  <c r="L97" i="3"/>
  <c r="H53" i="3"/>
  <c r="K96" i="3"/>
  <c r="I52" i="3"/>
  <c r="H52" i="3"/>
  <c r="K95" i="3"/>
  <c r="I51" i="3"/>
  <c r="H51" i="3"/>
  <c r="I19" i="3"/>
  <c r="G30" i="3"/>
  <c r="G42" i="3"/>
  <c r="J86" i="3" s="1"/>
  <c r="G24" i="3"/>
  <c r="G38" i="3"/>
  <c r="G28" i="3"/>
  <c r="G41" i="3"/>
  <c r="J85" i="3" s="1"/>
  <c r="G31" i="3"/>
  <c r="G43" i="3"/>
  <c r="J87" i="3" s="1"/>
  <c r="G36" i="3"/>
  <c r="G26" i="3"/>
  <c r="G40" i="3"/>
  <c r="G20" i="3"/>
  <c r="N11" i="3" s="1"/>
  <c r="G32" i="3"/>
  <c r="G22" i="3"/>
  <c r="G35" i="3"/>
  <c r="G25" i="3"/>
  <c r="G27" i="3"/>
  <c r="G21" i="3"/>
  <c r="G33" i="3"/>
  <c r="G34" i="3"/>
  <c r="G23" i="3"/>
  <c r="G37" i="3"/>
  <c r="G39" i="3"/>
  <c r="G29" i="3"/>
  <c r="J73" i="3" l="1"/>
  <c r="N20" i="3"/>
  <c r="J83" i="3"/>
  <c r="N30" i="3"/>
  <c r="J70" i="3"/>
  <c r="N17" i="3"/>
  <c r="J67" i="3"/>
  <c r="N14" i="3"/>
  <c r="J75" i="3"/>
  <c r="N22" i="3"/>
  <c r="J65" i="3"/>
  <c r="N12" i="3"/>
  <c r="J71" i="3"/>
  <c r="N18" i="3"/>
  <c r="J69" i="3"/>
  <c r="N16" i="3"/>
  <c r="J79" i="3"/>
  <c r="N26" i="3"/>
  <c r="J66" i="3"/>
  <c r="N13" i="3"/>
  <c r="J84" i="3"/>
  <c r="N31" i="3"/>
  <c r="J81" i="3"/>
  <c r="N28" i="3"/>
  <c r="J80" i="3"/>
  <c r="N27" i="3"/>
  <c r="J78" i="3"/>
  <c r="N25" i="3"/>
  <c r="J77" i="3"/>
  <c r="N24" i="3"/>
  <c r="J72" i="3"/>
  <c r="N19" i="3"/>
  <c r="J82" i="3"/>
  <c r="N29" i="3"/>
  <c r="J68" i="3"/>
  <c r="N15" i="3"/>
  <c r="J76" i="3"/>
  <c r="N23" i="3"/>
  <c r="J74" i="3"/>
  <c r="N21" i="3"/>
  <c r="J64" i="3"/>
  <c r="H37" i="3"/>
  <c r="I81" i="3"/>
  <c r="I37" i="3"/>
  <c r="H34" i="3"/>
  <c r="I78" i="3"/>
  <c r="I34" i="3"/>
  <c r="H41" i="3"/>
  <c r="I41" i="3"/>
  <c r="I85" i="3"/>
  <c r="H25" i="3"/>
  <c r="I25" i="3"/>
  <c r="I69" i="3"/>
  <c r="H35" i="3"/>
  <c r="I79" i="3"/>
  <c r="I35" i="3"/>
  <c r="H24" i="3"/>
  <c r="I68" i="3"/>
  <c r="I24" i="3"/>
  <c r="H36" i="3"/>
  <c r="I80" i="3"/>
  <c r="I36" i="3"/>
  <c r="H33" i="3"/>
  <c r="I33" i="3"/>
  <c r="I77" i="3"/>
  <c r="H21" i="3"/>
  <c r="I21" i="3"/>
  <c r="I65" i="3"/>
  <c r="H38" i="3"/>
  <c r="I38" i="3"/>
  <c r="I82" i="3"/>
  <c r="H42" i="3"/>
  <c r="I42" i="3"/>
  <c r="I86" i="3"/>
  <c r="H22" i="3"/>
  <c r="I22" i="3"/>
  <c r="I66" i="3"/>
  <c r="H32" i="3"/>
  <c r="I32" i="3"/>
  <c r="I76" i="3"/>
  <c r="H30" i="3"/>
  <c r="I30" i="3"/>
  <c r="I74" i="3"/>
  <c r="H23" i="3"/>
  <c r="I23" i="3"/>
  <c r="I67" i="3"/>
  <c r="H43" i="3"/>
  <c r="I43" i="3"/>
  <c r="I87" i="3"/>
  <c r="H28" i="3"/>
  <c r="I28" i="3"/>
  <c r="I72" i="3"/>
  <c r="I20" i="3"/>
  <c r="I64" i="3"/>
  <c r="K64" i="3" s="1"/>
  <c r="H31" i="3"/>
  <c r="I31" i="3"/>
  <c r="I75" i="3"/>
  <c r="H27" i="3"/>
  <c r="I71" i="3"/>
  <c r="I27" i="3"/>
  <c r="H29" i="3"/>
  <c r="I29" i="3"/>
  <c r="I73" i="3"/>
  <c r="H39" i="3"/>
  <c r="I39" i="3"/>
  <c r="I83" i="3"/>
  <c r="H40" i="3"/>
  <c r="I84" i="3"/>
  <c r="I40" i="3"/>
  <c r="H26" i="3"/>
  <c r="I70" i="3"/>
  <c r="I26" i="3"/>
  <c r="L63" i="3"/>
  <c r="K63" i="3"/>
  <c r="K69" i="3" l="1"/>
  <c r="L69" i="3"/>
  <c r="K66" i="3"/>
  <c r="L66" i="3"/>
  <c r="K75" i="3"/>
  <c r="L75" i="3"/>
  <c r="K71" i="3"/>
  <c r="L71" i="3"/>
  <c r="K86" i="3"/>
  <c r="L86" i="3"/>
  <c r="K67" i="3"/>
  <c r="L67" i="3"/>
  <c r="K77" i="3"/>
  <c r="L77" i="3"/>
  <c r="K84" i="3"/>
  <c r="L84" i="3"/>
  <c r="K82" i="3"/>
  <c r="L82" i="3"/>
  <c r="K87" i="3"/>
  <c r="L87" i="3"/>
  <c r="K70" i="3"/>
  <c r="L70" i="3"/>
  <c r="K80" i="3"/>
  <c r="L80" i="3"/>
  <c r="K83" i="3"/>
  <c r="L83" i="3"/>
  <c r="K85" i="3"/>
  <c r="L85" i="3"/>
  <c r="L64" i="3"/>
  <c r="K74" i="3"/>
  <c r="L74" i="3"/>
  <c r="K68" i="3"/>
  <c r="L68" i="3"/>
  <c r="K78" i="3"/>
  <c r="L78" i="3"/>
  <c r="K73" i="3"/>
  <c r="L73" i="3"/>
  <c r="K72" i="3"/>
  <c r="L72" i="3"/>
  <c r="K76" i="3"/>
  <c r="L76" i="3"/>
  <c r="K65" i="3"/>
  <c r="L65" i="3"/>
  <c r="K79" i="3"/>
  <c r="L79" i="3"/>
  <c r="K81" i="3"/>
  <c r="L81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<sst xmlns="http://schemas.openxmlformats.org/spreadsheetml/2006/main" count="311" uniqueCount="212">
  <si>
    <t>Dumbell Size</t>
  </si>
  <si>
    <t>Epsilon</t>
  </si>
  <si>
    <t>Ratio</t>
  </si>
  <si>
    <t>init conc = 0.15</t>
  </si>
  <si>
    <t>Description</t>
  </si>
  <si>
    <t>doesn't sink at all</t>
  </si>
  <si>
    <t>sinks in, no holes</t>
  </si>
  <si>
    <t>hole</t>
  </si>
  <si>
    <t>Doesn't sink in all the way, only a bit</t>
  </si>
  <si>
    <t>didn't attach</t>
  </si>
  <si>
    <t>exploded</t>
  </si>
  <si>
    <t>Shape?</t>
  </si>
  <si>
    <t>heart-shape deformation</t>
  </si>
  <si>
    <t>Probably will sink in after more time</t>
  </si>
  <si>
    <t>sort of heart shaped deformation</t>
  </si>
  <si>
    <t>little hole, sinks</t>
  </si>
  <si>
    <t>no hole, sinks</t>
  </si>
  <si>
    <t>exploded?</t>
  </si>
  <si>
    <t>no holes, sinks</t>
  </si>
  <si>
    <t>holes, sinks</t>
  </si>
  <si>
    <t>sinks, hole</t>
  </si>
  <si>
    <t>hole, almost sinks</t>
  </si>
  <si>
    <t>No holes, sinks</t>
  </si>
  <si>
    <t>sinks, small holes</t>
  </si>
  <si>
    <t>some have holes, some don't, pathways look v good</t>
  </si>
  <si>
    <t>doesn't crash</t>
  </si>
  <si>
    <t>Crashes?</t>
  </si>
  <si>
    <t>Seed</t>
  </si>
  <si>
    <t>2,3,4,5</t>
  </si>
  <si>
    <t>Doesn’t sink all the way</t>
  </si>
  <si>
    <t>holes?</t>
  </si>
  <si>
    <t>no</t>
  </si>
  <si>
    <t xml:space="preserve">Sinks? </t>
  </si>
  <si>
    <t>2,3,5</t>
  </si>
  <si>
    <t>crash (1/4)</t>
  </si>
  <si>
    <t>&lt;3</t>
  </si>
  <si>
    <t>Sinks all the way via breaking membrane</t>
  </si>
  <si>
    <t>at end</t>
  </si>
  <si>
    <t>Just about sinks all the way</t>
  </si>
  <si>
    <t>3,4</t>
  </si>
  <si>
    <t>crashes (2/4)</t>
  </si>
  <si>
    <t>about to sink through at end of run</t>
  </si>
  <si>
    <t>very quickly sinks through</t>
  </si>
  <si>
    <t>sinks rapidly</t>
  </si>
  <si>
    <t>sinks (similar to eps=24, size 2.5 speed)</t>
  </si>
  <si>
    <t>Sweet spot</t>
  </si>
  <si>
    <t>Size</t>
  </si>
  <si>
    <t>Eps</t>
  </si>
  <si>
    <t>looks like it might</t>
  </si>
  <si>
    <t xml:space="preserve">sinks </t>
  </si>
  <si>
    <t>crashes (2/3)</t>
  </si>
  <si>
    <t>2,4</t>
  </si>
  <si>
    <t>size</t>
  </si>
  <si>
    <t>eps</t>
  </si>
  <si>
    <t>27,28,29</t>
  </si>
  <si>
    <t>23,24,25</t>
  </si>
  <si>
    <t>19,20,21</t>
  </si>
  <si>
    <t>15,16,17</t>
  </si>
  <si>
    <t>13,14,15</t>
  </si>
  <si>
    <t>submitted?</t>
  </si>
  <si>
    <t>Processed?</t>
  </si>
  <si>
    <t>Y</t>
  </si>
  <si>
    <t>Plotted?</t>
  </si>
  <si>
    <t>eps15 has lobe</t>
  </si>
  <si>
    <t>eps 13, 14 have lobes</t>
  </si>
  <si>
    <t>Is it a lobe? Ovito</t>
  </si>
  <si>
    <t>Seed?</t>
  </si>
  <si>
    <t>N</t>
  </si>
  <si>
    <t xml:space="preserve">eps25 </t>
  </si>
  <si>
    <t>9,10</t>
  </si>
  <si>
    <t>13:9 14:1</t>
  </si>
  <si>
    <t>9:N, 10:N</t>
  </si>
  <si>
    <t>13: N 14: N</t>
  </si>
  <si>
    <t>running now:</t>
  </si>
  <si>
    <t>Larger dumbbells</t>
  </si>
  <si>
    <t>4.5, 5</t>
  </si>
  <si>
    <t>eps 8-12</t>
  </si>
  <si>
    <t>Different solute concs</t>
  </si>
  <si>
    <t>0-0.2</t>
  </si>
  <si>
    <t>size 2.5 eps 25</t>
  </si>
  <si>
    <t>size 4 eps 14</t>
  </si>
  <si>
    <t>init</t>
  </si>
  <si>
    <t>Lobe?</t>
  </si>
  <si>
    <t>n</t>
  </si>
  <si>
    <t>sortof</t>
  </si>
  <si>
    <t>eps 7,8,9</t>
  </si>
  <si>
    <t>Longer time (seeds 11-20)</t>
  </si>
  <si>
    <t>16,18,20</t>
  </si>
  <si>
    <t>seed 16/17</t>
  </si>
  <si>
    <t>doesn't sink</t>
  </si>
  <si>
    <t>System to use for speed plot:</t>
  </si>
  <si>
    <t>Init</t>
  </si>
  <si>
    <t>0-0.5?</t>
  </si>
  <si>
    <t>Rat</t>
  </si>
  <si>
    <t>0-3</t>
  </si>
  <si>
    <t>sinks</t>
  </si>
  <si>
    <t>Ran?</t>
  </si>
  <si>
    <t>Some notes about these:</t>
  </si>
  <si>
    <t>Dumbbell parameters:</t>
  </si>
  <si>
    <t>Volume of box</t>
  </si>
  <si>
    <t>Number of particles IN</t>
  </si>
  <si>
    <t>Number of particles OUT</t>
  </si>
  <si>
    <t>Pressure OUT</t>
  </si>
  <si>
    <t>Relation</t>
  </si>
  <si>
    <t>Temperature (lammps units)</t>
  </si>
  <si>
    <t>Vol of box without sphere</t>
  </si>
  <si>
    <t>Difference</t>
  </si>
  <si>
    <t>Pressure IN (N*T/V) [kB]</t>
  </si>
  <si>
    <t>one over the other</t>
  </si>
  <si>
    <t>one ova other</t>
  </si>
  <si>
    <t>eps20:doesn't sink</t>
  </si>
  <si>
    <t>either 21 or 22</t>
  </si>
  <si>
    <t>Chris code</t>
  </si>
  <si>
    <t>c_c0*packing*V_cell_in/V_cyto</t>
  </si>
  <si>
    <t>num_in</t>
  </si>
  <si>
    <t>packing*(V_box-V_cell_out)/V_cyto)</t>
  </si>
  <si>
    <t>num_out</t>
  </si>
  <si>
    <t>Numbin/Numout</t>
  </si>
  <si>
    <t>c_c0*V_cell_in/(V_box-V_cell_out)</t>
  </si>
  <si>
    <t>C_C0 = ratio between concs</t>
  </si>
  <si>
    <t>Pressure OUT* factor</t>
  </si>
  <si>
    <t>Pressure IN/factor</t>
  </si>
  <si>
    <t>^or this is 3* too big</t>
  </si>
  <si>
    <t>Rmin</t>
  </si>
  <si>
    <t>Rmax</t>
  </si>
  <si>
    <t>Vin_cell</t>
  </si>
  <si>
    <t>Vout_cell</t>
  </si>
  <si>
    <t>rat</t>
  </si>
  <si>
    <t>Number</t>
  </si>
  <si>
    <t>kBT/[V]**3</t>
  </si>
  <si>
    <t xml:space="preserve">kB </t>
  </si>
  <si>
    <t>nm</t>
  </si>
  <si>
    <t>10nm</t>
  </si>
  <si>
    <t>m^3</t>
  </si>
  <si>
    <t>m2 kg s-2 K-1</t>
  </si>
  <si>
    <t>T (=eps?)</t>
  </si>
  <si>
    <t>N/m^2</t>
  </si>
  <si>
    <t>P_in</t>
  </si>
  <si>
    <t>P_out</t>
  </si>
  <si>
    <t>Vout</t>
  </si>
  <si>
    <t>TENSION</t>
  </si>
  <si>
    <t>R*deltaP/2</t>
  </si>
  <si>
    <t>R</t>
  </si>
  <si>
    <t>Diff*5.6*10^-8/(24.154*2)</t>
  </si>
  <si>
    <t>N/m</t>
  </si>
  <si>
    <t>sigma</t>
  </si>
  <si>
    <t>Vin</t>
  </si>
  <si>
    <t>dumbbell diameter</t>
  </si>
  <si>
    <t>time</t>
  </si>
  <si>
    <t>SIZES</t>
  </si>
  <si>
    <t>THEIR DUMBBELL</t>
  </si>
  <si>
    <t>﻿0.98±0.03 µm</t>
  </si>
  <si>
    <t>THEIR GUV</t>
  </si>
  <si>
    <t>﻿10 and 100 µm</t>
  </si>
  <si>
    <t>diameter</t>
  </si>
  <si>
    <t>MY DUMBBELL</t>
  </si>
  <si>
    <t>ratio Upper</t>
  </si>
  <si>
    <t>ratio Lower</t>
  </si>
  <si>
    <t>MY VESICLE</t>
  </si>
  <si>
    <t>ratio</t>
  </si>
  <si>
    <t>PARAMETERS</t>
  </si>
  <si>
    <t>10-1000</t>
  </si>
  <si>
    <t>W</t>
  </si>
  <si>
    <t>0.01-1</t>
  </si>
  <si>
    <t>mJ/m^2</t>
  </si>
  <si>
    <t>10^-5- 10^-3</t>
  </si>
  <si>
    <t>not varied</t>
  </si>
  <si>
    <t>k</t>
  </si>
  <si>
    <t>kBT</t>
  </si>
  <si>
    <t>mu</t>
  </si>
  <si>
    <t>PaS</t>
  </si>
  <si>
    <t>times</t>
  </si>
  <si>
    <t>s</t>
  </si>
  <si>
    <t>10^-4-1</t>
  </si>
  <si>
    <t>~0.01</t>
  </si>
  <si>
    <t>mJ</t>
  </si>
  <si>
    <t>m</t>
  </si>
  <si>
    <t>mN/m</t>
  </si>
  <si>
    <t>re-scale</t>
  </si>
  <si>
    <t>microns</t>
  </si>
  <si>
    <t>mJ/micron^2</t>
  </si>
  <si>
    <t>mN/micron</t>
  </si>
  <si>
    <t>re-scale axis</t>
  </si>
  <si>
    <t>T = 2*pressure diff</t>
  </si>
  <si>
    <t>kBT/(sigma^3)</t>
  </si>
  <si>
    <t>1/kBT/(sigma^3)</t>
  </si>
  <si>
    <t>maybe already in units of kB?</t>
  </si>
  <si>
    <t>R in m</t>
  </si>
  <si>
    <t>Looking at data from when we are counting particles:</t>
  </si>
  <si>
    <t>size 5 eps 9:</t>
  </si>
  <si>
    <t>obvs</t>
  </si>
  <si>
    <t>seed = 1, 3</t>
  </si>
  <si>
    <t>Gets wrapped ~59step +/- 2</t>
  </si>
  <si>
    <t>seed = 4, 6</t>
  </si>
  <si>
    <t>Gets wrapped ~52step, 45step</t>
  </si>
  <si>
    <t>Gets wrapped ~32step, 51step</t>
  </si>
  <si>
    <t>seed = 3, 6</t>
  </si>
  <si>
    <t>seed = 1, 6</t>
  </si>
  <si>
    <t>Gets wrapped ~59step, 56step</t>
  </si>
  <si>
    <t xml:space="preserve">seed = 1, </t>
  </si>
  <si>
    <t>Gets wrapped ~46, 61</t>
  </si>
  <si>
    <t>seed = 1, 2</t>
  </si>
  <si>
    <t>Gets wrapped ~52, 61</t>
  </si>
  <si>
    <t>size 2.5 eps 21:</t>
  </si>
  <si>
    <t xml:space="preserve">Gets wrapped ~40step </t>
  </si>
  <si>
    <t>Large Vesc</t>
  </si>
  <si>
    <t>Smaller Vesc</t>
  </si>
  <si>
    <t>seeds that don't crash</t>
  </si>
  <si>
    <t>Want to check if my wackey data is from variable time to wrap in sims or the way I'm measuring it</t>
  </si>
  <si>
    <t>simulation units</t>
  </si>
  <si>
    <t xml:space="preserve">Callibrating from dumbbell </t>
  </si>
  <si>
    <t xml:space="preserve">sigma =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</si>
</sst>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20212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2" borderId="0" xfId="1"/>
    <xf numFmtId="0" fontId="3" fillId="0" borderId="0" xfId="0" applyFont="1"/>
    <xf numFmtId="14" fontId="1" fillId="0" borderId="0" xfId="0" applyNumberFormat="1" applyFont="1"/>
    <xf numFmtId="0" fontId="4" fillId="0" borderId="0" xfId="0" applyFon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Sheet2!$M$9:$M$13</c:f>
              <c:numCache>
                <c:formatCode>General</c:formatCode>
                <c:ptCount val="5"/>
                <c:pt idx="0">
                  <c:v>2</c:v>
                </c:pt>
                <c:pt idx="1">
                  <c:v>2.5</c:v>
                </c:pt>
                <c:pt idx="2">
                  <c:v>3</c:v>
                </c:pt>
                <c:pt idx="3">
                  <c:v>3.5</c:v>
                </c:pt>
                <c:pt idx="4">
                  <c:v>4</c:v>
                </c:pt>
              </c:numCache>
            </c:numRef>
          </c:xVal>
          <c:yVal>
            <c:numRef>
              <c:f>Sheet2!$N$9:$N$13</c:f>
              <c:numCache>
                <c:formatCode>General</c:formatCode>
                <c:ptCount val="5"/>
                <c:pt idx="0">
                  <c:v>28</c:v>
                </c:pt>
                <c:pt idx="1">
                  <c:v>24</c:v>
                </c:pt>
                <c:pt idx="2">
                  <c:v>20</c:v>
                </c:pt>
                <c:pt idx="3">
                  <c:v>16</c:v>
                </c:pt>
                <c:pt idx="4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E6-8D4D-B576-BF8C50BD9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793280"/>
        <c:axId val="1030567472"/>
      </c:scatterChart>
      <c:valAx>
        <c:axId val="1029793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567472"/>
        <c:crosses val="autoZero"/>
        <c:crossBetween val="midCat"/>
      </c:valAx>
      <c:valAx>
        <c:axId val="103056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793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Sheet3!$H$19:$H$43</c:f>
              <c:numCache>
                <c:formatCode>General</c:formatCode>
                <c:ptCount val="25"/>
                <c:pt idx="0">
                  <c:v>-8.4970424072482002E-3</c:v>
                </c:pt>
                <c:pt idx="1">
                  <c:v>-4.228915768110842E-3</c:v>
                </c:pt>
                <c:pt idx="2">
                  <c:v>3.9210871026516131E-5</c:v>
                </c:pt>
                <c:pt idx="3">
                  <c:v>8.5754641493012325E-3</c:v>
                </c:pt>
                <c:pt idx="4">
                  <c:v>1.6953638663163455E-2</c:v>
                </c:pt>
                <c:pt idx="5">
                  <c:v>-2.5487362471010331E-2</c:v>
                </c:pt>
                <c:pt idx="6">
                  <c:v>-1.2682982553598256E-2</c:v>
                </c:pt>
                <c:pt idx="7">
                  <c:v>-3.6681400598675973E-5</c:v>
                </c:pt>
                <c:pt idx="8">
                  <c:v>2.5572078434225477E-2</c:v>
                </c:pt>
                <c:pt idx="9">
                  <c:v>5.1022759504637138E-2</c:v>
                </c:pt>
                <c:pt idx="10">
                  <c:v>-3.3980640127524261E-2</c:v>
                </c:pt>
                <c:pt idx="11">
                  <c:v>-1.6908133570974829E-2</c:v>
                </c:pt>
                <c:pt idx="12">
                  <c:v>6.294221162113367E-6</c:v>
                </c:pt>
                <c:pt idx="13">
                  <c:v>3.3993228569848488E-2</c:v>
                </c:pt>
                <c:pt idx="14">
                  <c:v>6.7980162918534856E-2</c:v>
                </c:pt>
                <c:pt idx="15">
                  <c:v>-4.2477682534772465E-2</c:v>
                </c:pt>
                <c:pt idx="16">
                  <c:v>-2.1295128103498168E-2</c:v>
                </c:pt>
                <c:pt idx="17">
                  <c:v>4.5505092188626028E-5</c:v>
                </c:pt>
                <c:pt idx="18">
                  <c:v>4.2568692719149717E-2</c:v>
                </c:pt>
                <c:pt idx="19">
                  <c:v>8.5091880346110788E-2</c:v>
                </c:pt>
                <c:pt idx="20">
                  <c:v>-5.0970960191286392E-2</c:v>
                </c:pt>
                <c:pt idx="21">
                  <c:v>-2.5520279120874737E-2</c:v>
                </c:pt>
                <c:pt idx="22">
                  <c:v>8.8480713949415368E-5</c:v>
                </c:pt>
                <c:pt idx="23">
                  <c:v>5.0989842854772725E-2</c:v>
                </c:pt>
                <c:pt idx="24">
                  <c:v>0.10204928376000855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6A-D24E-B2E3-E3F75BA89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152623"/>
        <c:axId val="1567153855"/>
      </c:scatterChart>
      <c:valAx>
        <c:axId val="156715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153855"/>
        <c:crosses val="autoZero"/>
        <c:crossBetween val="midCat"/>
      </c:valAx>
      <c:valAx>
        <c:axId val="156715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15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Sheet3!$I$19:$I$43</c:f>
              <c:numCache>
                <c:formatCode>General</c:formatCode>
                <c:ptCount val="25"/>
                <c:pt idx="0">
                  <c:v>0</c:v>
                </c:pt>
                <c:pt idx="1">
                  <c:v>0.50230732466352457</c:v>
                </c:pt>
                <c:pt idx="2">
                  <c:v>1.0046146493270491</c:v>
                </c:pt>
                <c:pt idx="3">
                  <c:v>2.0092292986540983</c:v>
                </c:pt>
                <c:pt idx="4">
                  <c:v>2.9952399729936094</c:v>
                </c:pt>
                <c:pt idx="5">
                  <c:v>0</c:v>
                </c:pt>
                <c:pt idx="6">
                  <c:v>0.50238152072329767</c:v>
                </c:pt>
                <c:pt idx="7">
                  <c:v>0.99856080045001139</c:v>
                </c:pt>
                <c:pt idx="8">
                  <c:v>2.0033238418966066</c:v>
                </c:pt>
                <c:pt idx="9">
                  <c:v>3.0018846423466181</c:v>
                </c:pt>
                <c:pt idx="10">
                  <c:v>0</c:v>
                </c:pt>
                <c:pt idx="11">
                  <c:v>0.50241862697344331</c:v>
                </c:pt>
                <c:pt idx="12">
                  <c:v>1.0001852296230587</c:v>
                </c:pt>
                <c:pt idx="13">
                  <c:v>2.0003704592461173</c:v>
                </c:pt>
                <c:pt idx="14">
                  <c:v>3.0005556888691758</c:v>
                </c:pt>
                <c:pt idx="15">
                  <c:v>0</c:v>
                </c:pt>
                <c:pt idx="16">
                  <c:v>0.4986749080280955</c:v>
                </c:pt>
                <c:pt idx="17">
                  <c:v>1.0010712705937141</c:v>
                </c:pt>
                <c:pt idx="18">
                  <c:v>2.0021425411874283</c:v>
                </c:pt>
                <c:pt idx="19">
                  <c:v>3.003213811781142</c:v>
                </c:pt>
                <c:pt idx="20">
                  <c:v>0</c:v>
                </c:pt>
                <c:pt idx="21">
                  <c:v>0.4993172774242246</c:v>
                </c:pt>
                <c:pt idx="22">
                  <c:v>1.0017359043976679</c:v>
                </c:pt>
                <c:pt idx="23">
                  <c:v>2.0003704592461173</c:v>
                </c:pt>
                <c:pt idx="24">
                  <c:v>3.0021063636437852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80-8043-AB3B-0FB101410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014255"/>
        <c:axId val="1733921887"/>
      </c:scatterChart>
      <c:valAx>
        <c:axId val="1734014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921887"/>
        <c:crosses val="autoZero"/>
        <c:crossBetween val="midCat"/>
      </c:valAx>
      <c:valAx>
        <c:axId val="173392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014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Sheet3!$K$63:$K$87</c:f>
              <c:numCache>
                <c:formatCode>General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D7-BC46-9E42-A0E69552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7510751"/>
        <c:axId val="1787512399"/>
      </c:scatterChart>
      <c:valAx>
        <c:axId val="1787510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512399"/>
        <c:crosses val="autoZero"/>
        <c:crossBetween val="midCat"/>
      </c:valAx>
      <c:valAx>
        <c:axId val="178751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5107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Sheet3!$L$63:$L$97</c:f>
              <c:numCache>
                <c:formatCode>General</c:formatCode>
                <c:ptCount val="35"/>
                <c:pt idx="0">
                  <c:v>0</c:v>
                </c:pt>
                <c:pt idx="1">
                  <c:v>4.2681266391373582E-3</c:v>
                </c:pt>
                <c:pt idx="2">
                  <c:v>8.5362532782747164E-3</c:v>
                </c:pt>
                <c:pt idx="3">
                  <c:v>1.7072506556549433E-2</c:v>
                </c:pt>
                <c:pt idx="4">
                  <c:v>2.5450681070411655E-2</c:v>
                </c:pt>
                <c:pt idx="5">
                  <c:v>0</c:v>
                </c:pt>
                <c:pt idx="6">
                  <c:v>1.2804379917412075E-2</c:v>
                </c:pt>
                <c:pt idx="7">
                  <c:v>2.5450681070411655E-2</c:v>
                </c:pt>
                <c:pt idx="8">
                  <c:v>5.1059440905235808E-2</c:v>
                </c:pt>
                <c:pt idx="9">
                  <c:v>7.6510121975647466E-2</c:v>
                </c:pt>
                <c:pt idx="10">
                  <c:v>0</c:v>
                </c:pt>
                <c:pt idx="11">
                  <c:v>1.7072506556549433E-2</c:v>
                </c:pt>
                <c:pt idx="12">
                  <c:v>3.3986934348686375E-2</c:v>
                </c:pt>
                <c:pt idx="13">
                  <c:v>6.797386869737275E-2</c:v>
                </c:pt>
                <c:pt idx="14">
                  <c:v>0.10196080304605912</c:v>
                </c:pt>
                <c:pt idx="15">
                  <c:v>0</c:v>
                </c:pt>
                <c:pt idx="16">
                  <c:v>2.1182554431274297E-2</c:v>
                </c:pt>
                <c:pt idx="17">
                  <c:v>4.2523187626961091E-2</c:v>
                </c:pt>
                <c:pt idx="18">
                  <c:v>8.5046375253922182E-2</c:v>
                </c:pt>
                <c:pt idx="19">
                  <c:v>0.12756956288088325</c:v>
                </c:pt>
                <c:pt idx="20">
                  <c:v>0</c:v>
                </c:pt>
                <c:pt idx="21">
                  <c:v>2.5450681070411655E-2</c:v>
                </c:pt>
                <c:pt idx="22">
                  <c:v>5.1059440905235808E-2</c:v>
                </c:pt>
                <c:pt idx="23">
                  <c:v>0.10196080304605912</c:v>
                </c:pt>
                <c:pt idx="24">
                  <c:v>0.15302024395129493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8.5362532782747164E-3</c:v>
                </c:pt>
                <c:pt idx="32">
                  <c:v>1.7072506556549433E-2</c:v>
                </c:pt>
                <c:pt idx="33">
                  <c:v>3.3986934348686375E-2</c:v>
                </c:pt>
                <c:pt idx="34">
                  <c:v>5.1059440905235808E-2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4C-3241-BF05-1DD3B601B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159519"/>
        <c:axId val="1812278255"/>
      </c:scatterChart>
      <c:valAx>
        <c:axId val="1734159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278255"/>
        <c:crosses val="autoZero"/>
        <c:crossBetween val="midCat"/>
      </c:valAx>
      <c:valAx>
        <c:axId val="181227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159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736600</xdr:colOff>
      <xdr:row>6</xdr:row>
      <xdr:rowOff>88900</xdr:rowOff>
    </xdr:from>
    <xdr:to>
      <xdr:col>11</xdr:col>
      <xdr:colOff>673100</xdr:colOff>
      <xdr:row>21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C64BC4-C19F-DF47-A593-FB761C6D1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3800" y="1308100"/>
          <a:ext cx="4064000" cy="3048000"/>
        </a:xfrm>
        <a:prstGeom prst="rect">
          <a:avLst/>
        </a:prstGeom>
      </xdr:spPr>
    </xdr:pic>
    <xdr:clientData/>
  </xdr:twoCellAnchor>
  <xdr:twoCellAnchor>
    <xdr:from>
      <xdr:col>4</xdr:col>
      <xdr:colOff>2247900</xdr:colOff>
      <xdr:row>13</xdr:row>
      <xdr:rowOff>0</xdr:rowOff>
    </xdr:from>
    <xdr:to>
      <xdr:col>6</xdr:col>
      <xdr:colOff>685800</xdr:colOff>
      <xdr:row>14</xdr:row>
      <xdr:rowOff>152400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4C71998-F9C2-A54E-9A88-1F7D64D68A30}"/>
            </a:ext>
          </a:extLst>
        </xdr:cNvPr>
        <xdr:cNvCxnSpPr/>
      </xdr:nvCxnSpPr>
      <xdr:spPr>
        <a:xfrm flipV="1">
          <a:off x="8470900" y="2641600"/>
          <a:ext cx="1562100" cy="3556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361950</xdr:colOff>
      <xdr:row>15</xdr:row>
      <xdr:rowOff>38100</xdr:rowOff>
    </xdr:from>
    <xdr:to>
      <xdr:col>19</xdr:col>
      <xdr:colOff>806450</xdr:colOff>
      <xdr:row>28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A2CFA-97DB-1A45-A9AD-E0EE373AF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742950</xdr:colOff>
      <xdr:row>30</xdr:row>
      <xdr:rowOff>120650</xdr:rowOff>
    </xdr:from>
    <xdr:to>
      <xdr:col>21</xdr:col>
      <xdr:colOff>647700</xdr:colOff>
      <xdr:row>44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C9E8F-1A5D-7248-A6CC-3A6645644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514350</xdr:colOff>
      <xdr:row>15</xdr:row>
      <xdr:rowOff>82550</xdr:rowOff>
    </xdr:from>
    <xdr:to>
      <xdr:col>21</xdr:col>
      <xdr:colOff>133350</xdr:colOff>
      <xdr:row>28</xdr:row>
      <xdr:rowOff>184150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2F59F9-3010-624A-A8D2-3860E3E2F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438150</xdr:colOff>
      <xdr:row>75</xdr:row>
      <xdr:rowOff>184150</xdr:rowOff>
    </xdr:from>
    <xdr:to>
      <xdr:col>16</xdr:col>
      <xdr:colOff>730250</xdr:colOff>
      <xdr:row>89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D014D2-F721-5041-9B98-FE89E3EA9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488950</xdr:colOff>
      <xdr:row>60</xdr:row>
      <xdr:rowOff>19050</xdr:rowOff>
    </xdr:from>
    <xdr:to>
      <xdr:col>16</xdr:col>
      <xdr:colOff>781050</xdr:colOff>
      <xdr:row>73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13BBC1-FA66-DD49-9C72-C51209446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D9862-8016-024A-BBFA-73716E502205}">
  <dimension ref="A3:E34"/>
  <sheetViews>
    <sheetView workbookViewId="0">
      <selection activeCell="A5" sqref="A5:E5"/>
    </sheetView>
  </sheetViews>
  <sheetFormatPr baseColWidth="10" defaultRowHeight="16" x14ac:dyDescent="0.2"/>
  <cols>
    <col min="1" max="1" width="26.6640625" customWidth="1"/>
    <col min="4" max="4" width="33.33203125" customWidth="1"/>
    <col min="5" max="5" width="30.1640625" customWidth="1"/>
  </cols>
  <sheetData>
    <row r="3" spans="1:5" x14ac:dyDescent="0.2">
      <c r="A3" t="s">
        <v>3</v>
      </c>
    </row>
    <row r="5" spans="1:5" x14ac:dyDescent="0.2">
      <c r="A5" s="1" t="s">
        <v>0</v>
      </c>
      <c r="B5" s="1" t="s">
        <v>1</v>
      </c>
      <c r="C5" s="1" t="s">
        <v>2</v>
      </c>
      <c r="D5" s="1" t="s">
        <v>4</v>
      </c>
      <c r="E5" s="1" t="s">
        <v>11</v>
      </c>
    </row>
    <row r="6" spans="1:5" x14ac:dyDescent="0.2">
      <c r="A6">
        <v>1.5</v>
      </c>
      <c r="B6">
        <v>10</v>
      </c>
      <c r="C6">
        <v>3</v>
      </c>
      <c r="D6" t="s">
        <v>5</v>
      </c>
    </row>
    <row r="7" spans="1:5" x14ac:dyDescent="0.2">
      <c r="B7">
        <v>15</v>
      </c>
      <c r="D7" t="s">
        <v>5</v>
      </c>
    </row>
    <row r="8" spans="1:5" x14ac:dyDescent="0.2">
      <c r="B8">
        <v>50</v>
      </c>
      <c r="D8" t="s">
        <v>5</v>
      </c>
    </row>
    <row r="9" spans="1:5" x14ac:dyDescent="0.2">
      <c r="B9">
        <v>80</v>
      </c>
      <c r="C9">
        <v>0.5</v>
      </c>
      <c r="D9" t="s">
        <v>5</v>
      </c>
      <c r="E9" t="s">
        <v>12</v>
      </c>
    </row>
    <row r="10" spans="1:5" x14ac:dyDescent="0.2">
      <c r="B10">
        <v>50</v>
      </c>
      <c r="C10">
        <v>1</v>
      </c>
      <c r="D10" t="s">
        <v>5</v>
      </c>
    </row>
    <row r="11" spans="1:5" x14ac:dyDescent="0.2">
      <c r="B11">
        <v>80</v>
      </c>
      <c r="D11" t="s">
        <v>5</v>
      </c>
    </row>
    <row r="12" spans="1:5" x14ac:dyDescent="0.2">
      <c r="A12">
        <v>2</v>
      </c>
      <c r="B12">
        <v>10</v>
      </c>
      <c r="C12">
        <v>3</v>
      </c>
      <c r="D12" t="s">
        <v>5</v>
      </c>
    </row>
    <row r="13" spans="1:5" x14ac:dyDescent="0.2">
      <c r="B13">
        <v>30</v>
      </c>
      <c r="D13" t="s">
        <v>13</v>
      </c>
    </row>
    <row r="14" spans="1:5" x14ac:dyDescent="0.2">
      <c r="B14">
        <v>40</v>
      </c>
      <c r="D14" t="s">
        <v>13</v>
      </c>
    </row>
    <row r="15" spans="1:5" x14ac:dyDescent="0.2">
      <c r="B15" s="2">
        <v>50</v>
      </c>
      <c r="C15" s="2"/>
      <c r="D15" s="2" t="s">
        <v>6</v>
      </c>
      <c r="E15" t="s">
        <v>14</v>
      </c>
    </row>
    <row r="16" spans="1:5" x14ac:dyDescent="0.2">
      <c r="B16">
        <v>60</v>
      </c>
      <c r="C16">
        <v>1</v>
      </c>
      <c r="D16" t="s">
        <v>10</v>
      </c>
    </row>
    <row r="17" spans="1:5" x14ac:dyDescent="0.2">
      <c r="B17">
        <v>70</v>
      </c>
      <c r="D17" t="s">
        <v>19</v>
      </c>
    </row>
    <row r="18" spans="1:5" x14ac:dyDescent="0.2">
      <c r="B18">
        <v>80</v>
      </c>
      <c r="D18" t="s">
        <v>18</v>
      </c>
      <c r="E18" t="s">
        <v>14</v>
      </c>
    </row>
    <row r="19" spans="1:5" x14ac:dyDescent="0.2">
      <c r="B19">
        <v>60</v>
      </c>
      <c r="C19">
        <v>2</v>
      </c>
      <c r="D19" t="s">
        <v>20</v>
      </c>
    </row>
    <row r="20" spans="1:5" x14ac:dyDescent="0.2">
      <c r="B20">
        <v>70</v>
      </c>
      <c r="D20" t="s">
        <v>21</v>
      </c>
    </row>
    <row r="21" spans="1:5" x14ac:dyDescent="0.2">
      <c r="B21" s="2">
        <v>80</v>
      </c>
      <c r="C21" s="2"/>
      <c r="D21" s="2" t="s">
        <v>18</v>
      </c>
    </row>
    <row r="22" spans="1:5" x14ac:dyDescent="0.2">
      <c r="B22">
        <v>60</v>
      </c>
      <c r="C22">
        <v>3</v>
      </c>
      <c r="D22" t="s">
        <v>15</v>
      </c>
    </row>
    <row r="23" spans="1:5" x14ac:dyDescent="0.2">
      <c r="B23" s="2">
        <v>70</v>
      </c>
      <c r="C23" s="2"/>
      <c r="D23" s="2" t="s">
        <v>16</v>
      </c>
      <c r="E23" t="s">
        <v>14</v>
      </c>
    </row>
    <row r="24" spans="1:5" x14ac:dyDescent="0.2">
      <c r="B24">
        <v>80</v>
      </c>
      <c r="D24" t="s">
        <v>17</v>
      </c>
    </row>
    <row r="25" spans="1:5" x14ac:dyDescent="0.2">
      <c r="A25">
        <v>2.5</v>
      </c>
      <c r="B25">
        <v>25</v>
      </c>
      <c r="C25">
        <v>3</v>
      </c>
      <c r="D25" s="2" t="s">
        <v>22</v>
      </c>
    </row>
    <row r="26" spans="1:5" x14ac:dyDescent="0.2">
      <c r="B26">
        <v>35</v>
      </c>
      <c r="E26" t="s">
        <v>24</v>
      </c>
    </row>
    <row r="27" spans="1:5" x14ac:dyDescent="0.2">
      <c r="B27">
        <v>40</v>
      </c>
      <c r="D27" t="s">
        <v>23</v>
      </c>
    </row>
    <row r="30" spans="1:5" x14ac:dyDescent="0.2">
      <c r="A30">
        <v>3.5</v>
      </c>
      <c r="B30">
        <v>15</v>
      </c>
      <c r="D30" t="s">
        <v>8</v>
      </c>
    </row>
    <row r="31" spans="1:5" x14ac:dyDescent="0.2">
      <c r="B31">
        <v>30</v>
      </c>
      <c r="D31" t="s">
        <v>7</v>
      </c>
    </row>
    <row r="32" spans="1:5" x14ac:dyDescent="0.2">
      <c r="B32">
        <v>50</v>
      </c>
      <c r="D32" t="s">
        <v>7</v>
      </c>
    </row>
    <row r="33" spans="1:4" x14ac:dyDescent="0.2">
      <c r="A33">
        <v>5</v>
      </c>
      <c r="B33">
        <v>15</v>
      </c>
      <c r="D33" t="s">
        <v>9</v>
      </c>
    </row>
    <row r="34" spans="1:4" x14ac:dyDescent="0.2">
      <c r="B34">
        <v>20</v>
      </c>
      <c r="D34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939C1-C06E-3E4A-B2F4-F4C6279E79AE}">
  <dimension ref="A4:AA49"/>
  <sheetViews>
    <sheetView zoomScaleNormal="100" workbookViewId="0">
      <selection activeCell="M43" sqref="M43"/>
    </sheetView>
  </sheetViews>
  <sheetFormatPr baseColWidth="10" defaultRowHeight="16" x14ac:dyDescent="0.2"/>
  <cols>
    <col min="1" max="1" width="22.6640625" customWidth="1"/>
    <col min="4" max="4" width="12.6640625" customWidth="1"/>
    <col min="5" max="5" width="34.83203125" customWidth="1"/>
    <col min="22" max="22" width="14.5" customWidth="1"/>
    <col min="23" max="23" width="16.33203125" customWidth="1"/>
    <col min="24" max="24" width="14.6640625" customWidth="1"/>
    <col min="25" max="25" width="15.83203125" customWidth="1"/>
  </cols>
  <sheetData>
    <row r="4" spans="1:25" x14ac:dyDescent="0.2">
      <c r="S4" t="s">
        <v>52</v>
      </c>
      <c r="T4" t="s">
        <v>53</v>
      </c>
      <c r="U4" t="s">
        <v>59</v>
      </c>
      <c r="V4" t="s">
        <v>60</v>
      </c>
      <c r="W4" t="s">
        <v>62</v>
      </c>
      <c r="X4" t="s">
        <v>66</v>
      </c>
      <c r="Y4" t="s">
        <v>65</v>
      </c>
    </row>
    <row r="5" spans="1:25" x14ac:dyDescent="0.2">
      <c r="S5">
        <v>2</v>
      </c>
      <c r="T5" t="s">
        <v>54</v>
      </c>
      <c r="U5" t="s">
        <v>61</v>
      </c>
      <c r="V5" t="s">
        <v>61</v>
      </c>
    </row>
    <row r="6" spans="1:25" x14ac:dyDescent="0.2">
      <c r="M6" t="s">
        <v>45</v>
      </c>
      <c r="S6">
        <v>2.5</v>
      </c>
      <c r="T6" t="s">
        <v>55</v>
      </c>
      <c r="U6" t="s">
        <v>61</v>
      </c>
      <c r="W6" t="s">
        <v>68</v>
      </c>
      <c r="X6" t="s">
        <v>69</v>
      </c>
      <c r="Y6" t="s">
        <v>71</v>
      </c>
    </row>
    <row r="7" spans="1:25" x14ac:dyDescent="0.2">
      <c r="A7" s="1" t="s">
        <v>0</v>
      </c>
      <c r="B7" s="1" t="s">
        <v>1</v>
      </c>
      <c r="C7" s="1" t="s">
        <v>2</v>
      </c>
      <c r="D7" s="1" t="s">
        <v>26</v>
      </c>
      <c r="E7" s="1" t="s">
        <v>32</v>
      </c>
      <c r="F7" s="1" t="s">
        <v>30</v>
      </c>
      <c r="G7" s="1" t="s">
        <v>11</v>
      </c>
      <c r="H7" s="1" t="s">
        <v>27</v>
      </c>
      <c r="S7">
        <v>3</v>
      </c>
      <c r="T7" t="s">
        <v>56</v>
      </c>
      <c r="U7" t="s">
        <v>61</v>
      </c>
      <c r="V7" t="s">
        <v>61</v>
      </c>
    </row>
    <row r="8" spans="1:25" x14ac:dyDescent="0.2">
      <c r="A8">
        <v>2</v>
      </c>
      <c r="B8">
        <v>24</v>
      </c>
      <c r="C8">
        <v>3</v>
      </c>
      <c r="D8" t="s">
        <v>25</v>
      </c>
      <c r="E8" t="s">
        <v>29</v>
      </c>
      <c r="F8" t="s">
        <v>31</v>
      </c>
      <c r="G8" t="s">
        <v>35</v>
      </c>
      <c r="H8" t="s">
        <v>33</v>
      </c>
      <c r="M8" t="s">
        <v>46</v>
      </c>
      <c r="N8" t="s">
        <v>47</v>
      </c>
      <c r="S8">
        <v>3.5</v>
      </c>
      <c r="T8" t="s">
        <v>57</v>
      </c>
      <c r="U8" t="s">
        <v>61</v>
      </c>
      <c r="V8" t="s">
        <v>61</v>
      </c>
      <c r="W8" t="s">
        <v>63</v>
      </c>
      <c r="X8">
        <v>8</v>
      </c>
      <c r="Y8" t="s">
        <v>67</v>
      </c>
    </row>
    <row r="9" spans="1:25" x14ac:dyDescent="0.2">
      <c r="C9">
        <v>3</v>
      </c>
      <c r="D9" t="s">
        <v>34</v>
      </c>
      <c r="H9">
        <v>4</v>
      </c>
      <c r="M9">
        <v>2</v>
      </c>
      <c r="N9">
        <v>28</v>
      </c>
      <c r="S9">
        <v>4</v>
      </c>
      <c r="T9" t="s">
        <v>58</v>
      </c>
      <c r="U9" t="s">
        <v>61</v>
      </c>
      <c r="V9" t="s">
        <v>61</v>
      </c>
      <c r="W9" t="s">
        <v>64</v>
      </c>
      <c r="X9" t="s">
        <v>70</v>
      </c>
      <c r="Y9" t="s">
        <v>72</v>
      </c>
    </row>
    <row r="10" spans="1:25" x14ac:dyDescent="0.2">
      <c r="A10">
        <v>2.5</v>
      </c>
      <c r="B10">
        <v>24</v>
      </c>
      <c r="C10">
        <v>3</v>
      </c>
      <c r="D10" t="s">
        <v>25</v>
      </c>
      <c r="E10" t="s">
        <v>36</v>
      </c>
      <c r="F10" t="s">
        <v>37</v>
      </c>
      <c r="G10" t="s">
        <v>35</v>
      </c>
      <c r="H10" t="s">
        <v>28</v>
      </c>
      <c r="M10">
        <v>2.5</v>
      </c>
      <c r="N10">
        <v>24</v>
      </c>
    </row>
    <row r="11" spans="1:25" x14ac:dyDescent="0.2">
      <c r="A11">
        <v>2</v>
      </c>
      <c r="B11">
        <v>28</v>
      </c>
      <c r="C11">
        <v>3</v>
      </c>
      <c r="D11" t="s">
        <v>25</v>
      </c>
      <c r="E11" t="s">
        <v>38</v>
      </c>
      <c r="F11" t="s">
        <v>37</v>
      </c>
      <c r="G11" s="3" t="s">
        <v>35</v>
      </c>
      <c r="H11">
        <v>5</v>
      </c>
      <c r="M11">
        <v>3</v>
      </c>
      <c r="N11">
        <v>20</v>
      </c>
    </row>
    <row r="12" spans="1:25" x14ac:dyDescent="0.2">
      <c r="C12">
        <v>3</v>
      </c>
      <c r="E12" t="s">
        <v>41</v>
      </c>
      <c r="G12" t="s">
        <v>35</v>
      </c>
      <c r="H12">
        <v>2</v>
      </c>
      <c r="M12">
        <v>3.5</v>
      </c>
      <c r="N12">
        <v>16</v>
      </c>
    </row>
    <row r="13" spans="1:25" x14ac:dyDescent="0.2">
      <c r="C13">
        <v>3</v>
      </c>
      <c r="D13" t="s">
        <v>40</v>
      </c>
      <c r="H13" t="s">
        <v>39</v>
      </c>
      <c r="M13">
        <v>4</v>
      </c>
      <c r="N13">
        <v>14</v>
      </c>
    </row>
    <row r="14" spans="1:25" x14ac:dyDescent="0.2">
      <c r="A14">
        <v>2.5</v>
      </c>
      <c r="C14">
        <v>3</v>
      </c>
      <c r="E14" t="s">
        <v>42</v>
      </c>
      <c r="F14" t="s">
        <v>37</v>
      </c>
    </row>
    <row r="15" spans="1:25" x14ac:dyDescent="0.2">
      <c r="C15">
        <v>3</v>
      </c>
    </row>
    <row r="16" spans="1:25" x14ac:dyDescent="0.2">
      <c r="A16">
        <v>3</v>
      </c>
      <c r="B16">
        <v>35</v>
      </c>
      <c r="C16">
        <v>3</v>
      </c>
      <c r="D16" t="s">
        <v>25</v>
      </c>
      <c r="E16" t="s">
        <v>43</v>
      </c>
    </row>
    <row r="17" spans="1:27" x14ac:dyDescent="0.2">
      <c r="B17">
        <v>20</v>
      </c>
      <c r="C17">
        <v>3</v>
      </c>
      <c r="E17" t="s">
        <v>44</v>
      </c>
    </row>
    <row r="18" spans="1:27" x14ac:dyDescent="0.2">
      <c r="A18">
        <v>3.5</v>
      </c>
      <c r="B18">
        <v>18</v>
      </c>
      <c r="C18">
        <v>3</v>
      </c>
      <c r="D18" t="s">
        <v>25</v>
      </c>
      <c r="E18" t="s">
        <v>43</v>
      </c>
      <c r="H18">
        <v>2</v>
      </c>
      <c r="V18" s="1" t="s">
        <v>73</v>
      </c>
      <c r="W18" s="4">
        <v>44474</v>
      </c>
      <c r="Y18" t="s">
        <v>60</v>
      </c>
      <c r="Z18" t="s">
        <v>62</v>
      </c>
    </row>
    <row r="19" spans="1:27" x14ac:dyDescent="0.2">
      <c r="B19">
        <v>14</v>
      </c>
      <c r="C19">
        <v>3</v>
      </c>
      <c r="E19" t="s">
        <v>48</v>
      </c>
      <c r="H19">
        <v>2</v>
      </c>
      <c r="V19" t="s">
        <v>86</v>
      </c>
      <c r="W19">
        <v>5</v>
      </c>
      <c r="X19" t="s">
        <v>85</v>
      </c>
      <c r="Y19" t="s">
        <v>61</v>
      </c>
      <c r="Z19" t="s">
        <v>61</v>
      </c>
    </row>
    <row r="20" spans="1:27" x14ac:dyDescent="0.2">
      <c r="C20">
        <v>3</v>
      </c>
      <c r="V20" t="s">
        <v>86</v>
      </c>
      <c r="W20">
        <v>3</v>
      </c>
      <c r="X20" t="s">
        <v>87</v>
      </c>
      <c r="Y20" t="s">
        <v>61</v>
      </c>
      <c r="Z20" t="s">
        <v>61</v>
      </c>
      <c r="AA20" t="s">
        <v>88</v>
      </c>
    </row>
    <row r="21" spans="1:27" x14ac:dyDescent="0.2">
      <c r="C21">
        <v>3</v>
      </c>
      <c r="W21">
        <v>3</v>
      </c>
      <c r="X21">
        <v>17</v>
      </c>
    </row>
    <row r="22" spans="1:27" x14ac:dyDescent="0.2">
      <c r="C22">
        <v>3</v>
      </c>
    </row>
    <row r="23" spans="1:27" x14ac:dyDescent="0.2">
      <c r="C23">
        <v>3</v>
      </c>
    </row>
    <row r="24" spans="1:27" x14ac:dyDescent="0.2">
      <c r="A24">
        <v>4</v>
      </c>
      <c r="B24">
        <v>14</v>
      </c>
      <c r="C24">
        <v>3</v>
      </c>
      <c r="D24" t="s">
        <v>25</v>
      </c>
      <c r="E24" t="s">
        <v>49</v>
      </c>
      <c r="H24">
        <v>3</v>
      </c>
    </row>
    <row r="25" spans="1:27" x14ac:dyDescent="0.2">
      <c r="C25">
        <v>3</v>
      </c>
      <c r="D25" t="s">
        <v>50</v>
      </c>
      <c r="H25" t="s">
        <v>51</v>
      </c>
    </row>
    <row r="26" spans="1:27" x14ac:dyDescent="0.2">
      <c r="B26">
        <v>18</v>
      </c>
      <c r="C26">
        <v>3</v>
      </c>
      <c r="D26" t="s">
        <v>25</v>
      </c>
      <c r="E26" t="s">
        <v>43</v>
      </c>
      <c r="H26">
        <v>3</v>
      </c>
    </row>
    <row r="29" spans="1:27" x14ac:dyDescent="0.2">
      <c r="V29" s="1" t="s">
        <v>73</v>
      </c>
      <c r="W29" s="4">
        <v>44469</v>
      </c>
      <c r="Y29" t="s">
        <v>60</v>
      </c>
      <c r="Z29" t="s">
        <v>62</v>
      </c>
    </row>
    <row r="30" spans="1:27" x14ac:dyDescent="0.2">
      <c r="V30" t="s">
        <v>74</v>
      </c>
      <c r="W30" t="s">
        <v>75</v>
      </c>
      <c r="X30" t="s">
        <v>76</v>
      </c>
      <c r="Y30" t="s">
        <v>61</v>
      </c>
      <c r="Z30" t="s">
        <v>61</v>
      </c>
    </row>
    <row r="31" spans="1:27" x14ac:dyDescent="0.2">
      <c r="A31">
        <v>3</v>
      </c>
      <c r="B31">
        <v>16</v>
      </c>
      <c r="C31">
        <v>2.5</v>
      </c>
      <c r="E31" t="s">
        <v>89</v>
      </c>
      <c r="V31" t="s">
        <v>77</v>
      </c>
      <c r="W31" t="s">
        <v>78</v>
      </c>
      <c r="X31" t="s">
        <v>79</v>
      </c>
      <c r="Y31" t="s">
        <v>61</v>
      </c>
      <c r="Z31" t="s">
        <v>61</v>
      </c>
    </row>
    <row r="32" spans="1:27" x14ac:dyDescent="0.2">
      <c r="A32">
        <v>3</v>
      </c>
      <c r="B32">
        <v>18</v>
      </c>
      <c r="C32">
        <v>2.5</v>
      </c>
      <c r="E32" t="s">
        <v>43</v>
      </c>
      <c r="V32" t="s">
        <v>77</v>
      </c>
      <c r="W32" t="s">
        <v>78</v>
      </c>
      <c r="X32" t="s">
        <v>80</v>
      </c>
      <c r="Y32" t="s">
        <v>61</v>
      </c>
      <c r="Z32" t="s">
        <v>61</v>
      </c>
    </row>
    <row r="33" spans="1:27" x14ac:dyDescent="0.2">
      <c r="A33">
        <v>3</v>
      </c>
      <c r="B33">
        <v>17</v>
      </c>
      <c r="C33">
        <v>2.5</v>
      </c>
      <c r="E33" t="s">
        <v>95</v>
      </c>
    </row>
    <row r="35" spans="1:27" x14ac:dyDescent="0.2">
      <c r="L35" t="s">
        <v>90</v>
      </c>
    </row>
    <row r="36" spans="1:27" x14ac:dyDescent="0.2">
      <c r="V36" t="s">
        <v>81</v>
      </c>
      <c r="W36" t="s">
        <v>52</v>
      </c>
      <c r="X36" t="s">
        <v>53</v>
      </c>
      <c r="Y36" t="s">
        <v>82</v>
      </c>
    </row>
    <row r="37" spans="1:27" x14ac:dyDescent="0.2">
      <c r="L37" t="s">
        <v>46</v>
      </c>
      <c r="M37" t="s">
        <v>1</v>
      </c>
      <c r="N37" t="s">
        <v>91</v>
      </c>
      <c r="O37" t="s">
        <v>93</v>
      </c>
      <c r="P37" t="s">
        <v>96</v>
      </c>
      <c r="Q37" t="s">
        <v>60</v>
      </c>
      <c r="R37" t="s">
        <v>62</v>
      </c>
      <c r="V37">
        <v>0</v>
      </c>
      <c r="W37">
        <v>4</v>
      </c>
      <c r="X37">
        <v>14</v>
      </c>
      <c r="Y37" t="s">
        <v>83</v>
      </c>
    </row>
    <row r="38" spans="1:27" x14ac:dyDescent="0.2">
      <c r="L38">
        <v>5</v>
      </c>
      <c r="M38">
        <v>9</v>
      </c>
      <c r="N38" t="s">
        <v>92</v>
      </c>
      <c r="O38" t="s">
        <v>94</v>
      </c>
      <c r="P38" t="s">
        <v>61</v>
      </c>
      <c r="V38">
        <v>0.1</v>
      </c>
      <c r="W38">
        <v>4</v>
      </c>
      <c r="X38">
        <v>14</v>
      </c>
      <c r="Y38" t="s">
        <v>83</v>
      </c>
    </row>
    <row r="39" spans="1:27" x14ac:dyDescent="0.2">
      <c r="V39">
        <v>0.2</v>
      </c>
      <c r="W39">
        <v>4</v>
      </c>
      <c r="X39">
        <v>14</v>
      </c>
      <c r="Y39" t="s">
        <v>83</v>
      </c>
    </row>
    <row r="40" spans="1:27" x14ac:dyDescent="0.2">
      <c r="L40">
        <v>4.5</v>
      </c>
      <c r="M40">
        <v>10</v>
      </c>
    </row>
    <row r="41" spans="1:27" x14ac:dyDescent="0.2">
      <c r="V41">
        <v>0</v>
      </c>
      <c r="W41">
        <v>2.5</v>
      </c>
      <c r="X41">
        <v>25</v>
      </c>
      <c r="Y41" t="s">
        <v>84</v>
      </c>
    </row>
    <row r="42" spans="1:27" x14ac:dyDescent="0.2">
      <c r="K42" t="s">
        <v>110</v>
      </c>
      <c r="L42">
        <v>2.5</v>
      </c>
      <c r="M42" t="s">
        <v>111</v>
      </c>
      <c r="V42">
        <v>0.1</v>
      </c>
      <c r="W42">
        <v>2.5</v>
      </c>
      <c r="X42">
        <v>25</v>
      </c>
      <c r="Y42" t="s">
        <v>84</v>
      </c>
    </row>
    <row r="43" spans="1:27" x14ac:dyDescent="0.2">
      <c r="V43">
        <v>0.2</v>
      </c>
      <c r="W43">
        <v>2.5</v>
      </c>
      <c r="X43">
        <v>25</v>
      </c>
      <c r="Y43" t="s">
        <v>83</v>
      </c>
    </row>
    <row r="44" spans="1:27" x14ac:dyDescent="0.2">
      <c r="K44" t="s">
        <v>97</v>
      </c>
    </row>
    <row r="45" spans="1:27" x14ac:dyDescent="0.2">
      <c r="V45">
        <v>3</v>
      </c>
      <c r="W45">
        <v>4.5</v>
      </c>
      <c r="X45">
        <v>8</v>
      </c>
      <c r="Y45" t="s">
        <v>83</v>
      </c>
      <c r="Z45">
        <v>5</v>
      </c>
      <c r="AA45" t="s">
        <v>83</v>
      </c>
    </row>
    <row r="46" spans="1:27" x14ac:dyDescent="0.2">
      <c r="V46">
        <v>3</v>
      </c>
      <c r="W46">
        <v>4.5</v>
      </c>
      <c r="X46">
        <v>9</v>
      </c>
      <c r="Y46" t="s">
        <v>83</v>
      </c>
      <c r="Z46">
        <v>5</v>
      </c>
      <c r="AA46" t="s">
        <v>83</v>
      </c>
    </row>
    <row r="47" spans="1:27" x14ac:dyDescent="0.2">
      <c r="V47">
        <v>3</v>
      </c>
      <c r="W47">
        <v>4.5</v>
      </c>
      <c r="X47">
        <v>10</v>
      </c>
      <c r="Y47" t="s">
        <v>83</v>
      </c>
      <c r="Z47">
        <v>5</v>
      </c>
      <c r="AA47" t="s">
        <v>83</v>
      </c>
    </row>
    <row r="48" spans="1:27" x14ac:dyDescent="0.2">
      <c r="V48">
        <v>3</v>
      </c>
      <c r="W48">
        <v>4.5</v>
      </c>
      <c r="X48">
        <v>11</v>
      </c>
      <c r="Y48" t="s">
        <v>83</v>
      </c>
      <c r="Z48">
        <v>5</v>
      </c>
      <c r="AA48" t="s">
        <v>83</v>
      </c>
    </row>
    <row r="49" spans="22:27" x14ac:dyDescent="0.2">
      <c r="V49">
        <v>3</v>
      </c>
      <c r="W49">
        <v>4.5</v>
      </c>
      <c r="X49">
        <v>12</v>
      </c>
      <c r="Y49" t="s">
        <v>83</v>
      </c>
      <c r="Z49">
        <v>5</v>
      </c>
      <c r="AA49" t="s">
        <v>83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28E24-952A-6140-A7F4-7D5FCD9B9976}">
  <dimension ref="A1:O97"/>
  <sheetViews>
    <sheetView tabSelected="1" topLeftCell="A4" zoomScale="78" zoomScaleNormal="78" workbookViewId="0">
      <selection activeCell="A43" sqref="A43:XFD43"/>
    </sheetView>
  </sheetViews>
  <sheetFormatPr baseColWidth="10" defaultRowHeight="16" x14ac:dyDescent="0.2"/>
  <cols>
    <col min="3" max="4" width="19.6640625" customWidth="1"/>
    <col min="5" max="5" width="27" customWidth="1"/>
    <col min="6" max="6" width="28.6640625" customWidth="1"/>
    <col min="7" max="7" width="12.1640625" bestFit="1" customWidth="1"/>
    <col min="8" max="8" width="22.6640625" customWidth="1"/>
    <col min="9" max="9" width="16.33203125" customWidth="1"/>
    <col min="10" max="11" width="11" bestFit="1" customWidth="1"/>
    <col min="12" max="13" width="18.83203125" customWidth="1"/>
    <col min="14" max="14" width="15.6640625" customWidth="1"/>
    <col min="15" max="15" width="12.83203125" bestFit="1" customWidth="1"/>
  </cols>
  <sheetData>
    <row r="1" spans="1:15" x14ac:dyDescent="0.2">
      <c r="A1" t="s">
        <v>98</v>
      </c>
    </row>
    <row r="4" spans="1:15" x14ac:dyDescent="0.2">
      <c r="M4" t="s">
        <v>211</v>
      </c>
    </row>
    <row r="5" spans="1:15" x14ac:dyDescent="0.2">
      <c r="A5" t="s">
        <v>123</v>
      </c>
      <c r="B5" t="s">
        <v>124</v>
      </c>
      <c r="C5" t="s">
        <v>125</v>
      </c>
      <c r="D5" t="s">
        <v>126</v>
      </c>
      <c r="E5" t="s">
        <v>99</v>
      </c>
      <c r="F5" t="s">
        <v>105</v>
      </c>
      <c r="G5" t="s">
        <v>209</v>
      </c>
      <c r="I5" t="s">
        <v>104</v>
      </c>
      <c r="L5" t="s">
        <v>210</v>
      </c>
      <c r="M5">
        <f>1/5</f>
        <v>0.2</v>
      </c>
      <c r="N5" t="s">
        <v>179</v>
      </c>
      <c r="O5">
        <f>M5/(10^6)</f>
        <v>2.0000000000000002E-7</v>
      </c>
    </row>
    <row r="6" spans="1:15" x14ac:dyDescent="0.2">
      <c r="A6">
        <f>17.075-5*1.12</f>
        <v>11.474999999999998</v>
      </c>
      <c r="B6">
        <f>17.075+5*1.12</f>
        <v>22.675000000000001</v>
      </c>
      <c r="C6">
        <f>4*3.14*A6*A6*A6/3</f>
        <v>6325.9603762499974</v>
      </c>
      <c r="D6">
        <f>4*3.14*B6*B6*B6/3</f>
        <v>48810.164562916667</v>
      </c>
      <c r="E6">
        <f>34*2*34*2*34*2</f>
        <v>314432</v>
      </c>
      <c r="F6">
        <f>E6-D6</f>
        <v>265621.83543708333</v>
      </c>
      <c r="I6">
        <v>1</v>
      </c>
      <c r="O6">
        <f>O5^3</f>
        <v>8.0000000000000023E-21</v>
      </c>
    </row>
    <row r="7" spans="1:15" x14ac:dyDescent="0.2">
      <c r="F7" t="s">
        <v>122</v>
      </c>
      <c r="H7">
        <f>G10/(G14^3)*1000</f>
        <v>13.800000000000004</v>
      </c>
    </row>
    <row r="8" spans="1:15" x14ac:dyDescent="0.2">
      <c r="I8" t="s">
        <v>184</v>
      </c>
      <c r="J8" t="s">
        <v>185</v>
      </c>
    </row>
    <row r="9" spans="1:15" x14ac:dyDescent="0.2">
      <c r="F9" t="s">
        <v>139</v>
      </c>
      <c r="G9">
        <f>F6*(G14)^3</f>
        <v>2.6562183543708325E-16</v>
      </c>
      <c r="I9">
        <f>G10/(G14)^3</f>
        <v>1.3800000000000005E-2</v>
      </c>
      <c r="J9">
        <f>1/I9</f>
        <v>72.463768115942003</v>
      </c>
      <c r="L9" t="s">
        <v>137</v>
      </c>
      <c r="M9" t="s">
        <v>138</v>
      </c>
    </row>
    <row r="10" spans="1:15" x14ac:dyDescent="0.2">
      <c r="C10" t="s">
        <v>137</v>
      </c>
      <c r="D10" t="s">
        <v>128</v>
      </c>
      <c r="E10" t="s">
        <v>129</v>
      </c>
      <c r="F10" t="s">
        <v>130</v>
      </c>
      <c r="G10">
        <f>1.38*10^-23</f>
        <v>1.3800000000000001E-23</v>
      </c>
      <c r="H10" s="5" t="s">
        <v>134</v>
      </c>
      <c r="I10">
        <f>G14^3</f>
        <v>9.9999999999999972E-22</v>
      </c>
      <c r="M10">
        <f>D19*$G$10*$G$12/$G$9</f>
        <v>5.0890486385490939E-4</v>
      </c>
      <c r="N10">
        <f>G19/M10</f>
        <v>16.696720764041935</v>
      </c>
    </row>
    <row r="11" spans="1:15" x14ac:dyDescent="0.2">
      <c r="C11">
        <f>F20/D11</f>
        <v>16.696720764041935</v>
      </c>
      <c r="D11">
        <f>C20*$G$10*$G$12/$G$11</f>
        <v>2.5562664067121476E-4</v>
      </c>
      <c r="E11" t="s">
        <v>136</v>
      </c>
      <c r="F11" t="s">
        <v>146</v>
      </c>
      <c r="G11">
        <f>C6*(G14)^3</f>
        <v>6.3259603762499955E-18</v>
      </c>
      <c r="H11" t="s">
        <v>133</v>
      </c>
      <c r="M11">
        <f t="shared" ref="M11:M31" si="0">D20*$G$10*$G$12/$G$9</f>
        <v>5.0890486385490939E-4</v>
      </c>
      <c r="N11">
        <f t="shared" ref="N11:N31" si="1">G20/M11</f>
        <v>16.696720764041935</v>
      </c>
    </row>
    <row r="12" spans="1:15" x14ac:dyDescent="0.2">
      <c r="C12">
        <f t="shared" ref="C12:C13" si="2">F21/D12</f>
        <v>16.696720764041935</v>
      </c>
      <c r="D12">
        <f t="shared" ref="D12:D13" si="3">C21*$G$10*$G$12/$G$11</f>
        <v>5.1125328134242953E-4</v>
      </c>
      <c r="F12" t="s">
        <v>135</v>
      </c>
      <c r="G12">
        <v>4.34</v>
      </c>
      <c r="H12" t="s">
        <v>186</v>
      </c>
      <c r="I12" t="s">
        <v>147</v>
      </c>
      <c r="J12">
        <v>2.5</v>
      </c>
      <c r="K12">
        <f>J12*10</f>
        <v>25</v>
      </c>
      <c r="M12">
        <f t="shared" si="0"/>
        <v>5.0890486385490939E-4</v>
      </c>
      <c r="N12">
        <f t="shared" si="1"/>
        <v>16.696720764041935</v>
      </c>
    </row>
    <row r="13" spans="1:15" x14ac:dyDescent="0.2">
      <c r="C13">
        <f t="shared" si="2"/>
        <v>16.696720764041935</v>
      </c>
      <c r="D13">
        <f t="shared" si="3"/>
        <v>1.0225065626848591E-3</v>
      </c>
      <c r="F13" t="s">
        <v>131</v>
      </c>
      <c r="G13">
        <f>0.00000001</f>
        <v>1E-8</v>
      </c>
      <c r="I13" t="s">
        <v>148</v>
      </c>
      <c r="K13" t="e" cm="1">
        <f t="array" aca="1" ref="K13" ca="1">np.sqrt(G12)</f>
        <v>#NAME?</v>
      </c>
      <c r="M13">
        <f t="shared" si="0"/>
        <v>5.0890486385490939E-4</v>
      </c>
      <c r="N13">
        <f t="shared" si="1"/>
        <v>16.696720764041935</v>
      </c>
    </row>
    <row r="14" spans="1:15" x14ac:dyDescent="0.2">
      <c r="E14" t="s">
        <v>145</v>
      </c>
      <c r="F14" t="s">
        <v>132</v>
      </c>
      <c r="G14">
        <f>G13*10</f>
        <v>9.9999999999999995E-8</v>
      </c>
      <c r="M14">
        <f t="shared" si="0"/>
        <v>5.0890486385490939E-4</v>
      </c>
      <c r="N14">
        <f t="shared" si="1"/>
        <v>16.696720764041935</v>
      </c>
    </row>
    <row r="15" spans="1:15" x14ac:dyDescent="0.2">
      <c r="M15">
        <f t="shared" si="0"/>
        <v>1.5264891131137512E-3</v>
      </c>
      <c r="N15">
        <f t="shared" si="1"/>
        <v>16.696720764041938</v>
      </c>
    </row>
    <row r="16" spans="1:15" x14ac:dyDescent="0.2">
      <c r="M16">
        <f t="shared" si="0"/>
        <v>1.5264891131137512E-3</v>
      </c>
      <c r="N16">
        <f t="shared" si="1"/>
        <v>16.696720764041938</v>
      </c>
    </row>
    <row r="17" spans="1:14" x14ac:dyDescent="0.2">
      <c r="A17" t="s">
        <v>91</v>
      </c>
      <c r="B17" t="s">
        <v>93</v>
      </c>
      <c r="C17" t="s">
        <v>100</v>
      </c>
      <c r="D17" t="s">
        <v>101</v>
      </c>
      <c r="E17" t="s">
        <v>103</v>
      </c>
      <c r="F17" t="s">
        <v>107</v>
      </c>
      <c r="G17" t="s">
        <v>102</v>
      </c>
      <c r="M17">
        <f t="shared" si="0"/>
        <v>1.5264891131137512E-3</v>
      </c>
      <c r="N17">
        <f t="shared" si="1"/>
        <v>16.696720764041938</v>
      </c>
    </row>
    <row r="18" spans="1:14" x14ac:dyDescent="0.2">
      <c r="H18" t="s">
        <v>106</v>
      </c>
      <c r="I18" t="s">
        <v>108</v>
      </c>
      <c r="M18">
        <f t="shared" si="0"/>
        <v>1.5264891131137512E-3</v>
      </c>
      <c r="N18">
        <f t="shared" si="1"/>
        <v>16.696720764041938</v>
      </c>
    </row>
    <row r="19" spans="1:14" x14ac:dyDescent="0.2">
      <c r="A19">
        <v>0.05</v>
      </c>
      <c r="B19">
        <v>0</v>
      </c>
      <c r="C19">
        <f>B19*D19/41.95</f>
        <v>0</v>
      </c>
      <c r="D19">
        <f>ROUND(45130*A19, 0)</f>
        <v>2257</v>
      </c>
      <c r="F19">
        <f>C19*$I$6/$C$6</f>
        <v>0</v>
      </c>
      <c r="G19">
        <f>D19*$I$6/$F$6</f>
        <v>8.4970424072482002E-3</v>
      </c>
      <c r="H19">
        <f>F19-G19</f>
        <v>-8.4970424072482002E-3</v>
      </c>
      <c r="I19">
        <f>F19/G19</f>
        <v>0</v>
      </c>
      <c r="M19">
        <f t="shared" si="0"/>
        <v>1.5264891131137512E-3</v>
      </c>
      <c r="N19">
        <f t="shared" si="1"/>
        <v>16.696720764041938</v>
      </c>
    </row>
    <row r="20" spans="1:14" x14ac:dyDescent="0.2">
      <c r="A20">
        <v>0.05</v>
      </c>
      <c r="B20">
        <v>0.5</v>
      </c>
      <c r="C20">
        <f>ROUND(B20*D20/41.95,0)</f>
        <v>27</v>
      </c>
      <c r="D20">
        <f t="shared" ref="D20:D53" si="4">ROUND(45130*A20, 0)</f>
        <v>2257</v>
      </c>
      <c r="F20">
        <f>C20*$I$6/$C$6</f>
        <v>4.2681266391373582E-3</v>
      </c>
      <c r="G20">
        <f t="shared" ref="G20:G53" si="5">D20*$I$6/$F$6</f>
        <v>8.4970424072482002E-3</v>
      </c>
      <c r="H20">
        <f>F20-G20</f>
        <v>-4.228915768110842E-3</v>
      </c>
      <c r="I20">
        <f t="shared" ref="I20:I53" si="6">F20/G20</f>
        <v>0.50230732466352457</v>
      </c>
      <c r="M20">
        <f t="shared" si="0"/>
        <v>2.0351684985176837E-3</v>
      </c>
      <c r="N20">
        <f t="shared" si="1"/>
        <v>16.696720764041938</v>
      </c>
    </row>
    <row r="21" spans="1:14" x14ac:dyDescent="0.2">
      <c r="A21">
        <v>0.05</v>
      </c>
      <c r="B21">
        <v>1</v>
      </c>
      <c r="C21">
        <f t="shared" ref="C21:C53" si="7">ROUND(B21*D21/41.95,0)</f>
        <v>54</v>
      </c>
      <c r="D21">
        <f t="shared" si="4"/>
        <v>2257</v>
      </c>
      <c r="E21">
        <f>D21/C21</f>
        <v>41.796296296296298</v>
      </c>
      <c r="F21">
        <f t="shared" ref="F21:F53" si="8">C21*$I$6/$C$6</f>
        <v>8.5362532782747164E-3</v>
      </c>
      <c r="G21">
        <f t="shared" si="5"/>
        <v>8.4970424072482002E-3</v>
      </c>
      <c r="H21">
        <f t="shared" ref="H21:H53" si="9">F21-G21</f>
        <v>3.9210871026516131E-5</v>
      </c>
      <c r="I21">
        <f t="shared" si="6"/>
        <v>1.0046146493270491</v>
      </c>
      <c r="M21">
        <f t="shared" si="0"/>
        <v>2.0351684985176837E-3</v>
      </c>
      <c r="N21">
        <f t="shared" si="1"/>
        <v>16.696720764041938</v>
      </c>
    </row>
    <row r="22" spans="1:14" x14ac:dyDescent="0.2">
      <c r="A22">
        <v>0.05</v>
      </c>
      <c r="B22">
        <v>2</v>
      </c>
      <c r="C22">
        <f t="shared" si="7"/>
        <v>108</v>
      </c>
      <c r="D22">
        <f t="shared" si="4"/>
        <v>2257</v>
      </c>
      <c r="F22">
        <f t="shared" si="8"/>
        <v>1.7072506556549433E-2</v>
      </c>
      <c r="G22">
        <f t="shared" si="5"/>
        <v>8.4970424072482002E-3</v>
      </c>
      <c r="H22">
        <f t="shared" si="9"/>
        <v>8.5754641493012325E-3</v>
      </c>
      <c r="I22">
        <f t="shared" si="6"/>
        <v>2.0092292986540983</v>
      </c>
      <c r="M22">
        <f t="shared" si="0"/>
        <v>2.0351684985176837E-3</v>
      </c>
      <c r="N22">
        <f t="shared" si="1"/>
        <v>16.696720764041938</v>
      </c>
    </row>
    <row r="23" spans="1:14" x14ac:dyDescent="0.2">
      <c r="A23">
        <v>0.05</v>
      </c>
      <c r="B23">
        <v>3</v>
      </c>
      <c r="C23">
        <f t="shared" si="7"/>
        <v>161</v>
      </c>
      <c r="D23">
        <f t="shared" si="4"/>
        <v>2257</v>
      </c>
      <c r="F23">
        <f t="shared" si="8"/>
        <v>2.5450681070411655E-2</v>
      </c>
      <c r="G23">
        <f t="shared" si="5"/>
        <v>8.4970424072482002E-3</v>
      </c>
      <c r="H23">
        <f t="shared" si="9"/>
        <v>1.6953638663163455E-2</v>
      </c>
      <c r="I23">
        <f t="shared" si="6"/>
        <v>2.9952399729936094</v>
      </c>
      <c r="M23">
        <f t="shared" si="0"/>
        <v>2.0351684985176837E-3</v>
      </c>
      <c r="N23">
        <f t="shared" si="1"/>
        <v>16.696720764041938</v>
      </c>
    </row>
    <row r="24" spans="1:14" x14ac:dyDescent="0.2">
      <c r="A24">
        <v>0.15</v>
      </c>
      <c r="B24">
        <v>0</v>
      </c>
      <c r="C24">
        <f t="shared" si="7"/>
        <v>0</v>
      </c>
      <c r="D24">
        <f t="shared" si="4"/>
        <v>6770</v>
      </c>
      <c r="F24">
        <f t="shared" si="8"/>
        <v>0</v>
      </c>
      <c r="G24">
        <f t="shared" si="5"/>
        <v>2.5487362471010331E-2</v>
      </c>
      <c r="H24">
        <f t="shared" si="9"/>
        <v>-2.5487362471010331E-2</v>
      </c>
      <c r="I24">
        <f t="shared" si="6"/>
        <v>0</v>
      </c>
      <c r="M24">
        <f t="shared" si="0"/>
        <v>2.0351684985176837E-3</v>
      </c>
      <c r="N24">
        <f t="shared" si="1"/>
        <v>16.696720764041938</v>
      </c>
    </row>
    <row r="25" spans="1:14" x14ac:dyDescent="0.2">
      <c r="A25">
        <v>0.15</v>
      </c>
      <c r="B25">
        <v>0.5</v>
      </c>
      <c r="C25">
        <f t="shared" si="7"/>
        <v>81</v>
      </c>
      <c r="D25">
        <f t="shared" si="4"/>
        <v>6770</v>
      </c>
      <c r="F25">
        <f t="shared" si="8"/>
        <v>1.2804379917412075E-2</v>
      </c>
      <c r="G25">
        <f t="shared" si="5"/>
        <v>2.5487362471010331E-2</v>
      </c>
      <c r="H25">
        <f t="shared" si="9"/>
        <v>-1.2682982553598256E-2</v>
      </c>
      <c r="I25">
        <f t="shared" si="6"/>
        <v>0.50238152072329767</v>
      </c>
      <c r="M25">
        <f t="shared" si="0"/>
        <v>2.5440733623725933E-3</v>
      </c>
      <c r="N25">
        <f t="shared" si="1"/>
        <v>16.696720764041938</v>
      </c>
    </row>
    <row r="26" spans="1:14" x14ac:dyDescent="0.2">
      <c r="A26">
        <v>0.15</v>
      </c>
      <c r="B26">
        <v>1</v>
      </c>
      <c r="C26">
        <f t="shared" si="7"/>
        <v>161</v>
      </c>
      <c r="D26">
        <f t="shared" si="4"/>
        <v>6770</v>
      </c>
      <c r="F26">
        <f t="shared" si="8"/>
        <v>2.5450681070411655E-2</v>
      </c>
      <c r="G26">
        <f t="shared" si="5"/>
        <v>2.5487362471010331E-2</v>
      </c>
      <c r="H26">
        <f t="shared" si="9"/>
        <v>-3.6681400598675973E-5</v>
      </c>
      <c r="I26">
        <f t="shared" si="6"/>
        <v>0.99856080045001139</v>
      </c>
      <c r="M26">
        <f t="shared" si="0"/>
        <v>2.5440733623725933E-3</v>
      </c>
      <c r="N26">
        <f t="shared" si="1"/>
        <v>16.696720764041938</v>
      </c>
    </row>
    <row r="27" spans="1:14" x14ac:dyDescent="0.2">
      <c r="A27">
        <v>0.15</v>
      </c>
      <c r="B27">
        <v>2</v>
      </c>
      <c r="C27">
        <f t="shared" si="7"/>
        <v>323</v>
      </c>
      <c r="D27">
        <f t="shared" si="4"/>
        <v>6770</v>
      </c>
      <c r="F27">
        <f t="shared" si="8"/>
        <v>5.1059440905235808E-2</v>
      </c>
      <c r="G27">
        <f t="shared" si="5"/>
        <v>2.5487362471010331E-2</v>
      </c>
      <c r="H27">
        <f t="shared" si="9"/>
        <v>2.5572078434225477E-2</v>
      </c>
      <c r="I27">
        <f t="shared" si="6"/>
        <v>2.0033238418966066</v>
      </c>
      <c r="M27">
        <f t="shared" si="0"/>
        <v>2.5440733623725933E-3</v>
      </c>
      <c r="N27">
        <f t="shared" si="1"/>
        <v>16.696720764041938</v>
      </c>
    </row>
    <row r="28" spans="1:14" x14ac:dyDescent="0.2">
      <c r="A28">
        <v>0.15</v>
      </c>
      <c r="B28">
        <v>3</v>
      </c>
      <c r="C28">
        <f t="shared" si="7"/>
        <v>484</v>
      </c>
      <c r="D28">
        <f t="shared" si="4"/>
        <v>6770</v>
      </c>
      <c r="F28">
        <f t="shared" si="8"/>
        <v>7.6510121975647466E-2</v>
      </c>
      <c r="G28">
        <f t="shared" si="5"/>
        <v>2.5487362471010331E-2</v>
      </c>
      <c r="H28">
        <f t="shared" si="9"/>
        <v>5.1022759504637138E-2</v>
      </c>
      <c r="I28">
        <f t="shared" si="6"/>
        <v>3.0018846423466181</v>
      </c>
      <c r="M28">
        <f t="shared" si="0"/>
        <v>2.5440733623725933E-3</v>
      </c>
      <c r="N28">
        <f t="shared" si="1"/>
        <v>16.696720764041938</v>
      </c>
    </row>
    <row r="29" spans="1:14" x14ac:dyDescent="0.2">
      <c r="A29">
        <v>0.2</v>
      </c>
      <c r="B29">
        <v>0</v>
      </c>
      <c r="C29">
        <f t="shared" si="7"/>
        <v>0</v>
      </c>
      <c r="D29">
        <f t="shared" si="4"/>
        <v>9026</v>
      </c>
      <c r="F29">
        <f t="shared" si="8"/>
        <v>0</v>
      </c>
      <c r="G29">
        <f t="shared" si="5"/>
        <v>3.3980640127524261E-2</v>
      </c>
      <c r="H29">
        <f t="shared" si="9"/>
        <v>-3.3980640127524261E-2</v>
      </c>
      <c r="I29">
        <f t="shared" si="6"/>
        <v>0</v>
      </c>
      <c r="M29">
        <f t="shared" si="0"/>
        <v>2.5440733623725933E-3</v>
      </c>
      <c r="N29">
        <f t="shared" si="1"/>
        <v>16.696720764041938</v>
      </c>
    </row>
    <row r="30" spans="1:14" x14ac:dyDescent="0.2">
      <c r="A30">
        <v>0.2</v>
      </c>
      <c r="B30">
        <v>0.5</v>
      </c>
      <c r="C30">
        <f t="shared" si="7"/>
        <v>108</v>
      </c>
      <c r="D30">
        <f t="shared" si="4"/>
        <v>9026</v>
      </c>
      <c r="F30">
        <f t="shared" si="8"/>
        <v>1.7072506556549433E-2</v>
      </c>
      <c r="G30">
        <f t="shared" si="5"/>
        <v>3.3980640127524261E-2</v>
      </c>
      <c r="H30">
        <f t="shared" si="9"/>
        <v>-1.6908133570974829E-2</v>
      </c>
      <c r="I30">
        <f t="shared" si="6"/>
        <v>0.50241862697344331</v>
      </c>
      <c r="M30">
        <f t="shared" si="0"/>
        <v>3.0527527477765258E-3</v>
      </c>
      <c r="N30">
        <f t="shared" si="1"/>
        <v>16.696720764041935</v>
      </c>
    </row>
    <row r="31" spans="1:14" x14ac:dyDescent="0.2">
      <c r="A31">
        <v>0.2</v>
      </c>
      <c r="B31">
        <v>1</v>
      </c>
      <c r="C31">
        <f t="shared" si="7"/>
        <v>215</v>
      </c>
      <c r="D31">
        <f t="shared" si="4"/>
        <v>9026</v>
      </c>
      <c r="F31">
        <f t="shared" si="8"/>
        <v>3.3986934348686375E-2</v>
      </c>
      <c r="G31">
        <f t="shared" si="5"/>
        <v>3.3980640127524261E-2</v>
      </c>
      <c r="H31">
        <f t="shared" si="9"/>
        <v>6.294221162113367E-6</v>
      </c>
      <c r="I31">
        <f t="shared" si="6"/>
        <v>1.0001852296230587</v>
      </c>
      <c r="M31">
        <f t="shared" si="0"/>
        <v>3.0527527477765258E-3</v>
      </c>
      <c r="N31">
        <f t="shared" si="1"/>
        <v>16.696720764041935</v>
      </c>
    </row>
    <row r="32" spans="1:14" x14ac:dyDescent="0.2">
      <c r="A32">
        <v>0.2</v>
      </c>
      <c r="B32">
        <v>2</v>
      </c>
      <c r="C32">
        <f t="shared" si="7"/>
        <v>430</v>
      </c>
      <c r="D32">
        <f t="shared" si="4"/>
        <v>9026</v>
      </c>
      <c r="F32">
        <f t="shared" si="8"/>
        <v>6.797386869737275E-2</v>
      </c>
      <c r="G32">
        <f t="shared" si="5"/>
        <v>3.3980640127524261E-2</v>
      </c>
      <c r="H32">
        <f t="shared" si="9"/>
        <v>3.3993228569848488E-2</v>
      </c>
      <c r="I32">
        <f t="shared" si="6"/>
        <v>2.0003704592461173</v>
      </c>
    </row>
    <row r="33" spans="1:15" x14ac:dyDescent="0.2">
      <c r="A33">
        <v>0.2</v>
      </c>
      <c r="B33">
        <v>3</v>
      </c>
      <c r="C33">
        <f>ROUND(B33*D33/41.95,0)</f>
        <v>645</v>
      </c>
      <c r="D33">
        <f t="shared" si="4"/>
        <v>9026</v>
      </c>
      <c r="F33">
        <f t="shared" si="8"/>
        <v>0.10196080304605912</v>
      </c>
      <c r="G33">
        <f t="shared" si="5"/>
        <v>3.3980640127524261E-2</v>
      </c>
      <c r="H33">
        <f t="shared" si="9"/>
        <v>6.7980162918534856E-2</v>
      </c>
      <c r="I33">
        <f t="shared" si="6"/>
        <v>3.0005556888691758</v>
      </c>
    </row>
    <row r="34" spans="1:15" x14ac:dyDescent="0.2">
      <c r="A34">
        <v>0.25</v>
      </c>
      <c r="B34">
        <v>0</v>
      </c>
      <c r="C34">
        <f t="shared" si="7"/>
        <v>0</v>
      </c>
      <c r="D34">
        <f>ROUND(45130*A34, 0)</f>
        <v>11283</v>
      </c>
      <c r="F34">
        <f t="shared" si="8"/>
        <v>0</v>
      </c>
      <c r="G34">
        <f t="shared" si="5"/>
        <v>4.2477682534772465E-2</v>
      </c>
      <c r="H34">
        <f t="shared" si="9"/>
        <v>-4.2477682534772465E-2</v>
      </c>
      <c r="I34">
        <f t="shared" si="6"/>
        <v>0</v>
      </c>
      <c r="M34" t="s">
        <v>140</v>
      </c>
      <c r="N34" t="s">
        <v>141</v>
      </c>
      <c r="O34" t="s">
        <v>187</v>
      </c>
    </row>
    <row r="35" spans="1:15" x14ac:dyDescent="0.2">
      <c r="A35">
        <v>0.25</v>
      </c>
      <c r="B35">
        <v>0.5</v>
      </c>
      <c r="C35">
        <f t="shared" si="7"/>
        <v>134</v>
      </c>
      <c r="D35">
        <f t="shared" si="4"/>
        <v>11283</v>
      </c>
      <c r="F35">
        <f t="shared" si="8"/>
        <v>2.1182554431274297E-2</v>
      </c>
      <c r="G35">
        <f t="shared" si="5"/>
        <v>4.2477682534772465E-2</v>
      </c>
      <c r="H35">
        <f t="shared" si="9"/>
        <v>-2.1295128103498168E-2</v>
      </c>
      <c r="I35">
        <f t="shared" si="6"/>
        <v>0.4986749080280955</v>
      </c>
      <c r="M35" t="s">
        <v>142</v>
      </c>
      <c r="N35">
        <f>-(A6+B6)/2</f>
        <v>-17.074999999999999</v>
      </c>
      <c r="O35">
        <f>N35*G14</f>
        <v>-1.7075E-6</v>
      </c>
    </row>
    <row r="36" spans="1:15" x14ac:dyDescent="0.2">
      <c r="A36">
        <v>0.25</v>
      </c>
      <c r="B36">
        <v>1</v>
      </c>
      <c r="C36">
        <f t="shared" si="7"/>
        <v>269</v>
      </c>
      <c r="D36">
        <f t="shared" si="4"/>
        <v>11283</v>
      </c>
      <c r="F36">
        <f t="shared" si="8"/>
        <v>4.2523187626961091E-2</v>
      </c>
      <c r="G36">
        <f t="shared" si="5"/>
        <v>4.2477682534772465E-2</v>
      </c>
      <c r="H36">
        <f t="shared" si="9"/>
        <v>4.5505092188626028E-5</v>
      </c>
      <c r="I36">
        <f t="shared" si="6"/>
        <v>1.0010712705937141</v>
      </c>
    </row>
    <row r="37" spans="1:15" x14ac:dyDescent="0.2">
      <c r="A37">
        <v>0.25</v>
      </c>
      <c r="B37">
        <v>2</v>
      </c>
      <c r="C37">
        <f t="shared" si="7"/>
        <v>538</v>
      </c>
      <c r="D37">
        <f t="shared" si="4"/>
        <v>11283</v>
      </c>
      <c r="F37">
        <f t="shared" si="8"/>
        <v>8.5046375253922182E-2</v>
      </c>
      <c r="G37">
        <f t="shared" si="5"/>
        <v>4.2477682534772465E-2</v>
      </c>
      <c r="H37">
        <f t="shared" si="9"/>
        <v>4.2568692719149717E-2</v>
      </c>
      <c r="I37">
        <f t="shared" si="6"/>
        <v>2.0021425411874283</v>
      </c>
      <c r="M37" t="s">
        <v>143</v>
      </c>
      <c r="N37" t="s">
        <v>144</v>
      </c>
    </row>
    <row r="38" spans="1:15" x14ac:dyDescent="0.2">
      <c r="A38">
        <v>0.25</v>
      </c>
      <c r="B38">
        <v>3</v>
      </c>
      <c r="C38">
        <f t="shared" si="7"/>
        <v>807</v>
      </c>
      <c r="D38">
        <f t="shared" si="4"/>
        <v>11283</v>
      </c>
      <c r="F38">
        <f t="shared" si="8"/>
        <v>0.12756956288088325</v>
      </c>
      <c r="G38">
        <f t="shared" si="5"/>
        <v>4.2477682534772465E-2</v>
      </c>
      <c r="H38">
        <f t="shared" si="9"/>
        <v>8.5091880346110788E-2</v>
      </c>
      <c r="I38">
        <f t="shared" si="6"/>
        <v>3.003213811781142</v>
      </c>
    </row>
    <row r="39" spans="1:15" x14ac:dyDescent="0.2">
      <c r="A39">
        <v>0.3</v>
      </c>
      <c r="B39">
        <v>0</v>
      </c>
      <c r="C39">
        <f t="shared" si="7"/>
        <v>0</v>
      </c>
      <c r="D39">
        <f t="shared" si="4"/>
        <v>13539</v>
      </c>
      <c r="F39">
        <f t="shared" si="8"/>
        <v>0</v>
      </c>
      <c r="G39">
        <f t="shared" si="5"/>
        <v>5.0970960191286392E-2</v>
      </c>
      <c r="H39">
        <f t="shared" si="9"/>
        <v>-5.0970960191286392E-2</v>
      </c>
      <c r="I39">
        <f t="shared" si="6"/>
        <v>0</v>
      </c>
    </row>
    <row r="40" spans="1:15" x14ac:dyDescent="0.2">
      <c r="A40">
        <v>0.3</v>
      </c>
      <c r="B40">
        <v>0.5</v>
      </c>
      <c r="C40">
        <f t="shared" si="7"/>
        <v>161</v>
      </c>
      <c r="D40">
        <f t="shared" si="4"/>
        <v>13539</v>
      </c>
      <c r="F40">
        <f t="shared" si="8"/>
        <v>2.5450681070411655E-2</v>
      </c>
      <c r="G40">
        <f t="shared" si="5"/>
        <v>5.0970960191286392E-2</v>
      </c>
      <c r="H40">
        <f t="shared" si="9"/>
        <v>-2.5520279120874737E-2</v>
      </c>
      <c r="I40">
        <f t="shared" si="6"/>
        <v>0.4993172774242246</v>
      </c>
      <c r="M40" t="s">
        <v>183</v>
      </c>
    </row>
    <row r="41" spans="1:15" x14ac:dyDescent="0.2">
      <c r="A41">
        <v>0.3</v>
      </c>
      <c r="B41">
        <v>1</v>
      </c>
      <c r="C41">
        <f t="shared" si="7"/>
        <v>323</v>
      </c>
      <c r="D41">
        <f t="shared" si="4"/>
        <v>13539</v>
      </c>
      <c r="F41">
        <f t="shared" si="8"/>
        <v>5.1059440905235808E-2</v>
      </c>
      <c r="G41">
        <f t="shared" si="5"/>
        <v>5.0970960191286392E-2</v>
      </c>
      <c r="H41">
        <f t="shared" si="9"/>
        <v>8.8480713949415368E-5</v>
      </c>
      <c r="I41">
        <f t="shared" si="6"/>
        <v>1.0017359043976679</v>
      </c>
    </row>
    <row r="42" spans="1:15" x14ac:dyDescent="0.2">
      <c r="A42">
        <v>0.3</v>
      </c>
      <c r="B42">
        <v>2</v>
      </c>
      <c r="C42">
        <f t="shared" si="7"/>
        <v>645</v>
      </c>
      <c r="D42">
        <f t="shared" si="4"/>
        <v>13539</v>
      </c>
      <c r="F42">
        <f t="shared" si="8"/>
        <v>0.10196080304605912</v>
      </c>
      <c r="G42">
        <f t="shared" si="5"/>
        <v>5.0970960191286392E-2</v>
      </c>
      <c r="H42">
        <f t="shared" si="9"/>
        <v>5.0989842854772725E-2</v>
      </c>
      <c r="I42">
        <f t="shared" si="6"/>
        <v>2.0003704592461173</v>
      </c>
    </row>
    <row r="43" spans="1:15" x14ac:dyDescent="0.2">
      <c r="A43">
        <v>0.3</v>
      </c>
      <c r="B43">
        <v>3</v>
      </c>
      <c r="C43">
        <f t="shared" si="7"/>
        <v>968</v>
      </c>
      <c r="D43">
        <f t="shared" si="4"/>
        <v>13539</v>
      </c>
      <c r="F43">
        <f t="shared" si="8"/>
        <v>0.15302024395129493</v>
      </c>
      <c r="G43">
        <f t="shared" si="5"/>
        <v>5.0970960191286392E-2</v>
      </c>
      <c r="H43">
        <f t="shared" si="9"/>
        <v>0.10204928376000855</v>
      </c>
      <c r="I43">
        <f t="shared" si="6"/>
        <v>3.0021063636437852</v>
      </c>
    </row>
    <row r="44" spans="1:15" x14ac:dyDescent="0.2">
      <c r="A44">
        <v>0</v>
      </c>
      <c r="B44">
        <v>0</v>
      </c>
      <c r="C44">
        <f t="shared" si="7"/>
        <v>0</v>
      </c>
      <c r="D44">
        <f t="shared" si="4"/>
        <v>0</v>
      </c>
      <c r="F44">
        <f t="shared" si="8"/>
        <v>0</v>
      </c>
      <c r="G44">
        <f t="shared" si="5"/>
        <v>0</v>
      </c>
      <c r="H44">
        <f t="shared" si="9"/>
        <v>0</v>
      </c>
      <c r="I44" t="e">
        <f t="shared" si="6"/>
        <v>#DIV/0!</v>
      </c>
    </row>
    <row r="45" spans="1:15" x14ac:dyDescent="0.2">
      <c r="A45">
        <v>0</v>
      </c>
      <c r="B45">
        <v>0.5</v>
      </c>
      <c r="C45">
        <f t="shared" si="7"/>
        <v>0</v>
      </c>
      <c r="D45">
        <f t="shared" si="4"/>
        <v>0</v>
      </c>
      <c r="F45">
        <f t="shared" si="8"/>
        <v>0</v>
      </c>
      <c r="G45">
        <f t="shared" si="5"/>
        <v>0</v>
      </c>
      <c r="H45">
        <f t="shared" si="9"/>
        <v>0</v>
      </c>
      <c r="I45" t="e">
        <f t="shared" si="6"/>
        <v>#DIV/0!</v>
      </c>
    </row>
    <row r="46" spans="1:15" x14ac:dyDescent="0.2">
      <c r="A46">
        <v>0</v>
      </c>
      <c r="B46">
        <v>1</v>
      </c>
      <c r="C46">
        <f t="shared" si="7"/>
        <v>0</v>
      </c>
      <c r="D46">
        <f t="shared" si="4"/>
        <v>0</v>
      </c>
      <c r="F46">
        <f t="shared" si="8"/>
        <v>0</v>
      </c>
      <c r="G46">
        <f t="shared" si="5"/>
        <v>0</v>
      </c>
      <c r="H46">
        <f t="shared" si="9"/>
        <v>0</v>
      </c>
      <c r="I46" t="e">
        <f t="shared" si="6"/>
        <v>#DIV/0!</v>
      </c>
    </row>
    <row r="47" spans="1:15" x14ac:dyDescent="0.2">
      <c r="A47">
        <v>0</v>
      </c>
      <c r="B47">
        <v>2</v>
      </c>
      <c r="C47">
        <f t="shared" si="7"/>
        <v>0</v>
      </c>
      <c r="D47">
        <f t="shared" si="4"/>
        <v>0</v>
      </c>
      <c r="F47">
        <f t="shared" si="8"/>
        <v>0</v>
      </c>
      <c r="G47">
        <f t="shared" si="5"/>
        <v>0</v>
      </c>
      <c r="H47">
        <f t="shared" si="9"/>
        <v>0</v>
      </c>
      <c r="I47" t="e">
        <f t="shared" si="6"/>
        <v>#DIV/0!</v>
      </c>
    </row>
    <row r="48" spans="1:15" x14ac:dyDescent="0.2">
      <c r="A48">
        <v>0</v>
      </c>
      <c r="B48">
        <v>3</v>
      </c>
      <c r="C48">
        <f t="shared" si="7"/>
        <v>0</v>
      </c>
      <c r="D48">
        <f t="shared" si="4"/>
        <v>0</v>
      </c>
      <c r="F48">
        <f t="shared" si="8"/>
        <v>0</v>
      </c>
      <c r="G48">
        <f t="shared" si="5"/>
        <v>0</v>
      </c>
      <c r="H48">
        <f t="shared" si="9"/>
        <v>0</v>
      </c>
      <c r="I48" t="e">
        <f t="shared" si="6"/>
        <v>#DIV/0!</v>
      </c>
    </row>
    <row r="49" spans="1:12" x14ac:dyDescent="0.2">
      <c r="A49">
        <v>0.1</v>
      </c>
      <c r="B49">
        <v>0</v>
      </c>
      <c r="C49">
        <f t="shared" si="7"/>
        <v>0</v>
      </c>
      <c r="D49">
        <f t="shared" si="4"/>
        <v>4513</v>
      </c>
      <c r="F49">
        <f t="shared" si="8"/>
        <v>0</v>
      </c>
      <c r="G49">
        <f t="shared" si="5"/>
        <v>1.6990320063762131E-2</v>
      </c>
      <c r="H49">
        <f t="shared" si="9"/>
        <v>-1.6990320063762131E-2</v>
      </c>
      <c r="I49">
        <f t="shared" si="6"/>
        <v>0</v>
      </c>
    </row>
    <row r="50" spans="1:12" x14ac:dyDescent="0.2">
      <c r="A50">
        <v>0.1</v>
      </c>
      <c r="B50">
        <v>0.5</v>
      </c>
      <c r="C50">
        <f t="shared" si="7"/>
        <v>54</v>
      </c>
      <c r="D50">
        <f t="shared" si="4"/>
        <v>4513</v>
      </c>
      <c r="F50">
        <f t="shared" si="8"/>
        <v>8.5362532782747164E-3</v>
      </c>
      <c r="G50">
        <f t="shared" si="5"/>
        <v>1.6990320063762131E-2</v>
      </c>
      <c r="H50">
        <f t="shared" si="9"/>
        <v>-8.4540667854874144E-3</v>
      </c>
      <c r="I50">
        <f t="shared" si="6"/>
        <v>0.50241862697344331</v>
      </c>
    </row>
    <row r="51" spans="1:12" x14ac:dyDescent="0.2">
      <c r="A51">
        <v>0.1</v>
      </c>
      <c r="B51">
        <v>1</v>
      </c>
      <c r="C51">
        <f t="shared" si="7"/>
        <v>108</v>
      </c>
      <c r="D51">
        <f t="shared" si="4"/>
        <v>4513</v>
      </c>
      <c r="F51">
        <f t="shared" si="8"/>
        <v>1.7072506556549433E-2</v>
      </c>
      <c r="G51">
        <f t="shared" si="5"/>
        <v>1.6990320063762131E-2</v>
      </c>
      <c r="H51">
        <f t="shared" si="9"/>
        <v>8.2186492787302001E-5</v>
      </c>
      <c r="I51">
        <f t="shared" si="6"/>
        <v>1.0048372539468866</v>
      </c>
    </row>
    <row r="52" spans="1:12" x14ac:dyDescent="0.2">
      <c r="A52">
        <v>0.1</v>
      </c>
      <c r="B52">
        <v>2</v>
      </c>
      <c r="C52">
        <f t="shared" si="7"/>
        <v>215</v>
      </c>
      <c r="D52">
        <f t="shared" si="4"/>
        <v>4513</v>
      </c>
      <c r="F52">
        <f t="shared" si="8"/>
        <v>3.3986934348686375E-2</v>
      </c>
      <c r="G52">
        <f t="shared" si="5"/>
        <v>1.6990320063762131E-2</v>
      </c>
      <c r="H52">
        <f t="shared" si="9"/>
        <v>1.6996614284924244E-2</v>
      </c>
      <c r="I52">
        <f t="shared" si="6"/>
        <v>2.0003704592461173</v>
      </c>
    </row>
    <row r="53" spans="1:12" x14ac:dyDescent="0.2">
      <c r="A53">
        <v>0.1</v>
      </c>
      <c r="B53">
        <v>3</v>
      </c>
      <c r="C53">
        <f t="shared" si="7"/>
        <v>323</v>
      </c>
      <c r="D53">
        <f t="shared" si="4"/>
        <v>4513</v>
      </c>
      <c r="F53">
        <f t="shared" si="8"/>
        <v>5.1059440905235808E-2</v>
      </c>
      <c r="G53">
        <f t="shared" si="5"/>
        <v>1.6990320063762131E-2</v>
      </c>
      <c r="H53">
        <f t="shared" si="9"/>
        <v>3.4069120841473677E-2</v>
      </c>
      <c r="I53">
        <f t="shared" si="6"/>
        <v>3.0052077131930042</v>
      </c>
    </row>
    <row r="58" spans="1:12" x14ac:dyDescent="0.2">
      <c r="B58" t="s">
        <v>112</v>
      </c>
    </row>
    <row r="59" spans="1:12" x14ac:dyDescent="0.2">
      <c r="B59" t="s">
        <v>114</v>
      </c>
      <c r="C59" t="s">
        <v>113</v>
      </c>
      <c r="E59" t="s">
        <v>117</v>
      </c>
      <c r="F59" t="s">
        <v>118</v>
      </c>
    </row>
    <row r="60" spans="1:12" x14ac:dyDescent="0.2">
      <c r="B60" t="s">
        <v>116</v>
      </c>
      <c r="C60" t="s">
        <v>115</v>
      </c>
      <c r="E60" t="s">
        <v>119</v>
      </c>
    </row>
    <row r="62" spans="1:12" x14ac:dyDescent="0.2">
      <c r="H62" t="s">
        <v>121</v>
      </c>
      <c r="I62" t="s">
        <v>120</v>
      </c>
      <c r="K62" t="s">
        <v>109</v>
      </c>
      <c r="L62" t="s">
        <v>106</v>
      </c>
    </row>
    <row r="63" spans="1:12" x14ac:dyDescent="0.2">
      <c r="C63" t="s">
        <v>127</v>
      </c>
      <c r="H63" t="e">
        <f t="shared" ref="H63:H97" si="10">F19/$J$13</f>
        <v>#DIV/0!</v>
      </c>
      <c r="I63">
        <f t="shared" ref="I63:I97" si="11">$J$13*G19</f>
        <v>0</v>
      </c>
      <c r="J63" t="e">
        <f>E19/H63</f>
        <v>#DIV/0!</v>
      </c>
      <c r="K63" t="e">
        <f>F19/I63</f>
        <v>#DIV/0!</v>
      </c>
      <c r="L63">
        <f t="shared" ref="L63:L97" si="12">F19-I63</f>
        <v>0</v>
      </c>
    </row>
    <row r="64" spans="1:12" x14ac:dyDescent="0.2">
      <c r="C64">
        <v>0</v>
      </c>
      <c r="D64">
        <v>0.05</v>
      </c>
      <c r="E64">
        <f>C64-D64</f>
        <v>-0.05</v>
      </c>
      <c r="H64" t="e">
        <f t="shared" si="10"/>
        <v>#DIV/0!</v>
      </c>
      <c r="I64">
        <f t="shared" si="11"/>
        <v>0</v>
      </c>
      <c r="J64" t="e">
        <f t="shared" ref="J64:J97" si="13">H64/G20</f>
        <v>#DIV/0!</v>
      </c>
      <c r="K64" t="e">
        <f t="shared" ref="K64:K97" si="14">F20/I64</f>
        <v>#DIV/0!</v>
      </c>
      <c r="L64">
        <f t="shared" si="12"/>
        <v>4.2681266391373582E-3</v>
      </c>
    </row>
    <row r="65" spans="3:12" x14ac:dyDescent="0.2">
      <c r="C65">
        <v>0</v>
      </c>
      <c r="D65">
        <v>0.1</v>
      </c>
      <c r="E65">
        <f t="shared" ref="E65:E66" si="15">C65-D65</f>
        <v>-0.1</v>
      </c>
      <c r="H65" t="e">
        <f t="shared" si="10"/>
        <v>#DIV/0!</v>
      </c>
      <c r="I65">
        <f t="shared" si="11"/>
        <v>0</v>
      </c>
      <c r="J65" t="e">
        <f t="shared" si="13"/>
        <v>#DIV/0!</v>
      </c>
      <c r="K65" t="e">
        <f t="shared" si="14"/>
        <v>#DIV/0!</v>
      </c>
      <c r="L65">
        <f t="shared" si="12"/>
        <v>8.5362532782747164E-3</v>
      </c>
    </row>
    <row r="66" spans="3:12" x14ac:dyDescent="0.2">
      <c r="C66">
        <v>0</v>
      </c>
      <c r="D66">
        <v>0.15</v>
      </c>
      <c r="E66">
        <f t="shared" si="15"/>
        <v>-0.15</v>
      </c>
      <c r="H66" t="e">
        <f t="shared" si="10"/>
        <v>#DIV/0!</v>
      </c>
      <c r="I66">
        <f t="shared" si="11"/>
        <v>0</v>
      </c>
      <c r="J66" t="e">
        <f t="shared" si="13"/>
        <v>#DIV/0!</v>
      </c>
      <c r="K66" t="e">
        <f t="shared" si="14"/>
        <v>#DIV/0!</v>
      </c>
      <c r="L66">
        <f t="shared" si="12"/>
        <v>1.7072506556549433E-2</v>
      </c>
    </row>
    <row r="67" spans="3:12" x14ac:dyDescent="0.2">
      <c r="C67">
        <v>0</v>
      </c>
      <c r="D67">
        <v>0.2</v>
      </c>
      <c r="H67" t="e">
        <f t="shared" si="10"/>
        <v>#DIV/0!</v>
      </c>
      <c r="I67">
        <f t="shared" si="11"/>
        <v>0</v>
      </c>
      <c r="J67" t="e">
        <f t="shared" si="13"/>
        <v>#DIV/0!</v>
      </c>
      <c r="K67" t="e">
        <f t="shared" si="14"/>
        <v>#DIV/0!</v>
      </c>
      <c r="L67">
        <f t="shared" si="12"/>
        <v>2.5450681070411655E-2</v>
      </c>
    </row>
    <row r="68" spans="3:12" x14ac:dyDescent="0.2">
      <c r="C68">
        <v>0</v>
      </c>
      <c r="D68">
        <v>0.25</v>
      </c>
      <c r="H68" t="e">
        <f t="shared" si="10"/>
        <v>#DIV/0!</v>
      </c>
      <c r="I68">
        <f t="shared" si="11"/>
        <v>0</v>
      </c>
      <c r="J68" t="e">
        <f t="shared" si="13"/>
        <v>#DIV/0!</v>
      </c>
      <c r="K68" t="e">
        <f t="shared" si="14"/>
        <v>#DIV/0!</v>
      </c>
      <c r="L68">
        <f t="shared" si="12"/>
        <v>0</v>
      </c>
    </row>
    <row r="69" spans="3:12" x14ac:dyDescent="0.2">
      <c r="C69">
        <v>0</v>
      </c>
      <c r="D69">
        <v>0.3</v>
      </c>
      <c r="H69" t="e">
        <f t="shared" si="10"/>
        <v>#DIV/0!</v>
      </c>
      <c r="I69">
        <f t="shared" si="11"/>
        <v>0</v>
      </c>
      <c r="J69" t="e">
        <f t="shared" si="13"/>
        <v>#DIV/0!</v>
      </c>
      <c r="K69" t="e">
        <f t="shared" si="14"/>
        <v>#DIV/0!</v>
      </c>
      <c r="L69">
        <f t="shared" si="12"/>
        <v>1.2804379917412075E-2</v>
      </c>
    </row>
    <row r="70" spans="3:12" x14ac:dyDescent="0.2">
      <c r="H70" t="e">
        <f t="shared" si="10"/>
        <v>#DIV/0!</v>
      </c>
      <c r="I70">
        <f t="shared" si="11"/>
        <v>0</v>
      </c>
      <c r="J70" t="e">
        <f t="shared" si="13"/>
        <v>#DIV/0!</v>
      </c>
      <c r="K70" t="e">
        <f t="shared" si="14"/>
        <v>#DIV/0!</v>
      </c>
      <c r="L70">
        <f t="shared" si="12"/>
        <v>2.5450681070411655E-2</v>
      </c>
    </row>
    <row r="71" spans="3:12" x14ac:dyDescent="0.2">
      <c r="C71">
        <v>2</v>
      </c>
      <c r="D71">
        <v>0.05</v>
      </c>
      <c r="H71" t="e">
        <f t="shared" si="10"/>
        <v>#DIV/0!</v>
      </c>
      <c r="I71">
        <f t="shared" si="11"/>
        <v>0</v>
      </c>
      <c r="J71" t="e">
        <f t="shared" si="13"/>
        <v>#DIV/0!</v>
      </c>
      <c r="K71" t="e">
        <f t="shared" si="14"/>
        <v>#DIV/0!</v>
      </c>
      <c r="L71">
        <f t="shared" si="12"/>
        <v>5.1059440905235808E-2</v>
      </c>
    </row>
    <row r="72" spans="3:12" x14ac:dyDescent="0.2">
      <c r="C72">
        <v>2</v>
      </c>
      <c r="D72">
        <v>0.1</v>
      </c>
      <c r="H72" t="e">
        <f t="shared" si="10"/>
        <v>#DIV/0!</v>
      </c>
      <c r="I72">
        <f t="shared" si="11"/>
        <v>0</v>
      </c>
      <c r="J72" t="e">
        <f t="shared" si="13"/>
        <v>#DIV/0!</v>
      </c>
      <c r="K72" t="e">
        <f t="shared" si="14"/>
        <v>#DIV/0!</v>
      </c>
      <c r="L72">
        <f t="shared" si="12"/>
        <v>7.6510121975647466E-2</v>
      </c>
    </row>
    <row r="73" spans="3:12" x14ac:dyDescent="0.2">
      <c r="C73">
        <v>2</v>
      </c>
      <c r="D73">
        <v>0.15</v>
      </c>
      <c r="H73" t="e">
        <f t="shared" si="10"/>
        <v>#DIV/0!</v>
      </c>
      <c r="I73">
        <f t="shared" si="11"/>
        <v>0</v>
      </c>
      <c r="J73" t="e">
        <f t="shared" si="13"/>
        <v>#DIV/0!</v>
      </c>
      <c r="K73" t="e">
        <f t="shared" si="14"/>
        <v>#DIV/0!</v>
      </c>
      <c r="L73">
        <f t="shared" si="12"/>
        <v>0</v>
      </c>
    </row>
    <row r="74" spans="3:12" x14ac:dyDescent="0.2">
      <c r="C74">
        <v>2</v>
      </c>
      <c r="D74">
        <v>0.2</v>
      </c>
      <c r="H74" t="e">
        <f t="shared" si="10"/>
        <v>#DIV/0!</v>
      </c>
      <c r="I74">
        <f t="shared" si="11"/>
        <v>0</v>
      </c>
      <c r="J74" t="e">
        <f t="shared" si="13"/>
        <v>#DIV/0!</v>
      </c>
      <c r="K74" t="e">
        <f t="shared" si="14"/>
        <v>#DIV/0!</v>
      </c>
      <c r="L74">
        <f t="shared" si="12"/>
        <v>1.7072506556549433E-2</v>
      </c>
    </row>
    <row r="75" spans="3:12" x14ac:dyDescent="0.2">
      <c r="C75">
        <v>2</v>
      </c>
      <c r="D75">
        <v>0.25</v>
      </c>
      <c r="H75" t="e">
        <f t="shared" si="10"/>
        <v>#DIV/0!</v>
      </c>
      <c r="I75">
        <f t="shared" si="11"/>
        <v>0</v>
      </c>
      <c r="J75" t="e">
        <f t="shared" si="13"/>
        <v>#DIV/0!</v>
      </c>
      <c r="K75" t="e">
        <f t="shared" si="14"/>
        <v>#DIV/0!</v>
      </c>
      <c r="L75">
        <f t="shared" si="12"/>
        <v>3.3986934348686375E-2</v>
      </c>
    </row>
    <row r="76" spans="3:12" x14ac:dyDescent="0.2">
      <c r="D76">
        <v>0.3</v>
      </c>
      <c r="H76" t="e">
        <f t="shared" si="10"/>
        <v>#DIV/0!</v>
      </c>
      <c r="I76">
        <f t="shared" si="11"/>
        <v>0</v>
      </c>
      <c r="J76" t="e">
        <f t="shared" si="13"/>
        <v>#DIV/0!</v>
      </c>
      <c r="K76" t="e">
        <f t="shared" si="14"/>
        <v>#DIV/0!</v>
      </c>
      <c r="L76">
        <f t="shared" si="12"/>
        <v>6.797386869737275E-2</v>
      </c>
    </row>
    <row r="77" spans="3:12" x14ac:dyDescent="0.2">
      <c r="H77" t="e">
        <f t="shared" si="10"/>
        <v>#DIV/0!</v>
      </c>
      <c r="I77">
        <f t="shared" si="11"/>
        <v>0</v>
      </c>
      <c r="J77" t="e">
        <f t="shared" si="13"/>
        <v>#DIV/0!</v>
      </c>
      <c r="K77" t="e">
        <f t="shared" si="14"/>
        <v>#DIV/0!</v>
      </c>
      <c r="L77">
        <f t="shared" si="12"/>
        <v>0.10196080304605912</v>
      </c>
    </row>
    <row r="78" spans="3:12" x14ac:dyDescent="0.2">
      <c r="H78" t="e">
        <f t="shared" si="10"/>
        <v>#DIV/0!</v>
      </c>
      <c r="I78">
        <f t="shared" si="11"/>
        <v>0</v>
      </c>
      <c r="J78" t="e">
        <f t="shared" si="13"/>
        <v>#DIV/0!</v>
      </c>
      <c r="K78" t="e">
        <f t="shared" si="14"/>
        <v>#DIV/0!</v>
      </c>
      <c r="L78">
        <f t="shared" si="12"/>
        <v>0</v>
      </c>
    </row>
    <row r="79" spans="3:12" x14ac:dyDescent="0.2">
      <c r="H79" t="e">
        <f t="shared" si="10"/>
        <v>#DIV/0!</v>
      </c>
      <c r="I79">
        <f t="shared" si="11"/>
        <v>0</v>
      </c>
      <c r="J79" t="e">
        <f t="shared" si="13"/>
        <v>#DIV/0!</v>
      </c>
      <c r="K79" t="e">
        <f t="shared" si="14"/>
        <v>#DIV/0!</v>
      </c>
      <c r="L79">
        <f t="shared" si="12"/>
        <v>2.1182554431274297E-2</v>
      </c>
    </row>
    <row r="80" spans="3:12" x14ac:dyDescent="0.2">
      <c r="H80" t="e">
        <f t="shared" si="10"/>
        <v>#DIV/0!</v>
      </c>
      <c r="I80">
        <f t="shared" si="11"/>
        <v>0</v>
      </c>
      <c r="J80" t="e">
        <f t="shared" si="13"/>
        <v>#DIV/0!</v>
      </c>
      <c r="K80" t="e">
        <f t="shared" si="14"/>
        <v>#DIV/0!</v>
      </c>
      <c r="L80">
        <f t="shared" si="12"/>
        <v>4.2523187626961091E-2</v>
      </c>
    </row>
    <row r="81" spans="8:12" x14ac:dyDescent="0.2">
      <c r="H81" t="e">
        <f t="shared" si="10"/>
        <v>#DIV/0!</v>
      </c>
      <c r="I81">
        <f t="shared" si="11"/>
        <v>0</v>
      </c>
      <c r="J81" t="e">
        <f t="shared" si="13"/>
        <v>#DIV/0!</v>
      </c>
      <c r="K81" t="e">
        <f t="shared" si="14"/>
        <v>#DIV/0!</v>
      </c>
      <c r="L81">
        <f t="shared" si="12"/>
        <v>8.5046375253922182E-2</v>
      </c>
    </row>
    <row r="82" spans="8:12" x14ac:dyDescent="0.2">
      <c r="H82" t="e">
        <f t="shared" si="10"/>
        <v>#DIV/0!</v>
      </c>
      <c r="I82">
        <f t="shared" si="11"/>
        <v>0</v>
      </c>
      <c r="J82" t="e">
        <f t="shared" si="13"/>
        <v>#DIV/0!</v>
      </c>
      <c r="K82" t="e">
        <f t="shared" si="14"/>
        <v>#DIV/0!</v>
      </c>
      <c r="L82">
        <f t="shared" si="12"/>
        <v>0.12756956288088325</v>
      </c>
    </row>
    <row r="83" spans="8:12" x14ac:dyDescent="0.2">
      <c r="H83" t="e">
        <f t="shared" si="10"/>
        <v>#DIV/0!</v>
      </c>
      <c r="I83">
        <f t="shared" si="11"/>
        <v>0</v>
      </c>
      <c r="J83" t="e">
        <f t="shared" si="13"/>
        <v>#DIV/0!</v>
      </c>
      <c r="K83" t="e">
        <f t="shared" si="14"/>
        <v>#DIV/0!</v>
      </c>
      <c r="L83">
        <f t="shared" si="12"/>
        <v>0</v>
      </c>
    </row>
    <row r="84" spans="8:12" x14ac:dyDescent="0.2">
      <c r="H84" t="e">
        <f t="shared" si="10"/>
        <v>#DIV/0!</v>
      </c>
      <c r="I84">
        <f t="shared" si="11"/>
        <v>0</v>
      </c>
      <c r="J84" t="e">
        <f t="shared" si="13"/>
        <v>#DIV/0!</v>
      </c>
      <c r="K84" t="e">
        <f t="shared" si="14"/>
        <v>#DIV/0!</v>
      </c>
      <c r="L84">
        <f t="shared" si="12"/>
        <v>2.5450681070411655E-2</v>
      </c>
    </row>
    <row r="85" spans="8:12" x14ac:dyDescent="0.2">
      <c r="H85" t="e">
        <f t="shared" si="10"/>
        <v>#DIV/0!</v>
      </c>
      <c r="I85">
        <f t="shared" si="11"/>
        <v>0</v>
      </c>
      <c r="J85" t="e">
        <f t="shared" si="13"/>
        <v>#DIV/0!</v>
      </c>
      <c r="K85" t="e">
        <f t="shared" si="14"/>
        <v>#DIV/0!</v>
      </c>
      <c r="L85">
        <f t="shared" si="12"/>
        <v>5.1059440905235808E-2</v>
      </c>
    </row>
    <row r="86" spans="8:12" x14ac:dyDescent="0.2">
      <c r="H86" t="e">
        <f t="shared" si="10"/>
        <v>#DIV/0!</v>
      </c>
      <c r="I86">
        <f t="shared" si="11"/>
        <v>0</v>
      </c>
      <c r="J86" t="e">
        <f t="shared" si="13"/>
        <v>#DIV/0!</v>
      </c>
      <c r="K86" t="e">
        <f t="shared" si="14"/>
        <v>#DIV/0!</v>
      </c>
      <c r="L86">
        <f t="shared" si="12"/>
        <v>0.10196080304605912</v>
      </c>
    </row>
    <row r="87" spans="8:12" x14ac:dyDescent="0.2">
      <c r="H87" t="e">
        <f t="shared" si="10"/>
        <v>#DIV/0!</v>
      </c>
      <c r="I87">
        <f t="shared" si="11"/>
        <v>0</v>
      </c>
      <c r="J87" t="e">
        <f t="shared" si="13"/>
        <v>#DIV/0!</v>
      </c>
      <c r="K87" t="e">
        <f t="shared" si="14"/>
        <v>#DIV/0!</v>
      </c>
      <c r="L87">
        <f t="shared" si="12"/>
        <v>0.15302024395129493</v>
      </c>
    </row>
    <row r="88" spans="8:12" x14ac:dyDescent="0.2">
      <c r="H88" t="e">
        <f t="shared" si="10"/>
        <v>#DIV/0!</v>
      </c>
      <c r="I88">
        <f t="shared" si="11"/>
        <v>0</v>
      </c>
      <c r="J88" t="e">
        <f t="shared" si="13"/>
        <v>#DIV/0!</v>
      </c>
      <c r="K88" t="e">
        <f t="shared" si="14"/>
        <v>#DIV/0!</v>
      </c>
      <c r="L88">
        <f t="shared" si="12"/>
        <v>0</v>
      </c>
    </row>
    <row r="89" spans="8:12" x14ac:dyDescent="0.2">
      <c r="H89" t="e">
        <f t="shared" si="10"/>
        <v>#DIV/0!</v>
      </c>
      <c r="I89">
        <f t="shared" si="11"/>
        <v>0</v>
      </c>
      <c r="J89" t="e">
        <f t="shared" si="13"/>
        <v>#DIV/0!</v>
      </c>
      <c r="K89" t="e">
        <f t="shared" si="14"/>
        <v>#DIV/0!</v>
      </c>
      <c r="L89">
        <f t="shared" si="12"/>
        <v>0</v>
      </c>
    </row>
    <row r="90" spans="8:12" x14ac:dyDescent="0.2">
      <c r="H90" t="e">
        <f t="shared" si="10"/>
        <v>#DIV/0!</v>
      </c>
      <c r="I90">
        <f t="shared" si="11"/>
        <v>0</v>
      </c>
      <c r="J90" t="e">
        <f t="shared" si="13"/>
        <v>#DIV/0!</v>
      </c>
      <c r="K90" t="e">
        <f t="shared" si="14"/>
        <v>#DIV/0!</v>
      </c>
      <c r="L90">
        <f t="shared" si="12"/>
        <v>0</v>
      </c>
    </row>
    <row r="91" spans="8:12" x14ac:dyDescent="0.2">
      <c r="H91" t="e">
        <f t="shared" si="10"/>
        <v>#DIV/0!</v>
      </c>
      <c r="I91">
        <f t="shared" si="11"/>
        <v>0</v>
      </c>
      <c r="J91" t="e">
        <f t="shared" si="13"/>
        <v>#DIV/0!</v>
      </c>
      <c r="K91" t="e">
        <f t="shared" si="14"/>
        <v>#DIV/0!</v>
      </c>
      <c r="L91">
        <f t="shared" si="12"/>
        <v>0</v>
      </c>
    </row>
    <row r="92" spans="8:12" x14ac:dyDescent="0.2">
      <c r="H92" t="e">
        <f t="shared" si="10"/>
        <v>#DIV/0!</v>
      </c>
      <c r="I92">
        <f t="shared" si="11"/>
        <v>0</v>
      </c>
      <c r="J92" t="e">
        <f t="shared" si="13"/>
        <v>#DIV/0!</v>
      </c>
      <c r="K92" t="e">
        <f t="shared" si="14"/>
        <v>#DIV/0!</v>
      </c>
      <c r="L92">
        <f t="shared" si="12"/>
        <v>0</v>
      </c>
    </row>
    <row r="93" spans="8:12" x14ac:dyDescent="0.2">
      <c r="H93" t="e">
        <f t="shared" si="10"/>
        <v>#DIV/0!</v>
      </c>
      <c r="I93">
        <f t="shared" si="11"/>
        <v>0</v>
      </c>
      <c r="J93" t="e">
        <f t="shared" si="13"/>
        <v>#DIV/0!</v>
      </c>
      <c r="K93" t="e">
        <f t="shared" si="14"/>
        <v>#DIV/0!</v>
      </c>
      <c r="L93">
        <f t="shared" si="12"/>
        <v>0</v>
      </c>
    </row>
    <row r="94" spans="8:12" x14ac:dyDescent="0.2">
      <c r="H94" t="e">
        <f t="shared" si="10"/>
        <v>#DIV/0!</v>
      </c>
      <c r="I94">
        <f t="shared" si="11"/>
        <v>0</v>
      </c>
      <c r="J94" t="e">
        <f t="shared" si="13"/>
        <v>#DIV/0!</v>
      </c>
      <c r="K94" t="e">
        <f t="shared" si="14"/>
        <v>#DIV/0!</v>
      </c>
      <c r="L94">
        <f t="shared" si="12"/>
        <v>8.5362532782747164E-3</v>
      </c>
    </row>
    <row r="95" spans="8:12" x14ac:dyDescent="0.2">
      <c r="H95" t="e">
        <f t="shared" si="10"/>
        <v>#DIV/0!</v>
      </c>
      <c r="I95">
        <f t="shared" si="11"/>
        <v>0</v>
      </c>
      <c r="J95" t="e">
        <f t="shared" si="13"/>
        <v>#DIV/0!</v>
      </c>
      <c r="K95" t="e">
        <f t="shared" si="14"/>
        <v>#DIV/0!</v>
      </c>
      <c r="L95">
        <f t="shared" si="12"/>
        <v>1.7072506556549433E-2</v>
      </c>
    </row>
    <row r="96" spans="8:12" x14ac:dyDescent="0.2">
      <c r="H96" t="e">
        <f t="shared" si="10"/>
        <v>#DIV/0!</v>
      </c>
      <c r="I96">
        <f t="shared" si="11"/>
        <v>0</v>
      </c>
      <c r="J96" t="e">
        <f t="shared" si="13"/>
        <v>#DIV/0!</v>
      </c>
      <c r="K96" t="e">
        <f t="shared" si="14"/>
        <v>#DIV/0!</v>
      </c>
      <c r="L96">
        <f t="shared" si="12"/>
        <v>3.3986934348686375E-2</v>
      </c>
    </row>
    <row r="97" spans="8:12" x14ac:dyDescent="0.2">
      <c r="H97" t="e">
        <f t="shared" si="10"/>
        <v>#DIV/0!</v>
      </c>
      <c r="I97">
        <f t="shared" si="11"/>
        <v>0</v>
      </c>
      <c r="J97" t="e">
        <f t="shared" si="13"/>
        <v>#DIV/0!</v>
      </c>
      <c r="K97" t="e">
        <f t="shared" si="14"/>
        <v>#DIV/0!</v>
      </c>
      <c r="L97">
        <f t="shared" si="12"/>
        <v>5.1059440905235808E-2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58663-D768-9942-9C20-FF1E9FA63BFB}">
  <dimension ref="A3:K29"/>
  <sheetViews>
    <sheetView workbookViewId="0">
      <selection activeCell="D25" sqref="D25"/>
    </sheetView>
  </sheetViews>
  <sheetFormatPr baseColWidth="10" defaultRowHeight="16" x14ac:dyDescent="0.2"/>
  <cols>
    <col min="1" max="1" width="19" customWidth="1"/>
    <col min="2" max="2" width="12.83203125" customWidth="1"/>
    <col min="3" max="3" width="8.83203125" customWidth="1"/>
    <col min="5" max="5" width="11.5" bestFit="1" customWidth="1"/>
    <col min="7" max="7" width="6.6640625" customWidth="1"/>
  </cols>
  <sheetData>
    <row r="3" spans="1:5" x14ac:dyDescent="0.2">
      <c r="A3" t="s">
        <v>149</v>
      </c>
    </row>
    <row r="5" spans="1:5" x14ac:dyDescent="0.2">
      <c r="B5" t="s">
        <v>154</v>
      </c>
    </row>
    <row r="6" spans="1:5" x14ac:dyDescent="0.2">
      <c r="A6" t="s">
        <v>150</v>
      </c>
      <c r="B6" t="s">
        <v>151</v>
      </c>
      <c r="D6" t="s">
        <v>156</v>
      </c>
      <c r="E6">
        <f>1/10</f>
        <v>0.1</v>
      </c>
    </row>
    <row r="7" spans="1:5" x14ac:dyDescent="0.2">
      <c r="D7" t="s">
        <v>157</v>
      </c>
      <c r="E7">
        <f>1/100</f>
        <v>0.01</v>
      </c>
    </row>
    <row r="8" spans="1:5" x14ac:dyDescent="0.2">
      <c r="A8" t="s">
        <v>152</v>
      </c>
      <c r="B8" t="s">
        <v>153</v>
      </c>
    </row>
    <row r="11" spans="1:5" x14ac:dyDescent="0.2">
      <c r="A11" t="s">
        <v>155</v>
      </c>
      <c r="B11">
        <v>5</v>
      </c>
      <c r="C11" t="s">
        <v>145</v>
      </c>
      <c r="D11" t="s">
        <v>159</v>
      </c>
      <c r="E11">
        <f>B11/B13</f>
        <v>0.125</v>
      </c>
    </row>
    <row r="13" spans="1:5" x14ac:dyDescent="0.2">
      <c r="A13" t="s">
        <v>158</v>
      </c>
      <c r="B13">
        <f>20*2</f>
        <v>40</v>
      </c>
    </row>
    <row r="15" spans="1:5" x14ac:dyDescent="0.2">
      <c r="A15" t="s">
        <v>155</v>
      </c>
      <c r="B15">
        <v>7.5</v>
      </c>
      <c r="C15">
        <f>B15*30</f>
        <v>225</v>
      </c>
      <c r="E15">
        <f>B15/B17</f>
        <v>0.12363588407899509</v>
      </c>
    </row>
    <row r="17" spans="1:11" x14ac:dyDescent="0.2">
      <c r="B17">
        <f>(25.331+5)*2</f>
        <v>60.661999999999999</v>
      </c>
    </row>
    <row r="21" spans="1:11" x14ac:dyDescent="0.2">
      <c r="A21" t="s">
        <v>160</v>
      </c>
    </row>
    <row r="23" spans="1:11" x14ac:dyDescent="0.2">
      <c r="C23" t="s">
        <v>166</v>
      </c>
      <c r="G23" t="s">
        <v>178</v>
      </c>
      <c r="J23" t="s">
        <v>182</v>
      </c>
    </row>
    <row r="24" spans="1:11" x14ac:dyDescent="0.2">
      <c r="A24" t="s">
        <v>142</v>
      </c>
      <c r="B24" t="s">
        <v>161</v>
      </c>
      <c r="C24">
        <v>90</v>
      </c>
      <c r="D24" t="s">
        <v>131</v>
      </c>
      <c r="E24">
        <f>90*10^-9</f>
        <v>9.0000000000000012E-8</v>
      </c>
      <c r="F24" t="s">
        <v>176</v>
      </c>
      <c r="G24">
        <f>E24*10^6</f>
        <v>9.0000000000000011E-2</v>
      </c>
      <c r="I24" t="s">
        <v>179</v>
      </c>
    </row>
    <row r="25" spans="1:11" x14ac:dyDescent="0.2">
      <c r="A25" t="s">
        <v>162</v>
      </c>
      <c r="B25" t="s">
        <v>163</v>
      </c>
      <c r="C25">
        <v>4.3999999999999997E-2</v>
      </c>
      <c r="D25" t="s">
        <v>164</v>
      </c>
      <c r="E25">
        <f>C25</f>
        <v>4.3999999999999997E-2</v>
      </c>
      <c r="F25" t="s">
        <v>164</v>
      </c>
      <c r="G25">
        <f>C25*10^12</f>
        <v>44000000000</v>
      </c>
      <c r="I25" t="s">
        <v>180</v>
      </c>
      <c r="J25">
        <f>G25/10^12</f>
        <v>4.3999999999999997E-2</v>
      </c>
      <c r="K25" t="s">
        <v>164</v>
      </c>
    </row>
    <row r="26" spans="1:11" x14ac:dyDescent="0.2">
      <c r="A26" t="s">
        <v>145</v>
      </c>
      <c r="B26" t="s">
        <v>165</v>
      </c>
      <c r="C26">
        <f>0.9*10^-5</f>
        <v>9.0000000000000002E-6</v>
      </c>
      <c r="D26" t="s">
        <v>144</v>
      </c>
      <c r="E26">
        <f>C26*10^3</f>
        <v>9.0000000000000011E-3</v>
      </c>
      <c r="F26" t="s">
        <v>177</v>
      </c>
      <c r="G26">
        <f>E26*10^6</f>
        <v>9000.0000000000018</v>
      </c>
      <c r="I26" t="s">
        <v>181</v>
      </c>
    </row>
    <row r="27" spans="1:11" x14ac:dyDescent="0.2">
      <c r="A27" t="s">
        <v>167</v>
      </c>
      <c r="B27">
        <v>25</v>
      </c>
      <c r="C27">
        <f>25</f>
        <v>25</v>
      </c>
      <c r="D27" t="s">
        <v>168</v>
      </c>
      <c r="E27">
        <f>4*10^-21*10^3*C27</f>
        <v>9.9999999999999986E-17</v>
      </c>
      <c r="F27" t="s">
        <v>175</v>
      </c>
      <c r="G27">
        <f>E27</f>
        <v>9.9999999999999986E-17</v>
      </c>
      <c r="I27" t="s">
        <v>175</v>
      </c>
    </row>
    <row r="28" spans="1:11" x14ac:dyDescent="0.2">
      <c r="A28" t="s">
        <v>169</v>
      </c>
      <c r="C28">
        <v>1</v>
      </c>
      <c r="D28" t="s">
        <v>170</v>
      </c>
    </row>
    <row r="29" spans="1:11" x14ac:dyDescent="0.2">
      <c r="A29" t="s">
        <v>171</v>
      </c>
      <c r="B29" t="s">
        <v>173</v>
      </c>
      <c r="C29" t="s">
        <v>174</v>
      </c>
      <c r="D29" t="s">
        <v>172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D670E-27A0-9B47-89E2-892B066112D1}">
  <dimension ref="A1:D21"/>
  <sheetViews>
    <sheetView workbookViewId="0">
      <selection activeCell="A3" sqref="A3"/>
    </sheetView>
  </sheetViews>
  <sheetFormatPr baseColWidth="10" defaultRowHeight="16" x14ac:dyDescent="0.2"/>
  <sheetData>
    <row r="1" spans="1:4" x14ac:dyDescent="0.2">
      <c r="A1" t="s">
        <v>188</v>
      </c>
    </row>
    <row r="2" spans="1:4" x14ac:dyDescent="0.2">
      <c r="A2" t="s">
        <v>208</v>
      </c>
    </row>
    <row r="4" spans="1:4" x14ac:dyDescent="0.2">
      <c r="A4" t="s">
        <v>189</v>
      </c>
    </row>
    <row r="5" spans="1:4" x14ac:dyDescent="0.2">
      <c r="A5" t="s">
        <v>81</v>
      </c>
      <c r="B5" t="s">
        <v>127</v>
      </c>
      <c r="C5" t="s">
        <v>190</v>
      </c>
    </row>
    <row r="6" spans="1:4" x14ac:dyDescent="0.2">
      <c r="A6">
        <v>0.3</v>
      </c>
      <c r="B6">
        <v>1</v>
      </c>
      <c r="C6" t="s">
        <v>193</v>
      </c>
      <c r="D6" t="s">
        <v>194</v>
      </c>
    </row>
    <row r="7" spans="1:4" x14ac:dyDescent="0.2">
      <c r="A7">
        <v>0.25</v>
      </c>
      <c r="B7">
        <v>1</v>
      </c>
      <c r="C7" t="s">
        <v>196</v>
      </c>
      <c r="D7" t="s">
        <v>195</v>
      </c>
    </row>
    <row r="8" spans="1:4" x14ac:dyDescent="0.2">
      <c r="A8">
        <v>0.2</v>
      </c>
      <c r="B8">
        <v>1</v>
      </c>
      <c r="C8" t="s">
        <v>197</v>
      </c>
      <c r="D8" t="s">
        <v>198</v>
      </c>
    </row>
    <row r="9" spans="1:4" x14ac:dyDescent="0.2">
      <c r="A9">
        <v>0.15</v>
      </c>
      <c r="B9">
        <v>1</v>
      </c>
      <c r="C9" t="s">
        <v>191</v>
      </c>
      <c r="D9" t="s">
        <v>192</v>
      </c>
    </row>
    <row r="10" spans="1:4" x14ac:dyDescent="0.2">
      <c r="A10">
        <v>0.1</v>
      </c>
      <c r="B10">
        <v>1</v>
      </c>
      <c r="C10" t="s">
        <v>201</v>
      </c>
      <c r="D10" t="s">
        <v>200</v>
      </c>
    </row>
    <row r="11" spans="1:4" x14ac:dyDescent="0.2">
      <c r="A11">
        <v>0.05</v>
      </c>
      <c r="B11">
        <v>1</v>
      </c>
      <c r="C11" t="s">
        <v>201</v>
      </c>
      <c r="D11" t="s">
        <v>202</v>
      </c>
    </row>
    <row r="14" spans="1:4" x14ac:dyDescent="0.2">
      <c r="A14" t="s">
        <v>203</v>
      </c>
    </row>
    <row r="15" spans="1:4" x14ac:dyDescent="0.2">
      <c r="A15" t="s">
        <v>81</v>
      </c>
      <c r="B15" t="s">
        <v>127</v>
      </c>
      <c r="C15" t="s">
        <v>190</v>
      </c>
    </row>
    <row r="16" spans="1:4" x14ac:dyDescent="0.2">
      <c r="A16">
        <v>0.3</v>
      </c>
      <c r="B16">
        <v>1</v>
      </c>
    </row>
    <row r="17" spans="1:4" x14ac:dyDescent="0.2">
      <c r="A17">
        <v>0.25</v>
      </c>
      <c r="B17">
        <v>1</v>
      </c>
    </row>
    <row r="18" spans="1:4" x14ac:dyDescent="0.2">
      <c r="A18">
        <v>0.2</v>
      </c>
      <c r="B18">
        <v>1</v>
      </c>
    </row>
    <row r="19" spans="1:4" x14ac:dyDescent="0.2">
      <c r="A19">
        <v>0.15</v>
      </c>
      <c r="B19">
        <v>1</v>
      </c>
      <c r="C19" t="s">
        <v>199</v>
      </c>
      <c r="D19" t="s">
        <v>204</v>
      </c>
    </row>
    <row r="20" spans="1:4" x14ac:dyDescent="0.2">
      <c r="A20">
        <v>0.1</v>
      </c>
      <c r="B20">
        <v>1</v>
      </c>
    </row>
    <row r="21" spans="1:4" x14ac:dyDescent="0.2">
      <c r="A21">
        <v>0.05</v>
      </c>
      <c r="B2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821C-A79B-6947-BE57-2352FB36DC28}">
  <dimension ref="A7:C12"/>
  <sheetViews>
    <sheetView workbookViewId="0">
      <selection activeCell="C13" sqref="C13"/>
    </sheetView>
  </sheetViews>
  <sheetFormatPr baseColWidth="10" defaultRowHeight="16" x14ac:dyDescent="0.2"/>
  <sheetData>
    <row r="7" spans="1:3" x14ac:dyDescent="0.2">
      <c r="A7" t="s">
        <v>205</v>
      </c>
      <c r="C7" t="s">
        <v>206</v>
      </c>
    </row>
    <row r="11" spans="1:3" x14ac:dyDescent="0.2">
      <c r="A11" t="s">
        <v>81</v>
      </c>
      <c r="B11" t="s">
        <v>127</v>
      </c>
      <c r="C11" t="s">
        <v>207</v>
      </c>
    </row>
    <row r="12" spans="1:3" x14ac:dyDescent="0.2">
      <c r="A12">
        <v>0.05</v>
      </c>
      <c r="B12">
        <v>3</v>
      </c>
      <c r="C1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WrappedN</vt:lpstr>
      <vt:lpstr>Pathways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billie mead</cp:lastModifiedBy>
  <dcterms:created xsi:type="dcterms:W3CDTF">2021-09-20T14:34:22Z</dcterms:created>
  <dcterms:modified xsi:type="dcterms:W3CDTF">2024-08-30T15:51:08Z</dcterms:modified>
</cp:coreProperties>
</file>