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Эрнест\Documents\GitHub\Diplom\test\"/>
    </mc:Choice>
  </mc:AlternateContent>
  <bookViews>
    <workbookView xWindow="0" yWindow="0" windowWidth="28770" windowHeight="9435" tabRatio="735" firstSheet="2" activeTab="3"/>
  </bookViews>
  <sheets>
    <sheet name="Оценка" sheetId="25" r:id="rId1"/>
    <sheet name="Детализация(при необходимости)" sheetId="26" r:id="rId2"/>
    <sheet name="Справочники" sheetId="27" r:id="rId3"/>
    <sheet name="Справочник для Project" sheetId="28" r:id="rId4"/>
  </sheets>
  <calcPr calcId="162913"/>
</workbook>
</file>

<file path=xl/calcChain.xml><?xml version="1.0" encoding="utf-8"?>
<calcChain xmlns="http://schemas.openxmlformats.org/spreadsheetml/2006/main">
  <c r="D2" i="28" l="1"/>
  <c r="G22" i="28" l="1"/>
  <c r="G12" i="28"/>
  <c r="F20" i="28" l="1"/>
  <c r="B3" i="28"/>
  <c r="B1" i="28" l="1"/>
  <c r="B2" i="28" l="1"/>
  <c r="E2" i="28" l="1"/>
  <c r="C1" i="28"/>
  <c r="F21" i="28" l="1"/>
  <c r="F19" i="28"/>
  <c r="F22" i="28"/>
  <c r="F23" i="28"/>
  <c r="F24" i="28"/>
  <c r="F8" i="28"/>
  <c r="F9" i="28"/>
  <c r="F10" i="28"/>
  <c r="F11" i="28"/>
  <c r="F12" i="28"/>
  <c r="F13" i="28"/>
  <c r="F14" i="28"/>
  <c r="F15" i="28"/>
  <c r="F16" i="28"/>
  <c r="F17" i="28"/>
  <c r="F18" i="28"/>
  <c r="D11" i="28" l="1"/>
  <c r="D12" i="28"/>
  <c r="D13" i="28"/>
  <c r="D14" i="28"/>
  <c r="D10" i="28"/>
  <c r="D9" i="28"/>
  <c r="G8" i="28"/>
  <c r="G9" i="28"/>
  <c r="G10" i="28"/>
  <c r="G11" i="28"/>
  <c r="G13" i="28"/>
  <c r="G14" i="28"/>
  <c r="G15" i="28"/>
  <c r="G16" i="28"/>
  <c r="G17" i="28"/>
  <c r="G18" i="28"/>
  <c r="G21" i="28"/>
  <c r="G24" i="28"/>
  <c r="D23" i="25" l="1" a="1"/>
  <c r="J17" i="25" l="1"/>
  <c r="O1" i="27" l="1"/>
  <c r="E12" i="25" s="1"/>
  <c r="C21" i="27"/>
  <c r="D21" i="27"/>
  <c r="E21" i="27"/>
  <c r="F21" i="27"/>
  <c r="H21" i="27"/>
  <c r="I21" i="27"/>
  <c r="J21" i="27"/>
  <c r="K21" i="27"/>
  <c r="L21" i="27"/>
  <c r="M21" i="27"/>
  <c r="N21" i="27"/>
  <c r="C25" i="27"/>
  <c r="D25" i="27"/>
  <c r="E25" i="27"/>
  <c r="F25" i="27"/>
  <c r="H25" i="27"/>
  <c r="I25" i="27"/>
  <c r="J25" i="27"/>
  <c r="K25" i="27"/>
  <c r="L25" i="27"/>
  <c r="M25" i="27"/>
  <c r="N25" i="27"/>
  <c r="G25" i="27"/>
  <c r="E24" i="25" l="1"/>
  <c r="E26" i="25"/>
  <c r="E25" i="25"/>
  <c r="E21" i="25"/>
  <c r="E17" i="25"/>
  <c r="E13" i="25"/>
  <c r="E11" i="25"/>
  <c r="E19" i="25"/>
  <c r="E15" i="25"/>
  <c r="E22" i="25"/>
  <c r="E18" i="25"/>
  <c r="E14" i="25"/>
  <c r="E20" i="25"/>
  <c r="E16" i="25"/>
  <c r="G21" i="27"/>
  <c r="J16" i="25"/>
  <c r="J18" i="25" s="1"/>
  <c r="D24" i="25" l="1"/>
  <c r="D26" i="25"/>
  <c r="G19" i="28" s="1"/>
  <c r="E27" i="25"/>
  <c r="E23" i="25"/>
  <c r="G20" i="28" l="1"/>
  <c r="D27" i="25" a="1"/>
  <c r="D27" i="25" s="1"/>
  <c r="F25" i="25" s="1"/>
  <c r="D23" i="25" l="1"/>
  <c r="F23" i="25" s="1" a="1"/>
  <c r="F26" i="25"/>
  <c r="F27" i="25"/>
  <c r="J12" i="25"/>
  <c r="F24" i="25"/>
  <c r="F12" i="25" l="1"/>
  <c r="F23" i="25"/>
  <c r="F11" i="25"/>
  <c r="F13" i="25"/>
  <c r="F14" i="25"/>
  <c r="F18" i="25"/>
  <c r="F19" i="25"/>
  <c r="F15" i="25"/>
  <c r="F16" i="25"/>
  <c r="F21" i="25"/>
  <c r="F20" i="25"/>
  <c r="F17" i="25"/>
  <c r="F22" i="25"/>
  <c r="J11" i="25"/>
  <c r="J13" i="25" s="1"/>
  <c r="J14" i="25" s="1"/>
  <c r="D28" i="25"/>
</calcChain>
</file>

<file path=xl/sharedStrings.xml><?xml version="1.0" encoding="utf-8"?>
<sst xmlns="http://schemas.openxmlformats.org/spreadsheetml/2006/main" count="259" uniqueCount="171">
  <si>
    <t>Разработка</t>
  </si>
  <si>
    <t>Операция</t>
  </si>
  <si>
    <t xml:space="preserve">Ограничения </t>
  </si>
  <si>
    <t>ИТОГО:</t>
  </si>
  <si>
    <t>Краткое описание работ</t>
  </si>
  <si>
    <t>ФТ</t>
  </si>
  <si>
    <t>Согласование ФТ</t>
  </si>
  <si>
    <t>Согласование спецификации</t>
  </si>
  <si>
    <t xml:space="preserve">Аналитика </t>
  </si>
  <si>
    <t>Трудозатраты вендора</t>
  </si>
  <si>
    <t>Оценка по задаче (чел/дней):</t>
  </si>
  <si>
    <t>БТ</t>
  </si>
  <si>
    <t>Итого по Интех</t>
  </si>
  <si>
    <t>Стоимость трудозатрат вендора</t>
  </si>
  <si>
    <t>Стоимость трудозатрат Интех</t>
  </si>
  <si>
    <t xml:space="preserve">Разработка </t>
  </si>
  <si>
    <t xml:space="preserve">Тиражирование </t>
  </si>
  <si>
    <t>1.</t>
  </si>
  <si>
    <t>2.</t>
  </si>
  <si>
    <t>Расширение значений классификатора "Назначения счетов" (БалНазн).</t>
  </si>
  <si>
    <t>Поддержка написания и согласование (БТ, АВ, ТВИС и т.п.),  в.т.ч. регист-я запросов, проведение оценки</t>
  </si>
  <si>
    <t>ТВИС</t>
  </si>
  <si>
    <t>Разработка ТВИСа (в т.ч. Xsd-схем)</t>
  </si>
  <si>
    <t>Согласование ТВИС</t>
  </si>
  <si>
    <t>Разработка ФТ (+ xsd при необходимости)</t>
  </si>
  <si>
    <t>Поддержка написания спецификации (СТП)</t>
  </si>
  <si>
    <t>Аналитика прочее</t>
  </si>
  <si>
    <t>Поддержка подрядчика</t>
  </si>
  <si>
    <t>Поддержка разработки</t>
  </si>
  <si>
    <t>Поддержка этапа разработки(подрядчик + собственными силами)</t>
  </si>
  <si>
    <t>Поддержка предварительного тестирования (в т.ч. интеграционного тестирования)</t>
  </si>
  <si>
    <t>ПСИ</t>
  </si>
  <si>
    <t>Поддержка ПСИ (в т.ч. в случае проведения ПСИ)</t>
  </si>
  <si>
    <t>Подрядчик</t>
  </si>
  <si>
    <t>Оценка подрядчика</t>
  </si>
  <si>
    <t>Поддержка написания и согласование документации(ТВИС,ФТ)</t>
  </si>
  <si>
    <t>Внутренняя разработка</t>
  </si>
  <si>
    <t>Разработка (включает в себя разработку и сборку первого тестового пакета)</t>
  </si>
  <si>
    <t>Поддержка до окончания ПСИ (исправление ошибок, консультации, сборка пакета на пром, валидачия/сертификация и т.п.)</t>
  </si>
  <si>
    <t>Нормальное распределение</t>
  </si>
  <si>
    <t>Фактическое распределение</t>
  </si>
  <si>
    <t>Настройка</t>
  </si>
  <si>
    <t>Новая операция которая делать все и так как надо. Заводит кредиты, гасит и закрывает.</t>
  </si>
  <si>
    <t>№ БТ /п.п.</t>
  </si>
  <si>
    <r>
      <rPr>
        <sz val="11"/>
        <color rgb="FFFFFF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</si>
  <si>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Детализация (при необходимсти)</t>
  </si>
  <si>
    <t>№ BIQ</t>
  </si>
  <si>
    <t>Итого по разработке</t>
  </si>
  <si>
    <t>Итого по аналитике</t>
  </si>
  <si>
    <t>Оцениваемая система</t>
  </si>
  <si>
    <t>Детализация оцениваемых видов работ</t>
  </si>
  <si>
    <t>Трудоемкость
 чел./час.</t>
  </si>
  <si>
    <t>Ставка ведора</t>
  </si>
  <si>
    <t>Аналитика</t>
  </si>
  <si>
    <t>Системы</t>
  </si>
  <si>
    <t>ЦФТ</t>
  </si>
  <si>
    <t>БИСквит</t>
  </si>
  <si>
    <t>Способ реализации</t>
  </si>
  <si>
    <t>Требуется ли написание ТВИСа</t>
  </si>
  <si>
    <t>Ответы</t>
  </si>
  <si>
    <t>Да</t>
  </si>
  <si>
    <t>Нет</t>
  </si>
  <si>
    <t>Способ</t>
  </si>
  <si>
    <t>Интех</t>
  </si>
  <si>
    <t>Интех + Подрядчик</t>
  </si>
  <si>
    <t>БИСКВИТ</t>
  </si>
  <si>
    <t>ИНТЕХ</t>
  </si>
  <si>
    <t>БИС</t>
  </si>
  <si>
    <t>БИС+Интех</t>
  </si>
  <si>
    <t>ЦФТ+Интех</t>
  </si>
  <si>
    <t>+ТВИС</t>
  </si>
  <si>
    <t>-ТВИС</t>
  </si>
  <si>
    <r>
      <rPr>
        <sz val="11"/>
        <color rgb="FFC00000"/>
        <rFont val="Calibri"/>
        <family val="2"/>
        <charset val="204"/>
        <scheme val="minor"/>
      </rPr>
      <t>Управление задачей</t>
    </r>
    <r>
      <rPr>
        <sz val="11"/>
        <rFont val="Calibri"/>
        <family val="2"/>
        <charset val="204"/>
        <scheme val="minor"/>
      </rPr>
      <t>, Согласование ФТ на смежные системы</t>
    </r>
  </si>
  <si>
    <t>Система:</t>
  </si>
  <si>
    <t>Способ реализации:</t>
  </si>
  <si>
    <t>Наличие ТВИСа:</t>
  </si>
  <si>
    <t>Выбор:</t>
  </si>
  <si>
    <t>ЦФТ:
1) доработка сервисов по передачи данных в ЦФТ из предкредитных систем (если данные для формирования кд приходят из других систем и УИД формируется вне ЦФТ) (возможно создание новых сервисов, необходимы более детальные требования по формированию УИД);
2) доработка массивов/реквизитов, где будет храниться УИД, соотвественно и сам реквизит
Интех:
3) доработка передачи данных в ЦХД (выгрузка данных в таблицы)</t>
  </si>
  <si>
    <t xml:space="preserve">BIQ-5257 Реализация передачи уникального идентификатора договора (сделки) в бюро кредитных историй </t>
  </si>
  <si>
    <t>Предшественники</t>
  </si>
  <si>
    <t>Тип Работы</t>
  </si>
  <si>
    <t>Исполнители</t>
  </si>
  <si>
    <t>Поддержка написания и согласование</t>
  </si>
  <si>
    <t>Разработка ТВИСа</t>
  </si>
  <si>
    <t>Разработка ФТ</t>
  </si>
  <si>
    <t xml:space="preserve">Поддержка написания спецификации </t>
  </si>
  <si>
    <t>Поддержка этапа разработки</t>
  </si>
  <si>
    <t>Поддержка предварительного тестирования</t>
  </si>
  <si>
    <t xml:space="preserve">Поддержка ПСИ </t>
  </si>
  <si>
    <t>Управление задачей</t>
  </si>
  <si>
    <t>Поддержка написания и согласование документации</t>
  </si>
  <si>
    <t xml:space="preserve">Поддержка до окончания ПСИ </t>
  </si>
  <si>
    <t>Наименование работы в MS Project</t>
  </si>
  <si>
    <t>Наименование работы в оценке</t>
  </si>
  <si>
    <t>Номер задачи</t>
  </si>
  <si>
    <t>Собственная разработка</t>
  </si>
  <si>
    <t>Оценка тестировщика</t>
  </si>
  <si>
    <t>Управление задачей, Согласование ФТ на смежные системы</t>
  </si>
  <si>
    <t>Часы</t>
  </si>
  <si>
    <t>6;14#НО</t>
  </si>
  <si>
    <t>Проценты</t>
  </si>
  <si>
    <t>6#ОО;0#НН</t>
  </si>
  <si>
    <t>10#ОО;0#НН</t>
  </si>
  <si>
    <t>Исполнитель</t>
  </si>
  <si>
    <t>Группа</t>
  </si>
  <si>
    <t>Бухучет и вспом. функц.</t>
  </si>
  <si>
    <t>Интеграция</t>
  </si>
  <si>
    <t>Кредиты</t>
  </si>
  <si>
    <t>РОК ЮЛ</t>
  </si>
  <si>
    <t>Отчетность ФЦТ</t>
  </si>
  <si>
    <t xml:space="preserve"> Депозиты и РКО ФЛ</t>
  </si>
  <si>
    <t>ЦХД</t>
  </si>
  <si>
    <t>Функциональная область</t>
  </si>
  <si>
    <t>Кредиты - розничный бизнес </t>
  </si>
  <si>
    <t>Предкредитка</t>
  </si>
  <si>
    <t>Кредиты ЮЛ - 1. Малый, средний, крупный, крупнейший; 2. Микро-бизнес; 3.Гарантии; </t>
  </si>
  <si>
    <t>Гарантии</t>
  </si>
  <si>
    <t>Бухгалтерский и налоговый учет</t>
  </si>
  <si>
    <t>МСФО </t>
  </si>
  <si>
    <t>ЗОД (закрытие операционного дня)</t>
  </si>
  <si>
    <t>АХД</t>
  </si>
  <si>
    <t>Обязательная отчетность</t>
  </si>
  <si>
    <t>РКО - розничный бизнес + расчетные аккредитивы</t>
  </si>
  <si>
    <t>РКО - корпоративный бизнес + расчетные аккредитивы</t>
  </si>
  <si>
    <t>"Электронный документооборот" (ФНС, ФССП, ГИС ГМП, ГИС ЖКХ)</t>
  </si>
  <si>
    <t>ПБОС</t>
  </si>
  <si>
    <t>Документарные операции - экспортные и импортные аккредитивы</t>
  </si>
  <si>
    <t>Валютный контроль</t>
  </si>
  <si>
    <t>Страховые и агентские продукты</t>
  </si>
  <si>
    <t>Карты</t>
  </si>
  <si>
    <t>Касса</t>
  </si>
  <si>
    <t>Лотереи</t>
  </si>
  <si>
    <t>ИБС</t>
  </si>
  <si>
    <t>Депозиты- розничный бизнес</t>
  </si>
  <si>
    <t>Депозиты- корпоративный бизнес</t>
  </si>
  <si>
    <t>Финансовый мониторинг</t>
  </si>
  <si>
    <t>Клиенты-ЮЛ</t>
  </si>
  <si>
    <t>Клиенты-ФЛ</t>
  </si>
  <si>
    <t>Конверсии в чаcти межбанковских операций, Межбанк, Интеграция с СОФР, Дилинг</t>
  </si>
  <si>
    <t>Информационная безопасность</t>
  </si>
  <si>
    <t>Резервы </t>
  </si>
  <si>
    <t>Выгрузка в soft collection</t>
  </si>
  <si>
    <t>Выгрузка в ЕБПЗ</t>
  </si>
  <si>
    <t>ТБСВК</t>
  </si>
  <si>
    <t>Система управления очередью</t>
  </si>
  <si>
    <t>ЕФР</t>
  </si>
  <si>
    <t>ДБО ФЛ</t>
  </si>
  <si>
    <t>ДБО ЮЛ (ЦСДБО, НДБО)</t>
  </si>
  <si>
    <t>Брокерское обслуживание</t>
  </si>
  <si>
    <t>Управленческая отчетность, отчетность филиалов</t>
  </si>
  <si>
    <t>Расчетный центр, МФР</t>
  </si>
  <si>
    <t>Реестровые зачисления(ПФР, Зарплата и тп)</t>
  </si>
  <si>
    <t>Обеспечения </t>
  </si>
  <si>
    <t>Счета Эскроу</t>
  </si>
  <si>
    <t>ПАК ЭКР</t>
  </si>
  <si>
    <t>Оптимизация SQL-запросов</t>
  </si>
  <si>
    <t>Оптимизация хранения данных (партиционирование)</t>
  </si>
  <si>
    <t>Оптимизация PL/SQL</t>
  </si>
  <si>
    <t>Сопровождение систем</t>
  </si>
  <si>
    <t>Подготовка планов и работа по внедрениям</t>
  </si>
  <si>
    <t>Мониторинг доступности и прозиводительности</t>
  </si>
  <si>
    <t>Тег</t>
  </si>
  <si>
    <t>Аналитик1</t>
  </si>
  <si>
    <t>Разработчик1</t>
  </si>
  <si>
    <t>ГруппаЦК</t>
  </si>
  <si>
    <t>Таблица задач</t>
  </si>
  <si>
    <t>Таблица скоринга</t>
  </si>
  <si>
    <t>Группа ЦК</t>
  </si>
  <si>
    <t>13;16</t>
  </si>
  <si>
    <t>13;10#ОО</t>
  </si>
  <si>
    <t>Тестировщик1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</si>
</sst>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</cellStyleXfs>
  <cellXfs count="110">
    <xf numFmtId="0" fontId="0" fillId="0" borderId="0" xfId="0"/>
    <xf numFmtId="0" fontId="1" fillId="0" borderId="0" xfId="0" applyFont="1" applyAlignment="1">
      <alignment vertical="justify"/>
    </xf>
    <xf numFmtId="0" fontId="2" fillId="0" borderId="0" xfId="0" applyFont="1" applyAlignment="1">
      <alignment vertical="justify"/>
    </xf>
    <xf numFmtId="0" fontId="1" fillId="0" borderId="0" xfId="0" applyFont="1" applyFill="1" applyAlignment="1">
      <alignment vertical="justify"/>
    </xf>
    <xf numFmtId="0" fontId="1" fillId="0" borderId="0" xfId="0" applyFont="1" applyBorder="1" applyAlignment="1">
      <alignment vertical="justify"/>
    </xf>
    <xf numFmtId="0" fontId="2" fillId="0" borderId="0" xfId="0" applyFont="1" applyBorder="1" applyAlignment="1">
      <alignment vertical="justify"/>
    </xf>
    <xf numFmtId="0" fontId="3" fillId="0" borderId="0" xfId="0" applyFont="1" applyBorder="1" applyAlignment="1">
      <alignment horizontal="justify" vertical="center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2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vertical="justify"/>
    </xf>
    <xf numFmtId="0" fontId="1" fillId="5" borderId="1" xfId="0" applyFont="1" applyFill="1" applyBorder="1" applyAlignment="1">
      <alignment horizontal="center" vertical="justify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justify"/>
    </xf>
    <xf numFmtId="0" fontId="1" fillId="0" borderId="0" xfId="0" applyFont="1" applyAlignment="1">
      <alignment horizontal="center" vertical="justify"/>
    </xf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4" fontId="6" fillId="0" borderId="1" xfId="0" applyNumberFormat="1" applyFont="1" applyBorder="1" applyAlignment="1">
      <alignment horizontal="center" vertical="justify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left" vertical="center" wrapText="1"/>
    </xf>
    <xf numFmtId="10" fontId="8" fillId="8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vertical="justify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justify"/>
    </xf>
    <xf numFmtId="10" fontId="2" fillId="8" borderId="1" xfId="0" applyNumberFormat="1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right" vertical="justify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justify"/>
    </xf>
    <xf numFmtId="0" fontId="1" fillId="7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horizontal="right" vertical="justify"/>
    </xf>
    <xf numFmtId="0" fontId="2" fillId="9" borderId="1" xfId="0" applyFont="1" applyFill="1" applyBorder="1" applyAlignment="1">
      <alignment horizontal="right" vertical="justify"/>
    </xf>
    <xf numFmtId="1" fontId="2" fillId="5" borderId="1" xfId="0" applyNumberFormat="1" applyFont="1" applyFill="1" applyBorder="1" applyAlignment="1">
      <alignment horizontal="right" vertical="justify"/>
    </xf>
    <xf numFmtId="1" fontId="2" fillId="9" borderId="1" xfId="0" applyNumberFormat="1" applyFont="1" applyFill="1" applyBorder="1" applyAlignment="1">
      <alignment horizontal="right" vertical="justify"/>
    </xf>
    <xf numFmtId="2" fontId="1" fillId="0" borderId="1" xfId="0" applyNumberFormat="1" applyFont="1" applyBorder="1" applyAlignment="1">
      <alignment horizontal="center" vertical="justify"/>
    </xf>
    <xf numFmtId="2" fontId="2" fillId="0" borderId="1" xfId="0" applyNumberFormat="1" applyFont="1" applyBorder="1" applyAlignment="1">
      <alignment horizontal="center" vertical="justify"/>
    </xf>
    <xf numFmtId="2" fontId="6" fillId="0" borderId="1" xfId="0" applyNumberFormat="1" applyFont="1" applyBorder="1" applyAlignment="1">
      <alignment horizontal="center" vertical="justify"/>
    </xf>
    <xf numFmtId="0" fontId="11" fillId="0" borderId="0" xfId="0" applyFont="1"/>
    <xf numFmtId="0" fontId="0" fillId="0" borderId="1" xfId="0" applyBorder="1"/>
    <xf numFmtId="0" fontId="0" fillId="0" borderId="4" xfId="0" applyBorder="1"/>
    <xf numFmtId="0" fontId="11" fillId="10" borderId="1" xfId="0" applyFont="1" applyFill="1" applyBorder="1"/>
    <xf numFmtId="0" fontId="11" fillId="10" borderId="4" xfId="0" applyFont="1" applyFill="1" applyBorder="1"/>
    <xf numFmtId="9" fontId="9" fillId="3" borderId="1" xfId="0" applyNumberFormat="1" applyFont="1" applyFill="1" applyBorder="1" applyAlignment="1">
      <alignment horizontal="center" vertical="top" wrapText="1"/>
    </xf>
    <xf numFmtId="9" fontId="8" fillId="5" borderId="1" xfId="0" applyNumberFormat="1" applyFont="1" applyFill="1" applyBorder="1" applyAlignment="1">
      <alignment horizontal="center" vertical="top" wrapText="1"/>
    </xf>
    <xf numFmtId="9" fontId="1" fillId="2" borderId="3" xfId="0" applyNumberFormat="1" applyFont="1" applyFill="1" applyBorder="1" applyAlignment="1">
      <alignment horizontal="center" vertical="top" wrapText="1"/>
    </xf>
    <xf numFmtId="9" fontId="2" fillId="5" borderId="1" xfId="0" applyNumberFormat="1" applyFont="1" applyFill="1" applyBorder="1" applyAlignment="1">
      <alignment horizontal="center" vertical="top" wrapText="1"/>
    </xf>
    <xf numFmtId="0" fontId="11" fillId="10" borderId="1" xfId="0" quotePrefix="1" applyFont="1" applyFill="1" applyBorder="1"/>
    <xf numFmtId="10" fontId="11" fillId="5" borderId="1" xfId="0" applyNumberFormat="1" applyFont="1" applyFill="1" applyBorder="1" applyAlignment="1">
      <alignment horizontal="right"/>
    </xf>
    <xf numFmtId="0" fontId="1" fillId="11" borderId="1" xfId="0" applyFont="1" applyFill="1" applyBorder="1" applyAlignment="1">
      <alignment horizontal="left" vertical="top" wrapText="1"/>
    </xf>
    <xf numFmtId="10" fontId="0" fillId="11" borderId="1" xfId="0" applyNumberFormat="1" applyFill="1" applyBorder="1" applyAlignment="1">
      <alignment horizontal="right"/>
    </xf>
    <xf numFmtId="0" fontId="2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left" vertical="top" wrapText="1"/>
    </xf>
    <xf numFmtId="10" fontId="0" fillId="12" borderId="1" xfId="0" applyNumberFormat="1" applyFill="1" applyBorder="1" applyAlignment="1">
      <alignment horizontal="right"/>
    </xf>
    <xf numFmtId="0" fontId="13" fillId="0" borderId="1" xfId="0" applyFont="1" applyBorder="1"/>
    <xf numFmtId="10" fontId="0" fillId="13" borderId="1" xfId="0" applyNumberFormat="1" applyFill="1" applyBorder="1" applyAlignment="1">
      <alignment horizontal="right"/>
    </xf>
    <xf numFmtId="10" fontId="9" fillId="13" borderId="1" xfId="0" applyNumberFormat="1" applyFont="1" applyFill="1" applyBorder="1" applyAlignment="1">
      <alignment horizontal="right" wrapText="1"/>
    </xf>
    <xf numFmtId="10" fontId="9" fillId="12" borderId="1" xfId="0" applyNumberFormat="1" applyFont="1" applyFill="1" applyBorder="1" applyAlignment="1">
      <alignment horizontal="right" wrapText="1"/>
    </xf>
    <xf numFmtId="10" fontId="8" fillId="5" borderId="1" xfId="0" applyNumberFormat="1" applyFont="1" applyFill="1" applyBorder="1" applyAlignment="1">
      <alignment horizontal="right" wrapText="1"/>
    </xf>
    <xf numFmtId="10" fontId="1" fillId="11" borderId="1" xfId="0" applyNumberFormat="1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left" vertical="top" wrapText="1"/>
    </xf>
    <xf numFmtId="9" fontId="1" fillId="0" borderId="0" xfId="0" applyNumberFormat="1" applyFont="1" applyBorder="1" applyAlignment="1">
      <alignment vertical="justify"/>
    </xf>
    <xf numFmtId="1" fontId="0" fillId="0" borderId="0" xfId="0" applyNumberFormat="1"/>
    <xf numFmtId="10" fontId="0" fillId="12" borderId="4" xfId="0" applyNumberFormat="1" applyFill="1" applyBorder="1" applyAlignment="1">
      <alignment horizontal="right"/>
    </xf>
    <xf numFmtId="0" fontId="0" fillId="0" borderId="0" xfId="0" applyBorder="1"/>
    <xf numFmtId="0" fontId="14" fillId="0" borderId="0" xfId="0" applyFont="1" applyAlignment="1">
      <alignment vertical="justify"/>
    </xf>
    <xf numFmtId="1" fontId="14" fillId="0" borderId="0" xfId="0" applyNumberFormat="1" applyFont="1" applyAlignment="1">
      <alignment vertical="justify"/>
    </xf>
    <xf numFmtId="0" fontId="1" fillId="0" borderId="0" xfId="0" applyFont="1" applyBorder="1" applyAlignment="1">
      <alignment vertical="justify"/>
    </xf>
    <xf numFmtId="0" fontId="1" fillId="0" borderId="0" xfId="0" quotePrefix="1" applyFont="1" applyBorder="1" applyAlignment="1">
      <alignment vertical="justify"/>
    </xf>
    <xf numFmtId="0" fontId="0" fillId="15" borderId="7" xfId="0" applyFont="1" applyFill="1" applyBorder="1"/>
    <xf numFmtId="0" fontId="0" fillId="0" borderId="7" xfId="0" applyFont="1" applyBorder="1"/>
    <xf numFmtId="0" fontId="15" fillId="14" borderId="7" xfId="0" applyFont="1" applyFill="1" applyBorder="1" applyAlignment="1">
      <alignment horizontal="center" vertical="justify"/>
    </xf>
    <xf numFmtId="0" fontId="14" fillId="0" borderId="0" xfId="0" applyFont="1" applyAlignment="1">
      <alignment horizontal="center" vertical="justify"/>
    </xf>
    <xf numFmtId="0" fontId="16" fillId="17" borderId="4" xfId="2" applyBorder="1"/>
    <xf numFmtId="0" fontId="16" fillId="17" borderId="1" xfId="2" applyBorder="1" applyAlignment="1">
      <alignment wrapText="1"/>
    </xf>
    <xf numFmtId="0" fontId="11" fillId="16" borderId="4" xfId="1" applyFont="1" applyBorder="1"/>
    <xf numFmtId="0" fontId="11" fillId="16" borderId="1" xfId="1" applyFont="1" applyBorder="1" applyAlignment="1">
      <alignment horizontal="left" vertical="top" wrapText="1"/>
    </xf>
    <xf numFmtId="0" fontId="16" fillId="18" borderId="1" xfId="3" applyBorder="1" applyAlignment="1">
      <alignment vertical="justify"/>
    </xf>
    <xf numFmtId="0" fontId="16" fillId="9" borderId="1" xfId="1" applyFill="1" applyBorder="1" applyAlignment="1">
      <alignment vertical="justify"/>
    </xf>
    <xf numFmtId="0" fontId="0" fillId="17" borderId="4" xfId="2" applyFont="1" applyBorder="1"/>
    <xf numFmtId="0" fontId="1" fillId="9" borderId="1" xfId="0" applyFont="1" applyFill="1" applyBorder="1" applyAlignment="1">
      <alignment horizontal="center" vertical="justify"/>
    </xf>
    <xf numFmtId="0" fontId="2" fillId="0" borderId="0" xfId="0" applyFont="1" applyFill="1" applyBorder="1" applyAlignment="1">
      <alignment vertical="center" wrapText="1"/>
    </xf>
    <xf numFmtId="0" fontId="15" fillId="14" borderId="7" xfId="0" applyFont="1" applyFill="1" applyBorder="1" applyAlignment="1">
      <alignment horizontal="center" vertical="top" wrapText="1"/>
    </xf>
    <xf numFmtId="0" fontId="1" fillId="15" borderId="8" xfId="0" applyFont="1" applyFill="1" applyBorder="1" applyAlignment="1">
      <alignment vertical="justify"/>
    </xf>
    <xf numFmtId="0" fontId="1" fillId="15" borderId="9" xfId="0" applyFont="1" applyFill="1" applyBorder="1" applyAlignment="1">
      <alignment vertical="justify"/>
    </xf>
    <xf numFmtId="1" fontId="1" fillId="15" borderId="9" xfId="0" applyNumberFormat="1" applyFont="1" applyFill="1" applyBorder="1" applyAlignment="1">
      <alignment vertical="justify"/>
    </xf>
    <xf numFmtId="0" fontId="1" fillId="15" borderId="7" xfId="0" applyFont="1" applyFill="1" applyBorder="1" applyAlignment="1">
      <alignment vertical="justify"/>
    </xf>
    <xf numFmtId="0" fontId="1" fillId="0" borderId="8" xfId="0" applyFont="1" applyBorder="1" applyAlignment="1">
      <alignment vertical="justify"/>
    </xf>
    <xf numFmtId="0" fontId="1" fillId="0" borderId="9" xfId="0" applyFont="1" applyBorder="1" applyAlignment="1">
      <alignment vertical="justify"/>
    </xf>
    <xf numFmtId="1" fontId="1" fillId="0" borderId="9" xfId="0" applyNumberFormat="1" applyFont="1" applyBorder="1" applyAlignment="1">
      <alignment vertical="justify"/>
    </xf>
    <xf numFmtId="0" fontId="1" fillId="0" borderId="7" xfId="0" applyFont="1" applyBorder="1" applyAlignment="1">
      <alignment vertical="justify"/>
    </xf>
    <xf numFmtId="0" fontId="1" fillId="8" borderId="0" xfId="0" applyFont="1" applyFill="1" applyBorder="1" applyAlignment="1">
      <alignment vertical="justify"/>
    </xf>
    <xf numFmtId="0" fontId="1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5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4">
    <cellStyle name="20% — акцент1" xfId="3" builtinId="30"/>
    <cellStyle name="20% — акцент3" xfId="1" builtinId="38"/>
    <cellStyle name="40% — акцент3" xfId="2" builtinId="39"/>
    <cellStyle name="Обычный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justify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justify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Таблица1" displayName="Таблица1" ref="B7:I24" totalsRowShown="0" headerRowDxfId="9" dataDxfId="8">
  <autoFilter ref="B7:I24"/>
  <tableColumns count="8">
    <tableColumn id="1" name="Наименование работы в оценке" dataDxfId="7"/>
    <tableColumn id="2" name="Наименование работы в MS Project" dataDxfId="6"/>
    <tableColumn id="3" name="Предшественники" dataDxfId="5"/>
    <tableColumn id="4" name="Тип Работы" dataDxfId="4"/>
    <tableColumn id="5" name="Исполнители" dataDxfId="3">
      <calculatedColumnFormula>IF(Таблица1[[#This Row],[Проценты]]="",Таблица1[[#This Row],[Исполнитель]],CONCATENATE(Таблица1[[#This Row],[Исполнитель]],"[",Таблица1[[#This Row],[Проценты]]," %]"))</calculatedColumnFormula>
    </tableColumn>
    <tableColumn id="6" name="Часы" dataDxfId="2">
      <calculatedColumnFormula>Оценка!D11</calculatedColumnFormula>
    </tableColumn>
    <tableColumn id="7" name="Проценты" dataDxfId="1"/>
    <tableColumn id="8" name="Исполнител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"/>
  <sheetViews>
    <sheetView topLeftCell="A4" zoomScale="85" zoomScaleNormal="85" workbookViewId="0">
      <selection activeCell="D12" sqref="D12"/>
    </sheetView>
  </sheetViews>
  <sheetFormatPr defaultColWidth="8.85546875" defaultRowHeight="15" x14ac:dyDescent="0.25"/>
  <cols>
    <col min="1" max="1" width="11.28515625" style="1" bestFit="1" customWidth="1"/>
    <col min="2" max="2" width="14.28515625" style="1" customWidth="1"/>
    <col min="3" max="3" width="70.140625" style="1" customWidth="1"/>
    <col min="4" max="4" width="14" style="1" customWidth="1"/>
    <col min="5" max="5" width="19.7109375" style="15" customWidth="1"/>
    <col min="6" max="6" width="15.7109375" style="1" bestFit="1" customWidth="1"/>
    <col min="7" max="7" width="8.28515625" style="1" customWidth="1"/>
    <col min="8" max="8" width="12.28515625" style="1" customWidth="1"/>
    <col min="9" max="9" width="11.42578125" style="1" customWidth="1"/>
    <col min="10" max="10" width="12" style="1" customWidth="1"/>
    <col min="11" max="15" width="13.5703125" style="1" customWidth="1"/>
    <col min="16" max="16" width="12.7109375" style="1" customWidth="1"/>
    <col min="17" max="17" width="13.42578125" style="1" customWidth="1"/>
    <col min="18" max="19" width="13.85546875" style="1" customWidth="1"/>
    <col min="20" max="20" width="17.7109375" style="1" customWidth="1"/>
    <col min="21" max="21" width="11.7109375" style="1" customWidth="1"/>
    <col min="22" max="27" width="9.140625" customWidth="1"/>
    <col min="28" max="16384" width="8.85546875" style="1"/>
  </cols>
  <sheetData>
    <row r="1" spans="1:17" s="4" customFormat="1" ht="30" x14ac:dyDescent="0.25">
      <c r="B1" s="20" t="s">
        <v>46</v>
      </c>
      <c r="C1" s="21" t="s">
        <v>78</v>
      </c>
      <c r="E1" s="75"/>
      <c r="F1" s="75"/>
      <c r="Q1" s="5"/>
    </row>
    <row r="2" spans="1:17" s="4" customFormat="1" ht="30" x14ac:dyDescent="0.25">
      <c r="B2" s="20" t="s">
        <v>49</v>
      </c>
      <c r="C2" s="66" t="s">
        <v>55</v>
      </c>
      <c r="F2" s="75"/>
      <c r="Q2" s="5"/>
    </row>
    <row r="3" spans="1:17" s="4" customFormat="1" ht="135" x14ac:dyDescent="0.25">
      <c r="B3" s="20" t="s">
        <v>4</v>
      </c>
      <c r="C3" s="21" t="s">
        <v>77</v>
      </c>
      <c r="I3" s="69"/>
      <c r="P3" s="5"/>
    </row>
    <row r="4" spans="1:17" s="4" customFormat="1" ht="30" x14ac:dyDescent="0.25">
      <c r="B4" s="20" t="s">
        <v>57</v>
      </c>
      <c r="C4" s="66" t="s">
        <v>64</v>
      </c>
      <c r="P4" s="5"/>
    </row>
    <row r="5" spans="1:17" s="4" customFormat="1" ht="45" x14ac:dyDescent="0.25">
      <c r="B5" s="20" t="s">
        <v>58</v>
      </c>
      <c r="C5" s="66" t="s">
        <v>61</v>
      </c>
      <c r="P5" s="5"/>
    </row>
    <row r="6" spans="1:17" s="4" customFormat="1" x14ac:dyDescent="0.25">
      <c r="B6" s="20" t="s">
        <v>104</v>
      </c>
      <c r="C6" s="66" t="s">
        <v>107</v>
      </c>
      <c r="P6" s="5"/>
    </row>
    <row r="7" spans="1:17" s="75" customFormat="1" ht="30" x14ac:dyDescent="0.25">
      <c r="B7" s="20" t="s">
        <v>112</v>
      </c>
      <c r="C7" s="88" t="s">
        <v>114</v>
      </c>
      <c r="P7" s="5"/>
    </row>
    <row r="8" spans="1:17" s="75" customFormat="1" x14ac:dyDescent="0.25">
      <c r="B8" s="20" t="s">
        <v>161</v>
      </c>
      <c r="C8" s="86"/>
      <c r="P8" s="5"/>
    </row>
    <row r="9" spans="1:17" s="75" customFormat="1" x14ac:dyDescent="0.25">
      <c r="P9" s="5"/>
    </row>
    <row r="10" spans="1:17" s="4" customFormat="1" ht="60" x14ac:dyDescent="0.25">
      <c r="A10" s="100" t="s">
        <v>50</v>
      </c>
      <c r="B10" s="100"/>
      <c r="C10" s="100"/>
      <c r="D10" s="22" t="s">
        <v>51</v>
      </c>
      <c r="E10" s="23" t="s">
        <v>39</v>
      </c>
      <c r="F10" s="23" t="s">
        <v>40</v>
      </c>
      <c r="I10" s="9" t="s">
        <v>10</v>
      </c>
      <c r="J10" s="11"/>
      <c r="P10" s="5"/>
    </row>
    <row r="11" spans="1:17" s="4" customFormat="1" ht="30" x14ac:dyDescent="0.25">
      <c r="A11" s="103" t="s">
        <v>53</v>
      </c>
      <c r="B11" s="12" t="s">
        <v>11</v>
      </c>
      <c r="C11" s="30" t="s">
        <v>20</v>
      </c>
      <c r="D11" s="39">
        <v>48</v>
      </c>
      <c r="E11" s="49">
        <f>IF(Справочники!$O$1=1,Справочники!$C9,  IF(Справочники!$O$1=2,Справочники!$D9,  IF(Справочники!$O$1=3,Справочники!$E9,  IF(Справочники!$O$1=4,Справочники!$F9, IF(Справочники!$O$1=5,Справочники!$G9, IF(Справочники!$O$1=6,Справочники!$H9,
IF(Справочники!$O$1=7,Справочники!$I9,IF(Справочники!$O$1=8,Справочники!$J9,IF(Справочники!$O$1=9,Справочники!$K9,
IF(Справочники!$O$1=10,Справочники!$L9,IF(Справочники!$O$1=11,Справочники!$M9,IF(Справочники!$O$1=12,Справочники!$N9,0))))))))))))</f>
        <v>0.09</v>
      </c>
      <c r="F11" s="49">
        <f>ROUND(D11,0)/$D$23</f>
        <v>0.29813664596273293</v>
      </c>
      <c r="I11" s="16" t="s">
        <v>8</v>
      </c>
      <c r="J11" s="41">
        <f>D23/8</f>
        <v>20.125</v>
      </c>
      <c r="P11" s="5"/>
    </row>
    <row r="12" spans="1:17" s="4" customFormat="1" ht="30" customHeight="1" x14ac:dyDescent="0.25">
      <c r="A12" s="103"/>
      <c r="B12" s="101" t="s">
        <v>21</v>
      </c>
      <c r="C12" s="68" t="s">
        <v>22</v>
      </c>
      <c r="D12" s="40">
        <v>5</v>
      </c>
      <c r="E12" s="49">
        <f>IF(Справочники!$O$1=1,Справочники!$C10,  IF(Справочники!$O$1=2,Справочники!$D10,  IF(Справочники!$O$1=3,Справочники!$E10,  IF(Справочники!$O$1=4,Справочники!$F10, IF(Справочники!$O$1=5,Справочники!$G10, IF(Справочники!$O$1=6,Справочники!$H10,
IF(Справочники!$O$1=7,Справочники!$I10,IF(Справочники!$O$1=8,Справочники!$J10,IF(Справочники!$O$1=9,Справочники!$K10,
IF(Справочники!$O$1=10,Справочники!$L10,IF(Справочники!$O$1=11,Справочники!$M10,IF(Справочники!$O$1=12,Справочники!$N10,0))))))))))))</f>
        <v>0</v>
      </c>
      <c r="F12" s="49">
        <f t="shared" ref="F12:F22" si="0">ROUND(D12,0)/$D$23</f>
        <v>3.1055900621118012E-2</v>
      </c>
      <c r="I12" s="16" t="s">
        <v>0</v>
      </c>
      <c r="J12" s="41">
        <f>D27/8</f>
        <v>10</v>
      </c>
      <c r="P12" s="5"/>
    </row>
    <row r="13" spans="1:17" s="4" customFormat="1" ht="25.5" x14ac:dyDescent="0.25">
      <c r="A13" s="103"/>
      <c r="B13" s="101"/>
      <c r="C13" s="30" t="s">
        <v>23</v>
      </c>
      <c r="D13" s="39">
        <v>5</v>
      </c>
      <c r="E13" s="49">
        <f>IF(Справочники!$O$1=1,Справочники!$C11,  IF(Справочники!$O$1=2,Справочники!$D11,  IF(Справочники!$O$1=3,Справочники!$E11,  IF(Справочники!$O$1=4,Справочники!$F11, IF(Справочники!$O$1=5,Справочники!$G11, IF(Справочники!$O$1=6,Справочники!$H11,
IF(Справочники!$O$1=7,Справочники!$I11,IF(Справочники!$O$1=8,Справочники!$J11,IF(Справочники!$O$1=9,Справочники!$K11,
IF(Справочники!$O$1=10,Справочники!$L11,IF(Справочники!$O$1=11,Справочники!$M11,IF(Справочники!$O$1=12,Справочники!$N11,0))))))))))))</f>
        <v>0</v>
      </c>
      <c r="F13" s="49">
        <f t="shared" si="0"/>
        <v>3.1055900621118012E-2</v>
      </c>
      <c r="I13" s="17" t="s">
        <v>12</v>
      </c>
      <c r="J13" s="42">
        <f>SUM(J11:J12)</f>
        <v>30.125</v>
      </c>
      <c r="P13" s="5"/>
    </row>
    <row r="14" spans="1:17" s="4" customFormat="1" ht="30" customHeight="1" x14ac:dyDescent="0.25">
      <c r="A14" s="103"/>
      <c r="B14" s="101" t="s">
        <v>5</v>
      </c>
      <c r="C14" s="68" t="s">
        <v>24</v>
      </c>
      <c r="D14" s="40">
        <v>5</v>
      </c>
      <c r="E14" s="49">
        <f>IF(Справочники!$O$1=1,Справочники!$C12,  IF(Справочники!$O$1=2,Справочники!$D12,  IF(Справочники!$O$1=3,Справочники!$E12,  IF(Справочники!$O$1=4,Справочники!$F12, IF(Справочники!$O$1=5,Справочники!$G12, IF(Справочники!$O$1=6,Справочники!$H12,
IF(Справочники!$O$1=7,Справочники!$I12,IF(Справочники!$O$1=8,Справочники!$J12,IF(Справочники!$O$1=9,Справочники!$K12,
IF(Справочники!$O$1=10,Справочники!$L12,IF(Справочники!$O$1=11,Справочники!$M12,IF(Справочники!$O$1=12,Справочники!$N12,0))))))))))))</f>
        <v>0.4</v>
      </c>
      <c r="F14" s="49">
        <f t="shared" si="0"/>
        <v>3.1055900621118012E-2</v>
      </c>
      <c r="I14" s="16" t="s">
        <v>14</v>
      </c>
      <c r="J14" s="43">
        <f>J13*13000</f>
        <v>391625</v>
      </c>
      <c r="Q14" s="5"/>
    </row>
    <row r="15" spans="1:17" s="4" customFormat="1" x14ac:dyDescent="0.25">
      <c r="A15" s="103"/>
      <c r="B15" s="101"/>
      <c r="C15" s="30" t="s">
        <v>6</v>
      </c>
      <c r="D15" s="39">
        <v>5</v>
      </c>
      <c r="E15" s="49">
        <f>IF(Справочники!$O$1=1,Справочники!$C13,  IF(Справочники!$O$1=2,Справочники!$D13,  IF(Справочники!$O$1=3,Справочники!$E13,  IF(Справочники!$O$1=4,Справочники!$F13, IF(Справочники!$O$1=5,Справочники!$G13, IF(Справочники!$O$1=6,Справочники!$H13,
IF(Справочники!$O$1=7,Справочники!$I13,IF(Справочники!$O$1=8,Справочники!$J13,IF(Справочники!$O$1=9,Справочники!$K13,
IF(Справочники!$O$1=10,Справочники!$L13,IF(Справочники!$O$1=11,Справочники!$M13,IF(Справочники!$O$1=12,Справочники!$N13,0))))))))))))</f>
        <v>0.12</v>
      </c>
      <c r="F15" s="49">
        <f t="shared" si="0"/>
        <v>3.1055900621118012E-2</v>
      </c>
      <c r="I15" s="16"/>
      <c r="J15" s="41"/>
      <c r="Q15" s="5"/>
    </row>
    <row r="16" spans="1:17" s="4" customFormat="1" ht="25.5" x14ac:dyDescent="0.25">
      <c r="A16" s="103"/>
      <c r="B16" s="101" t="s">
        <v>27</v>
      </c>
      <c r="C16" s="30" t="s">
        <v>25</v>
      </c>
      <c r="D16" s="39">
        <v>2</v>
      </c>
      <c r="E16" s="49">
        <f>IF(Справочники!$O$1=1,Справочники!$C14,  IF(Справочники!$O$1=2,Справочники!$D14,  IF(Справочники!$O$1=3,Справочники!$E14,  IF(Справочники!$O$1=4,Справочники!$F14, IF(Справочники!$O$1=5,Справочники!$G14, IF(Справочники!$O$1=6,Справочники!$H14,
IF(Справочники!$O$1=7,Справочники!$I14,IF(Справочники!$O$1=8,Справочники!$J14,IF(Справочники!$O$1=9,Справочники!$K14,
IF(Справочники!$O$1=10,Справочники!$L14,IF(Справочники!$O$1=11,Справочники!$M14,IF(Справочники!$O$1=12,Справочники!$N14,0))))))))))))</f>
        <v>0.05</v>
      </c>
      <c r="F16" s="49">
        <f t="shared" si="0"/>
        <v>1.2422360248447204E-2</v>
      </c>
      <c r="I16" s="16" t="s">
        <v>9</v>
      </c>
      <c r="J16" s="41">
        <f>D29/8</f>
        <v>6.25</v>
      </c>
      <c r="Q16" s="5"/>
    </row>
    <row r="17" spans="1:17" s="4" customFormat="1" ht="28.5" customHeight="1" x14ac:dyDescent="0.25">
      <c r="A17" s="103"/>
      <c r="B17" s="101"/>
      <c r="C17" s="68" t="s">
        <v>7</v>
      </c>
      <c r="D17" s="40">
        <v>5</v>
      </c>
      <c r="E17" s="49">
        <f>IF(Справочники!$O$1=1,Справочники!$C15,  IF(Справочники!$O$1=2,Справочники!$D15,  IF(Справочники!$O$1=3,Справочники!$E15,  IF(Справочники!$O$1=4,Справочники!$F15, IF(Справочники!$O$1=5,Справочники!$G15, IF(Справочники!$O$1=6,Справочники!$H15,
IF(Справочники!$O$1=7,Справочники!$I15,IF(Справочники!$O$1=8,Справочники!$J15,IF(Справочники!$O$1=9,Справочники!$K15,
IF(Справочники!$O$1=10,Справочники!$L15,IF(Справочники!$O$1=11,Справочники!$M15,IF(Справочники!$O$1=12,Справочники!$N15,0))))))))))))</f>
        <v>0.11</v>
      </c>
      <c r="F17" s="49">
        <f t="shared" si="0"/>
        <v>3.1055900621118012E-2</v>
      </c>
      <c r="I17" s="16" t="s">
        <v>52</v>
      </c>
      <c r="J17" s="18">
        <f>IF(C2="БИСКВИТ",16600,25920)</f>
        <v>25920</v>
      </c>
      <c r="Q17" s="5"/>
    </row>
    <row r="18" spans="1:17" s="4" customFormat="1" ht="38.25" x14ac:dyDescent="0.25">
      <c r="A18" s="103"/>
      <c r="B18" s="101" t="s">
        <v>28</v>
      </c>
      <c r="C18" s="30" t="s">
        <v>29</v>
      </c>
      <c r="D18" s="39">
        <v>15</v>
      </c>
      <c r="E18" s="49">
        <f>IF(Справочники!$O$1=1,Справочники!$C16,  IF(Справочники!$O$1=2,Справочники!$D16,  IF(Справочники!$O$1=3,Справочники!$E16,  IF(Справочники!$O$1=4,Справочники!$F16, IF(Справочники!$O$1=5,Справочники!$G16, IF(Справочники!$O$1=6,Справочники!$H16,
IF(Справочники!$O$1=7,Справочники!$I16,IF(Справочники!$O$1=8,Справочники!$J16,IF(Справочники!$O$1=9,Справочники!$K16,
IF(Справочники!$O$1=10,Справочники!$L16,IF(Справочники!$O$1=11,Справочники!$M16,IF(Справочники!$O$1=12,Справочники!$N16,0))))))))))))</f>
        <v>0.03</v>
      </c>
      <c r="F18" s="49">
        <f t="shared" si="0"/>
        <v>9.3167701863354033E-2</v>
      </c>
      <c r="I18" s="16" t="s">
        <v>13</v>
      </c>
      <c r="J18" s="18">
        <f>J16*J17</f>
        <v>162000</v>
      </c>
      <c r="Q18" s="5"/>
    </row>
    <row r="19" spans="1:17" s="4" customFormat="1" ht="30" x14ac:dyDescent="0.25">
      <c r="A19" s="103"/>
      <c r="B19" s="101"/>
      <c r="C19" s="30" t="s">
        <v>30</v>
      </c>
      <c r="D19" s="39">
        <v>5</v>
      </c>
      <c r="E19" s="49">
        <f>IF(Справочники!$O$1=1,Справочники!$C17,  IF(Справочники!$O$1=2,Справочники!$D17,  IF(Справочники!$O$1=3,Справочники!$E17,  IF(Справочники!$O$1=4,Справочники!$F17, IF(Справочники!$O$1=5,Справочники!$G17, IF(Справочники!$O$1=6,Справочники!$H17,
IF(Справочники!$O$1=7,Справочники!$I17,IF(Справочники!$O$1=8,Справочники!$J17,IF(Справочники!$O$1=9,Справочники!$K17,
IF(Справочники!$O$1=10,Справочники!$L17,IF(Справочники!$O$1=11,Справочники!$M17,IF(Справочники!$O$1=12,Справочники!$N17,0))))))))))))</f>
        <v>0.08</v>
      </c>
      <c r="F19" s="49">
        <f t="shared" si="0"/>
        <v>3.1055900621118012E-2</v>
      </c>
      <c r="Q19" s="5"/>
    </row>
    <row r="20" spans="1:17" s="4" customFormat="1" x14ac:dyDescent="0.25">
      <c r="A20" s="103"/>
      <c r="B20" s="12" t="s">
        <v>31</v>
      </c>
      <c r="C20" s="30" t="s">
        <v>32</v>
      </c>
      <c r="D20" s="39">
        <v>24</v>
      </c>
      <c r="E20" s="49">
        <f>IF(Справочники!$O$1=1,Справочники!$C18,  IF(Справочники!$O$1=2,Справочники!$D18,  IF(Справочники!$O$1=3,Справочники!$E18,  IF(Справочники!$O$1=4,Справочники!$F18, IF(Справочники!$O$1=5,Справочники!$G18, IF(Справочники!$O$1=6,Справочники!$H18,
IF(Справочники!$O$1=7,Справочники!$I18,IF(Справочники!$O$1=8,Справочники!$J18,IF(Справочники!$O$1=9,Справочники!$K18,
IF(Справочники!$O$1=10,Справочники!$L18,IF(Справочники!$O$1=11,Справочники!$M18,IF(Справочники!$O$1=12,Справочники!$N18,0))))))))))))</f>
        <v>0.08</v>
      </c>
      <c r="F20" s="49">
        <f t="shared" si="0"/>
        <v>0.14906832298136646</v>
      </c>
      <c r="Q20" s="5"/>
    </row>
    <row r="21" spans="1:17" s="4" customFormat="1" x14ac:dyDescent="0.25">
      <c r="A21" s="103"/>
      <c r="B21" s="101" t="s">
        <v>26</v>
      </c>
      <c r="C21" s="30" t="s">
        <v>44</v>
      </c>
      <c r="D21" s="39">
        <v>35</v>
      </c>
      <c r="E21" s="49">
        <f>IF(Справочники!$O$1=1,Справочники!$C19,  IF(Справочники!$O$1=2,Справочники!$D19,  IF(Справочники!$O$1=3,Справочники!$E19,  IF(Справочники!$O$1=4,Справочники!$F19, IF(Справочники!$O$1=5,Справочники!$G19, IF(Справочники!$O$1=6,Справочники!$H19,
IF(Справочники!$O$1=7,Справочники!$I19,IF(Справочники!$O$1=8,Справочники!$J19,IF(Справочники!$O$1=9,Справочники!$K19,
IF(Справочники!$O$1=10,Справочники!$L19,IF(Справочники!$O$1=11,Справочники!$M19,IF(Справочники!$O$1=12,Справочники!$N19,0))))))))))))</f>
        <v>0.03</v>
      </c>
      <c r="F21" s="49">
        <f t="shared" si="0"/>
        <v>0.21739130434782608</v>
      </c>
      <c r="Q21" s="5"/>
    </row>
    <row r="22" spans="1:17" s="4" customFormat="1" x14ac:dyDescent="0.25">
      <c r="A22" s="103"/>
      <c r="B22" s="101"/>
      <c r="C22" s="30" t="s">
        <v>16</v>
      </c>
      <c r="D22" s="39">
        <v>7</v>
      </c>
      <c r="E22" s="49">
        <f>IF(Справочники!$O$1=1,Справочники!$C20,  IF(Справочники!$O$1=2,Справочники!$D20,  IF(Справочники!$O$1=3,Справочники!$E20,  IF(Справочники!$O$1=4,Справочники!$F20, IF(Справочники!$O$1=5,Справочники!$G20, IF(Справочники!$O$1=6,Справочники!$H20,
IF(Справочники!$O$1=7,Справочники!$I20,IF(Справочники!$O$1=8,Справочники!$J20,IF(Справочники!$O$1=9,Справочники!$K20,
IF(Справочники!$O$1=10,Справочники!$L20,IF(Справочники!$O$1=11,Справочники!$M20,IF(Справочники!$O$1=12,Справочники!$N20,0))))))))))))</f>
        <v>0.01</v>
      </c>
      <c r="F22" s="49">
        <f t="shared" si="0"/>
        <v>4.3478260869565216E-2</v>
      </c>
      <c r="Q22" s="5"/>
    </row>
    <row r="23" spans="1:17" s="4" customFormat="1" x14ac:dyDescent="0.25">
      <c r="A23" s="103"/>
      <c r="B23" s="9"/>
      <c r="C23" s="9" t="s">
        <v>48</v>
      </c>
      <c r="D23" s="39">
        <f t="array" ref="D23">SUM(ROUND(D11:D22,0))</f>
        <v>161</v>
      </c>
      <c r="E23" s="50">
        <f>E11+E12+E13+E14+E15+E17+E16+E18+E19+E20+E21+E22</f>
        <v>1</v>
      </c>
      <c r="F23" s="50">
        <f t="array" ref="F23">(D23)/SUM(ROUND(D11:D22,0))</f>
        <v>1</v>
      </c>
      <c r="Q23" s="5"/>
    </row>
    <row r="24" spans="1:17" s="4" customFormat="1" x14ac:dyDescent="0.25">
      <c r="A24" s="102" t="s">
        <v>0</v>
      </c>
      <c r="B24" s="102" t="s">
        <v>36</v>
      </c>
      <c r="C24" s="31" t="s">
        <v>35</v>
      </c>
      <c r="D24" s="37">
        <f>IF(E25=0,0,$D$25*E24/$E$25)</f>
        <v>8</v>
      </c>
      <c r="E24" s="67">
        <f>IF(Справочники!$O$1=1,Справочники!$C22,  IF(Справочники!$O$1=2,Справочники!$D22,  IF(Справочники!$O$1=3,Справочники!$E22,  IF(Справочники!$O$1=4,Справочники!$F22, IF(Справочники!$O$1=5,Справочники!$G22, IF(Справочники!$O$1=6,Справочники!$H22,
IF(Справочники!$O$1=7,Справочники!$I22,IF(Справочники!$O$1=8,Справочники!$J22,IF(Справочники!$O$1=9,Справочники!$K22,
IF(Справочники!$O$1=10,Справочники!$L22,IF(Справочники!$O$1=11,Справочники!$M22,IF(Справочники!$O$1=12,Справочники!$N22,0))))))))))))</f>
        <v>0.1</v>
      </c>
      <c r="F24" s="51">
        <f>D24/$D$27</f>
        <v>0.1</v>
      </c>
      <c r="Q24" s="5"/>
    </row>
    <row r="25" spans="1:17" s="4" customFormat="1" ht="30" x14ac:dyDescent="0.25">
      <c r="A25" s="102"/>
      <c r="B25" s="102"/>
      <c r="C25" s="68" t="s">
        <v>37</v>
      </c>
      <c r="D25" s="38">
        <v>40</v>
      </c>
      <c r="E25" s="67">
        <f>IF(Справочники!$O$1=1,Справочники!$C23,  IF(Справочники!$O$1=2,Справочники!$D23,  IF(Справочники!$O$1=3,Справочники!$E23,  IF(Справочники!$O$1=4,Справочники!$F23, IF(Справочники!$O$1=5,Справочники!$G23, IF(Справочники!$O$1=6,Справочники!$H23,
IF(Справочники!$O$1=7,Справочники!$I23,IF(Справочники!$O$1=8,Справочники!$J23,IF(Справочники!$O$1=9,Справочники!$K23,
IF(Справочники!$O$1=10,Справочники!$L23,IF(Справочники!$O$1=11,Справочники!$M23,IF(Справочники!$O$1=12,Справочники!$N23,0))))))))))))</f>
        <v>0.5</v>
      </c>
      <c r="F25" s="51">
        <f t="shared" ref="F25:F26" si="1">D25/$D$27</f>
        <v>0.5</v>
      </c>
      <c r="Q25" s="5"/>
    </row>
    <row r="26" spans="1:17" s="4" customFormat="1" ht="30" x14ac:dyDescent="0.25">
      <c r="A26" s="102"/>
      <c r="B26" s="102"/>
      <c r="C26" s="31" t="s">
        <v>38</v>
      </c>
      <c r="D26" s="37">
        <f>IF(E25=0,0,$D$25*E26/$E$25)</f>
        <v>32</v>
      </c>
      <c r="E26" s="67">
        <f>IF(Справочники!$O$1=1,Справочники!$C24,  IF(Справочники!$O$1=2,Справочники!$D24,  IF(Справочники!$O$1=3,Справочники!$E24,  IF(Справочники!$O$1=4,Справочники!$F24, IF(Справочники!$O$1=5,Справочники!$G24, IF(Справочники!$O$1=6,Справочники!$H24,
IF(Справочники!$O$1=7,Справочники!$I24,IF(Справочники!$O$1=8,Справочники!$J24,IF(Справочники!$O$1=9,Справочники!$K24,
IF(Справочники!$O$1=10,Справочники!$L24,IF(Справочники!$O$1=11,Справочники!$M24,IF(Справочники!$O$1=12,Справочники!$N24,0))))))))))))</f>
        <v>0.4</v>
      </c>
      <c r="F26" s="51">
        <f t="shared" si="1"/>
        <v>0.4</v>
      </c>
      <c r="Q26" s="5"/>
    </row>
    <row r="27" spans="1:17" s="4" customFormat="1" x14ac:dyDescent="0.25">
      <c r="A27" s="102"/>
      <c r="B27" s="10"/>
      <c r="C27" s="33" t="s">
        <v>47</v>
      </c>
      <c r="D27" s="37">
        <f t="array" ref="D27">SUM(ROUND(D24:D26,0))</f>
        <v>80</v>
      </c>
      <c r="E27" s="52">
        <f>SUM(E24:E26)</f>
        <v>1</v>
      </c>
      <c r="F27" s="52">
        <f>D27/SUM(D24:D26)</f>
        <v>1</v>
      </c>
      <c r="Q27" s="5"/>
    </row>
    <row r="28" spans="1:17" s="4" customFormat="1" x14ac:dyDescent="0.25">
      <c r="A28" s="24"/>
      <c r="B28" s="25"/>
      <c r="C28" s="26" t="s">
        <v>3</v>
      </c>
      <c r="D28" s="29">
        <f>D23+D27</f>
        <v>241</v>
      </c>
      <c r="E28" s="27"/>
      <c r="F28" s="27"/>
      <c r="Q28" s="5"/>
    </row>
    <row r="29" spans="1:17" s="4" customFormat="1" ht="30.75" customHeight="1" x14ac:dyDescent="0.25">
      <c r="B29" s="28" t="s">
        <v>33</v>
      </c>
      <c r="C29" s="32" t="s">
        <v>34</v>
      </c>
      <c r="D29" s="37">
        <v>50</v>
      </c>
      <c r="E29" s="14"/>
      <c r="F29" s="6"/>
      <c r="Q29" s="5"/>
    </row>
    <row r="30" spans="1:17" s="4" customFormat="1" x14ac:dyDescent="0.25">
      <c r="B30" s="1"/>
      <c r="C30" s="1"/>
      <c r="D30" s="1"/>
      <c r="E30" s="14"/>
      <c r="F30" s="6"/>
      <c r="Q30" s="5"/>
    </row>
    <row r="31" spans="1:17" s="4" customFormat="1" x14ac:dyDescent="0.25">
      <c r="D31" s="1"/>
      <c r="E31" s="14"/>
      <c r="F31" s="6"/>
      <c r="Q31" s="5"/>
    </row>
  </sheetData>
  <mergeCells count="9">
    <mergeCell ref="A10:C10"/>
    <mergeCell ref="B16:B17"/>
    <mergeCell ref="B18:B19"/>
    <mergeCell ref="B24:B26"/>
    <mergeCell ref="A11:A23"/>
    <mergeCell ref="B21:B22"/>
    <mergeCell ref="A24:A27"/>
    <mergeCell ref="B12:B13"/>
    <mergeCell ref="B14:B1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showInputMessage="1" showErrorMessage="1">
          <x14:formula1>
            <xm:f>Справочники!$B$2:$B$3</xm:f>
          </x14:formula1>
          <xm:sqref>C5</xm:sqref>
        </x14:dataValidation>
        <x14:dataValidation type="list" allowBlank="1" showInputMessage="1" showErrorMessage="1">
          <x14:formula1>
            <xm:f>Справочники!$C$2:$C$4</xm:f>
          </x14:formula1>
          <xm:sqref>C4</xm:sqref>
        </x14:dataValidation>
        <x14:dataValidation type="list" allowBlank="1" showInputMessage="1" showErrorMessage="1">
          <x14:formula1>
            <xm:f>Справочники!$B$28:$B$77</xm:f>
          </x14:formula1>
          <xm:sqref>C7</xm:sqref>
        </x14:dataValidation>
        <x14:dataValidation type="list" allowBlank="1" showInputMessage="1" showErrorMessage="1">
          <x14:formula1>
            <xm:f>Справочники!$A$28:$A$34</xm:f>
          </x14:formula1>
          <xm:sqref>C6 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RowHeight="15" x14ac:dyDescent="0.25"/>
  <cols>
    <col min="1" max="1" width="17.7109375" bestFit="1" customWidth="1"/>
    <col min="2" max="2" width="16.7109375" customWidth="1"/>
    <col min="3" max="3" width="47" customWidth="1"/>
    <col min="4" max="4" width="22.85546875" customWidth="1"/>
  </cols>
  <sheetData>
    <row r="1" spans="1:4" ht="30" x14ac:dyDescent="0.25">
      <c r="A1" s="2" t="s">
        <v>45</v>
      </c>
      <c r="B1" s="1"/>
      <c r="C1" s="1"/>
      <c r="D1" s="1"/>
    </row>
    <row r="2" spans="1:4" x14ac:dyDescent="0.25">
      <c r="A2" s="19" t="s">
        <v>43</v>
      </c>
      <c r="B2" s="19" t="s">
        <v>1</v>
      </c>
      <c r="C2" s="19" t="s">
        <v>4</v>
      </c>
      <c r="D2" s="19" t="s">
        <v>2</v>
      </c>
    </row>
    <row r="3" spans="1:4" ht="30" x14ac:dyDescent="0.25">
      <c r="A3" s="34" t="s">
        <v>17</v>
      </c>
      <c r="B3" s="35" t="s">
        <v>15</v>
      </c>
      <c r="C3" s="3" t="s">
        <v>42</v>
      </c>
      <c r="D3" s="36"/>
    </row>
    <row r="4" spans="1:4" ht="30" x14ac:dyDescent="0.25">
      <c r="A4" s="13" t="s">
        <v>18</v>
      </c>
      <c r="B4" s="7" t="s">
        <v>41</v>
      </c>
      <c r="C4" s="7" t="s">
        <v>19</v>
      </c>
      <c r="D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opLeftCell="A36" workbookViewId="0">
      <selection activeCell="B58" sqref="B58"/>
    </sheetView>
  </sheetViews>
  <sheetFormatPr defaultRowHeight="15" x14ac:dyDescent="0.25"/>
  <cols>
    <col min="1" max="1" width="23.85546875" bestFit="1" customWidth="1"/>
    <col min="2" max="2" width="41.85546875" bestFit="1" customWidth="1"/>
    <col min="3" max="3" width="18.7109375" bestFit="1" customWidth="1"/>
    <col min="4" max="14" width="8.7109375" bestFit="1" customWidth="1"/>
    <col min="15" max="15" width="18.140625" bestFit="1" customWidth="1"/>
    <col min="16" max="16" width="11.42578125" bestFit="1" customWidth="1"/>
    <col min="17" max="17" width="10.28515625" bestFit="1" customWidth="1"/>
    <col min="18" max="18" width="13.42578125" bestFit="1" customWidth="1"/>
  </cols>
  <sheetData>
    <row r="1" spans="1:15" x14ac:dyDescent="0.25">
      <c r="A1" s="47" t="s">
        <v>54</v>
      </c>
      <c r="B1" s="48" t="s">
        <v>59</v>
      </c>
      <c r="C1" s="47" t="s">
        <v>62</v>
      </c>
      <c r="N1" s="44" t="s">
        <v>76</v>
      </c>
      <c r="O1" s="44">
        <f>IF(Оценка!C2="БИСКВИТ",0,6)+IF(Оценка!C4="Интех + Подрядчик",5,0)+IF(Оценка!C4="Интех",1,0)+IF(Оценка!C4="Подрядчик",3,0)+IF(Оценка!C5="Да",0,1)</f>
        <v>12</v>
      </c>
    </row>
    <row r="2" spans="1:15" x14ac:dyDescent="0.25">
      <c r="A2" s="45" t="s">
        <v>55</v>
      </c>
      <c r="B2" s="46" t="s">
        <v>60</v>
      </c>
      <c r="C2" s="45" t="s">
        <v>63</v>
      </c>
    </row>
    <row r="3" spans="1:15" x14ac:dyDescent="0.25">
      <c r="A3" s="45" t="s">
        <v>56</v>
      </c>
      <c r="B3" s="46" t="s">
        <v>61</v>
      </c>
      <c r="C3" s="45" t="s">
        <v>33</v>
      </c>
    </row>
    <row r="4" spans="1:15" x14ac:dyDescent="0.25">
      <c r="C4" s="45" t="s">
        <v>64</v>
      </c>
    </row>
    <row r="6" spans="1:15" x14ac:dyDescent="0.25">
      <c r="A6" s="45"/>
      <c r="B6" s="60" t="s">
        <v>73</v>
      </c>
      <c r="C6" s="105" t="s">
        <v>65</v>
      </c>
      <c r="D6" s="106"/>
      <c r="E6" s="106"/>
      <c r="F6" s="106"/>
      <c r="G6" s="106"/>
      <c r="H6" s="107"/>
      <c r="I6" s="104" t="s">
        <v>55</v>
      </c>
      <c r="J6" s="104"/>
      <c r="K6" s="104"/>
      <c r="L6" s="104"/>
      <c r="M6" s="104"/>
      <c r="N6" s="104"/>
    </row>
    <row r="7" spans="1:15" x14ac:dyDescent="0.25">
      <c r="A7" s="45"/>
      <c r="B7" s="60" t="s">
        <v>74</v>
      </c>
      <c r="C7" s="104" t="s">
        <v>66</v>
      </c>
      <c r="D7" s="104"/>
      <c r="E7" s="104" t="s">
        <v>67</v>
      </c>
      <c r="F7" s="104"/>
      <c r="G7" s="104" t="s">
        <v>68</v>
      </c>
      <c r="H7" s="104"/>
      <c r="I7" s="104" t="s">
        <v>66</v>
      </c>
      <c r="J7" s="104"/>
      <c r="K7" s="104" t="s">
        <v>55</v>
      </c>
      <c r="L7" s="104"/>
      <c r="M7" s="104" t="s">
        <v>69</v>
      </c>
      <c r="N7" s="104"/>
    </row>
    <row r="8" spans="1:15" x14ac:dyDescent="0.25">
      <c r="A8" s="45"/>
      <c r="B8" s="60" t="s">
        <v>75</v>
      </c>
      <c r="C8" s="53" t="s">
        <v>70</v>
      </c>
      <c r="D8" s="53" t="s">
        <v>71</v>
      </c>
      <c r="E8" s="53" t="s">
        <v>70</v>
      </c>
      <c r="F8" s="53" t="s">
        <v>71</v>
      </c>
      <c r="G8" s="53" t="s">
        <v>70</v>
      </c>
      <c r="H8" s="53" t="s">
        <v>71</v>
      </c>
      <c r="I8" s="53" t="s">
        <v>70</v>
      </c>
      <c r="J8" s="53" t="s">
        <v>71</v>
      </c>
      <c r="K8" s="53" t="s">
        <v>70</v>
      </c>
      <c r="L8" s="53" t="s">
        <v>71</v>
      </c>
      <c r="M8" s="53" t="s">
        <v>70</v>
      </c>
      <c r="N8" s="53" t="s">
        <v>71</v>
      </c>
    </row>
    <row r="9" spans="1:15" ht="45" x14ac:dyDescent="0.25">
      <c r="A9" s="57" t="s">
        <v>11</v>
      </c>
      <c r="B9" s="58" t="s">
        <v>20</v>
      </c>
      <c r="C9" s="62">
        <v>0.09</v>
      </c>
      <c r="D9" s="62">
        <v>0.09</v>
      </c>
      <c r="E9" s="63">
        <v>0.09</v>
      </c>
      <c r="F9" s="63">
        <v>0.09</v>
      </c>
      <c r="G9" s="62">
        <v>0.09</v>
      </c>
      <c r="H9" s="62">
        <v>0.09</v>
      </c>
      <c r="I9" s="59">
        <v>0.09</v>
      </c>
      <c r="J9" s="59">
        <v>0.09</v>
      </c>
      <c r="K9" s="61">
        <v>0.09</v>
      </c>
      <c r="L9" s="61">
        <v>0.09</v>
      </c>
      <c r="M9" s="59">
        <v>0.09</v>
      </c>
      <c r="N9" s="71">
        <v>0.09</v>
      </c>
    </row>
    <row r="10" spans="1:15" x14ac:dyDescent="0.25">
      <c r="A10" s="109" t="s">
        <v>21</v>
      </c>
      <c r="B10" s="58" t="s">
        <v>22</v>
      </c>
      <c r="C10" s="62">
        <v>0.26</v>
      </c>
      <c r="D10" s="62">
        <v>0</v>
      </c>
      <c r="E10" s="63">
        <v>0.26</v>
      </c>
      <c r="F10" s="63">
        <v>0</v>
      </c>
      <c r="G10" s="62">
        <v>0.26</v>
      </c>
      <c r="H10" s="62">
        <v>0</v>
      </c>
      <c r="I10" s="59">
        <v>0.26</v>
      </c>
      <c r="J10" s="59">
        <v>0</v>
      </c>
      <c r="K10" s="61">
        <v>0.26</v>
      </c>
      <c r="L10" s="61">
        <v>0</v>
      </c>
      <c r="M10" s="59">
        <v>0.26</v>
      </c>
      <c r="N10" s="59">
        <v>0</v>
      </c>
    </row>
    <row r="11" spans="1:15" x14ac:dyDescent="0.25">
      <c r="A11" s="109"/>
      <c r="B11" s="58" t="s">
        <v>23</v>
      </c>
      <c r="C11" s="62">
        <v>0.09</v>
      </c>
      <c r="D11" s="62">
        <v>0</v>
      </c>
      <c r="E11" s="63">
        <v>0.09</v>
      </c>
      <c r="F11" s="63">
        <v>0</v>
      </c>
      <c r="G11" s="62">
        <v>0.09</v>
      </c>
      <c r="H11" s="62">
        <v>0</v>
      </c>
      <c r="I11" s="59">
        <v>0.09</v>
      </c>
      <c r="J11" s="59">
        <v>0</v>
      </c>
      <c r="K11" s="61">
        <v>0.09</v>
      </c>
      <c r="L11" s="61">
        <v>0</v>
      </c>
      <c r="M11" s="59">
        <v>0.09</v>
      </c>
      <c r="N11" s="59">
        <v>0</v>
      </c>
    </row>
    <row r="12" spans="1:15" x14ac:dyDescent="0.25">
      <c r="A12" s="109" t="s">
        <v>5</v>
      </c>
      <c r="B12" s="58" t="s">
        <v>24</v>
      </c>
      <c r="C12" s="62">
        <v>0.22</v>
      </c>
      <c r="D12" s="62">
        <v>0.48</v>
      </c>
      <c r="E12" s="63">
        <v>0.17</v>
      </c>
      <c r="F12" s="63">
        <v>0.43</v>
      </c>
      <c r="G12" s="62">
        <v>0.17</v>
      </c>
      <c r="H12" s="62">
        <v>0.43</v>
      </c>
      <c r="I12" s="59">
        <v>0.22</v>
      </c>
      <c r="J12" s="59">
        <v>0.48</v>
      </c>
      <c r="K12" s="61">
        <v>0</v>
      </c>
      <c r="L12" s="61">
        <v>0</v>
      </c>
      <c r="M12" s="59">
        <v>0.17</v>
      </c>
      <c r="N12" s="59">
        <v>0.4</v>
      </c>
    </row>
    <row r="13" spans="1:15" x14ac:dyDescent="0.25">
      <c r="A13" s="109"/>
      <c r="B13" s="58" t="s">
        <v>6</v>
      </c>
      <c r="C13" s="62">
        <v>0.11</v>
      </c>
      <c r="D13" s="62">
        <v>0.2</v>
      </c>
      <c r="E13" s="63">
        <v>0.06</v>
      </c>
      <c r="F13" s="63">
        <v>0.15</v>
      </c>
      <c r="G13" s="62">
        <v>0.06</v>
      </c>
      <c r="H13" s="62">
        <v>0.15</v>
      </c>
      <c r="I13" s="59">
        <v>0.11</v>
      </c>
      <c r="J13" s="59">
        <v>0.2</v>
      </c>
      <c r="K13" s="61">
        <v>0</v>
      </c>
      <c r="L13" s="61">
        <v>0</v>
      </c>
      <c r="M13" s="59">
        <v>0.06</v>
      </c>
      <c r="N13" s="59">
        <v>0.12</v>
      </c>
    </row>
    <row r="14" spans="1:15" x14ac:dyDescent="0.25">
      <c r="A14" s="109" t="s">
        <v>27</v>
      </c>
      <c r="B14" s="58" t="s">
        <v>25</v>
      </c>
      <c r="C14" s="62">
        <v>0</v>
      </c>
      <c r="D14" s="62">
        <v>0</v>
      </c>
      <c r="E14" s="63">
        <v>0.05</v>
      </c>
      <c r="F14" s="63">
        <v>0.05</v>
      </c>
      <c r="G14" s="62">
        <v>0.05</v>
      </c>
      <c r="H14" s="62">
        <v>0.05</v>
      </c>
      <c r="I14" s="59">
        <v>0</v>
      </c>
      <c r="J14" s="59">
        <v>0</v>
      </c>
      <c r="K14" s="61">
        <v>0.13</v>
      </c>
      <c r="L14" s="61">
        <v>0.2</v>
      </c>
      <c r="M14" s="59">
        <v>0.05</v>
      </c>
      <c r="N14" s="59">
        <v>0.05</v>
      </c>
    </row>
    <row r="15" spans="1:15" x14ac:dyDescent="0.25">
      <c r="A15" s="109"/>
      <c r="B15" s="58" t="s">
        <v>7</v>
      </c>
      <c r="C15" s="62">
        <v>0</v>
      </c>
      <c r="D15" s="62">
        <v>0</v>
      </c>
      <c r="E15" s="63">
        <v>0.05</v>
      </c>
      <c r="F15" s="63">
        <v>0.05</v>
      </c>
      <c r="G15" s="62">
        <v>0.05</v>
      </c>
      <c r="H15" s="62">
        <v>0.05</v>
      </c>
      <c r="I15" s="59">
        <v>0</v>
      </c>
      <c r="J15" s="59">
        <v>0</v>
      </c>
      <c r="K15" s="61">
        <v>0.2</v>
      </c>
      <c r="L15" s="61">
        <v>0.3</v>
      </c>
      <c r="M15" s="59">
        <v>0.05</v>
      </c>
      <c r="N15" s="59">
        <v>0.11</v>
      </c>
    </row>
    <row r="16" spans="1:15" ht="30" x14ac:dyDescent="0.25">
      <c r="A16" s="109" t="s">
        <v>28</v>
      </c>
      <c r="B16" s="58" t="s">
        <v>29</v>
      </c>
      <c r="C16" s="62">
        <v>0.03</v>
      </c>
      <c r="D16" s="62">
        <v>0.03</v>
      </c>
      <c r="E16" s="63">
        <v>0.03</v>
      </c>
      <c r="F16" s="63">
        <v>0.03</v>
      </c>
      <c r="G16" s="62">
        <v>0.03</v>
      </c>
      <c r="H16" s="62">
        <v>0.03</v>
      </c>
      <c r="I16" s="59">
        <v>0.03</v>
      </c>
      <c r="J16" s="59">
        <v>0.03</v>
      </c>
      <c r="K16" s="61">
        <v>0.03</v>
      </c>
      <c r="L16" s="61">
        <v>0.1</v>
      </c>
      <c r="M16" s="59">
        <v>0.03</v>
      </c>
      <c r="N16" s="59">
        <v>0.03</v>
      </c>
    </row>
    <row r="17" spans="1:16" ht="45" x14ac:dyDescent="0.25">
      <c r="A17" s="109"/>
      <c r="B17" s="58" t="s">
        <v>30</v>
      </c>
      <c r="C17" s="62">
        <v>0.08</v>
      </c>
      <c r="D17" s="62">
        <v>0.08</v>
      </c>
      <c r="E17" s="63">
        <v>0.08</v>
      </c>
      <c r="F17" s="63">
        <v>0.08</v>
      </c>
      <c r="G17" s="62">
        <v>0.08</v>
      </c>
      <c r="H17" s="62">
        <v>0.08</v>
      </c>
      <c r="I17" s="59">
        <v>0.08</v>
      </c>
      <c r="J17" s="59">
        <v>0.08</v>
      </c>
      <c r="K17" s="61">
        <v>0.08</v>
      </c>
      <c r="L17" s="61">
        <v>0.13</v>
      </c>
      <c r="M17" s="59">
        <v>0.08</v>
      </c>
      <c r="N17" s="59">
        <v>0.08</v>
      </c>
    </row>
    <row r="18" spans="1:16" ht="30" x14ac:dyDescent="0.25">
      <c r="A18" s="57" t="s">
        <v>31</v>
      </c>
      <c r="B18" s="58" t="s">
        <v>32</v>
      </c>
      <c r="C18" s="62">
        <v>0.08</v>
      </c>
      <c r="D18" s="62">
        <v>0.08</v>
      </c>
      <c r="E18" s="63">
        <v>0.08</v>
      </c>
      <c r="F18" s="63">
        <v>0.08</v>
      </c>
      <c r="G18" s="62">
        <v>0.08</v>
      </c>
      <c r="H18" s="62">
        <v>0.08</v>
      </c>
      <c r="I18" s="59">
        <v>0.08</v>
      </c>
      <c r="J18" s="59">
        <v>0.08</v>
      </c>
      <c r="K18" s="61">
        <v>0.08</v>
      </c>
      <c r="L18" s="61">
        <v>0.11</v>
      </c>
      <c r="M18" s="59">
        <v>0.08</v>
      </c>
      <c r="N18" s="59">
        <v>0.08</v>
      </c>
    </row>
    <row r="19" spans="1:16" ht="30" x14ac:dyDescent="0.25">
      <c r="A19" s="109" t="s">
        <v>26</v>
      </c>
      <c r="B19" s="58" t="s">
        <v>72</v>
      </c>
      <c r="C19" s="62">
        <v>0.03</v>
      </c>
      <c r="D19" s="62">
        <v>0.03</v>
      </c>
      <c r="E19" s="63">
        <v>0.03</v>
      </c>
      <c r="F19" s="63">
        <v>0.03</v>
      </c>
      <c r="G19" s="62">
        <v>0.03</v>
      </c>
      <c r="H19" s="62">
        <v>0.03</v>
      </c>
      <c r="I19" s="59">
        <v>0.03</v>
      </c>
      <c r="J19" s="59">
        <v>0.03</v>
      </c>
      <c r="K19" s="61">
        <v>0.03</v>
      </c>
      <c r="L19" s="61">
        <v>0.06</v>
      </c>
      <c r="M19" s="59">
        <v>0.03</v>
      </c>
      <c r="N19" s="59">
        <v>0.03</v>
      </c>
    </row>
    <row r="20" spans="1:16" x14ac:dyDescent="0.25">
      <c r="A20" s="109"/>
      <c r="B20" s="58" t="s">
        <v>16</v>
      </c>
      <c r="C20" s="62">
        <v>0.01</v>
      </c>
      <c r="D20" s="62">
        <v>0.01</v>
      </c>
      <c r="E20" s="63">
        <v>0.01</v>
      </c>
      <c r="F20" s="63">
        <v>0.01</v>
      </c>
      <c r="G20" s="62">
        <v>0.01</v>
      </c>
      <c r="H20" s="62">
        <v>0.01</v>
      </c>
      <c r="I20" s="59">
        <v>0.01</v>
      </c>
      <c r="J20" s="59">
        <v>0.01</v>
      </c>
      <c r="K20" s="61">
        <v>0.01</v>
      </c>
      <c r="L20" s="61">
        <v>0.01</v>
      </c>
      <c r="M20" s="59">
        <v>0.01</v>
      </c>
      <c r="N20" s="59">
        <v>0.01</v>
      </c>
    </row>
    <row r="21" spans="1:16" x14ac:dyDescent="0.25">
      <c r="A21" s="9"/>
      <c r="B21" s="9" t="s">
        <v>48</v>
      </c>
      <c r="C21" s="64">
        <f t="shared" ref="C21:F21" si="0">C9+C10+C11+C12+C13+C15+C14+C16+C17+C18+C19+C20</f>
        <v>0.99999999999999989</v>
      </c>
      <c r="D21" s="64">
        <f t="shared" si="0"/>
        <v>1</v>
      </c>
      <c r="E21" s="64">
        <f t="shared" si="0"/>
        <v>1</v>
      </c>
      <c r="F21" s="64">
        <f t="shared" si="0"/>
        <v>1</v>
      </c>
      <c r="G21" s="64">
        <f>G9+G10+G11+G12+G13+G15+G14+G16+G17+G18+G19+G20</f>
        <v>1</v>
      </c>
      <c r="H21" s="64">
        <f t="shared" ref="H21:N21" si="1">H9+H10+H11+H12+H13+H15+H14+H16+H17+H18+H19+H20</f>
        <v>1</v>
      </c>
      <c r="I21" s="64">
        <f t="shared" si="1"/>
        <v>0.99999999999999989</v>
      </c>
      <c r="J21" s="64">
        <f t="shared" si="1"/>
        <v>1</v>
      </c>
      <c r="K21" s="64">
        <f t="shared" si="1"/>
        <v>0.99999999999999989</v>
      </c>
      <c r="L21" s="64">
        <f t="shared" si="1"/>
        <v>1</v>
      </c>
      <c r="M21" s="64">
        <f t="shared" si="1"/>
        <v>1</v>
      </c>
      <c r="N21" s="64">
        <f t="shared" si="1"/>
        <v>1</v>
      </c>
    </row>
    <row r="22" spans="1:16" ht="30" x14ac:dyDescent="0.25">
      <c r="A22" s="108" t="s">
        <v>36</v>
      </c>
      <c r="B22" s="55" t="s">
        <v>35</v>
      </c>
      <c r="C22" s="65">
        <v>0.1</v>
      </c>
      <c r="D22" s="65">
        <v>0.1</v>
      </c>
      <c r="E22" s="56">
        <v>0</v>
      </c>
      <c r="F22" s="56">
        <v>0</v>
      </c>
      <c r="G22" s="65">
        <v>0.1</v>
      </c>
      <c r="H22" s="65">
        <v>0.1</v>
      </c>
      <c r="I22" s="65">
        <v>0.1</v>
      </c>
      <c r="J22" s="65">
        <v>0.1</v>
      </c>
      <c r="K22" s="56">
        <v>0</v>
      </c>
      <c r="L22" s="56">
        <v>0</v>
      </c>
      <c r="M22" s="65">
        <v>0.1</v>
      </c>
      <c r="N22" s="65">
        <v>0.1</v>
      </c>
    </row>
    <row r="23" spans="1:16" ht="30" x14ac:dyDescent="0.25">
      <c r="A23" s="108"/>
      <c r="B23" s="55" t="s">
        <v>37</v>
      </c>
      <c r="C23" s="65">
        <v>0.5</v>
      </c>
      <c r="D23" s="65">
        <v>0.5</v>
      </c>
      <c r="E23" s="56">
        <v>0</v>
      </c>
      <c r="F23" s="56">
        <v>0</v>
      </c>
      <c r="G23" s="65">
        <v>0.5</v>
      </c>
      <c r="H23" s="65">
        <v>0.5</v>
      </c>
      <c r="I23" s="65">
        <v>0.5</v>
      </c>
      <c r="J23" s="65">
        <v>0.5</v>
      </c>
      <c r="K23" s="56">
        <v>0</v>
      </c>
      <c r="L23" s="56">
        <v>0</v>
      </c>
      <c r="M23" s="65">
        <v>0.5</v>
      </c>
      <c r="N23" s="65">
        <v>0.5</v>
      </c>
    </row>
    <row r="24" spans="1:16" ht="60" x14ac:dyDescent="0.25">
      <c r="A24" s="108"/>
      <c r="B24" s="55" t="s">
        <v>38</v>
      </c>
      <c r="C24" s="65">
        <v>0.4</v>
      </c>
      <c r="D24" s="65">
        <v>0.4</v>
      </c>
      <c r="E24" s="56">
        <v>0</v>
      </c>
      <c r="F24" s="56">
        <v>0</v>
      </c>
      <c r="G24" s="65">
        <v>0.4</v>
      </c>
      <c r="H24" s="65">
        <v>0.4</v>
      </c>
      <c r="I24" s="65">
        <v>0.4</v>
      </c>
      <c r="J24" s="65">
        <v>0.4</v>
      </c>
      <c r="K24" s="56">
        <v>0</v>
      </c>
      <c r="L24" s="56">
        <v>0</v>
      </c>
      <c r="M24" s="65">
        <v>0.4</v>
      </c>
      <c r="N24" s="65">
        <v>0.4</v>
      </c>
    </row>
    <row r="25" spans="1:16" x14ac:dyDescent="0.25">
      <c r="A25" s="9"/>
      <c r="B25" s="9" t="s">
        <v>47</v>
      </c>
      <c r="C25" s="54">
        <f t="shared" ref="C25:F25" si="2">SUM(C22:C24)</f>
        <v>1</v>
      </c>
      <c r="D25" s="54">
        <f t="shared" si="2"/>
        <v>1</v>
      </c>
      <c r="E25" s="54">
        <f t="shared" si="2"/>
        <v>0</v>
      </c>
      <c r="F25" s="54">
        <f t="shared" si="2"/>
        <v>0</v>
      </c>
      <c r="G25" s="54">
        <f>SUM(G22:G24)</f>
        <v>1</v>
      </c>
      <c r="H25" s="54">
        <f t="shared" ref="H25:N25" si="3">SUM(H22:H24)</f>
        <v>1</v>
      </c>
      <c r="I25" s="54">
        <f t="shared" si="3"/>
        <v>1</v>
      </c>
      <c r="J25" s="54">
        <f t="shared" si="3"/>
        <v>1</v>
      </c>
      <c r="K25" s="54">
        <f t="shared" si="3"/>
        <v>0</v>
      </c>
      <c r="L25" s="54">
        <f t="shared" si="3"/>
        <v>0</v>
      </c>
      <c r="M25" s="54">
        <f t="shared" si="3"/>
        <v>1</v>
      </c>
      <c r="N25" s="54">
        <f t="shared" si="3"/>
        <v>1</v>
      </c>
      <c r="O25" s="70"/>
      <c r="P25" s="72"/>
    </row>
    <row r="27" spans="1:16" x14ac:dyDescent="0.25">
      <c r="A27" s="83" t="s">
        <v>104</v>
      </c>
      <c r="B27" s="84" t="s">
        <v>112</v>
      </c>
    </row>
    <row r="28" spans="1:16" x14ac:dyDescent="0.25">
      <c r="A28" s="81" t="s">
        <v>105</v>
      </c>
      <c r="B28" s="82" t="s">
        <v>113</v>
      </c>
    </row>
    <row r="29" spans="1:16" x14ac:dyDescent="0.25">
      <c r="A29" s="87" t="s">
        <v>106</v>
      </c>
      <c r="B29" s="82" t="s">
        <v>114</v>
      </c>
    </row>
    <row r="30" spans="1:16" ht="30" x14ac:dyDescent="0.25">
      <c r="A30" s="81" t="s">
        <v>107</v>
      </c>
      <c r="B30" s="82" t="s">
        <v>115</v>
      </c>
    </row>
    <row r="31" spans="1:16" x14ac:dyDescent="0.25">
      <c r="A31" s="81" t="s">
        <v>108</v>
      </c>
      <c r="B31" s="82" t="s">
        <v>116</v>
      </c>
    </row>
    <row r="32" spans="1:16" x14ac:dyDescent="0.25">
      <c r="A32" s="81" t="s">
        <v>109</v>
      </c>
      <c r="B32" s="82" t="s">
        <v>117</v>
      </c>
    </row>
    <row r="33" spans="1:2" x14ac:dyDescent="0.25">
      <c r="A33" s="81" t="s">
        <v>110</v>
      </c>
      <c r="B33" s="82" t="s">
        <v>118</v>
      </c>
    </row>
    <row r="34" spans="1:2" x14ac:dyDescent="0.25">
      <c r="A34" s="81" t="s">
        <v>111</v>
      </c>
      <c r="B34" s="82" t="s">
        <v>119</v>
      </c>
    </row>
    <row r="35" spans="1:2" x14ac:dyDescent="0.25">
      <c r="B35" s="82" t="s">
        <v>120</v>
      </c>
    </row>
    <row r="36" spans="1:2" x14ac:dyDescent="0.25">
      <c r="B36" s="82" t="s">
        <v>121</v>
      </c>
    </row>
    <row r="37" spans="1:2" ht="30" x14ac:dyDescent="0.25">
      <c r="B37" s="82" t="s">
        <v>122</v>
      </c>
    </row>
    <row r="38" spans="1:2" ht="30" x14ac:dyDescent="0.25">
      <c r="B38" s="82" t="s">
        <v>123</v>
      </c>
    </row>
    <row r="39" spans="1:2" ht="30" x14ac:dyDescent="0.25">
      <c r="B39" s="82" t="s">
        <v>124</v>
      </c>
    </row>
    <row r="40" spans="1:2" x14ac:dyDescent="0.25">
      <c r="B40" s="82" t="s">
        <v>125</v>
      </c>
    </row>
    <row r="41" spans="1:2" ht="30" x14ac:dyDescent="0.25">
      <c r="B41" s="82" t="s">
        <v>126</v>
      </c>
    </row>
    <row r="42" spans="1:2" x14ac:dyDescent="0.25">
      <c r="B42" s="82" t="s">
        <v>127</v>
      </c>
    </row>
    <row r="43" spans="1:2" x14ac:dyDescent="0.25">
      <c r="B43" s="82" t="s">
        <v>128</v>
      </c>
    </row>
    <row r="44" spans="1:2" x14ac:dyDescent="0.25">
      <c r="B44" s="82" t="s">
        <v>129</v>
      </c>
    </row>
    <row r="45" spans="1:2" x14ac:dyDescent="0.25">
      <c r="B45" s="82" t="s">
        <v>130</v>
      </c>
    </row>
    <row r="46" spans="1:2" x14ac:dyDescent="0.25">
      <c r="B46" s="82" t="s">
        <v>131</v>
      </c>
    </row>
    <row r="47" spans="1:2" x14ac:dyDescent="0.25">
      <c r="B47" s="82" t="s">
        <v>132</v>
      </c>
    </row>
    <row r="48" spans="1:2" x14ac:dyDescent="0.25">
      <c r="B48" s="82" t="s">
        <v>133</v>
      </c>
    </row>
    <row r="49" spans="2:2" x14ac:dyDescent="0.25">
      <c r="B49" s="82" t="s">
        <v>134</v>
      </c>
    </row>
    <row r="50" spans="2:2" x14ac:dyDescent="0.25">
      <c r="B50" s="82" t="s">
        <v>135</v>
      </c>
    </row>
    <row r="51" spans="2:2" x14ac:dyDescent="0.25">
      <c r="B51" s="82" t="s">
        <v>136</v>
      </c>
    </row>
    <row r="52" spans="2:2" x14ac:dyDescent="0.25">
      <c r="B52" s="82" t="s">
        <v>137</v>
      </c>
    </row>
    <row r="53" spans="2:2" ht="45" x14ac:dyDescent="0.25">
      <c r="B53" s="82" t="s">
        <v>138</v>
      </c>
    </row>
    <row r="54" spans="2:2" x14ac:dyDescent="0.25">
      <c r="B54" s="82" t="s">
        <v>139</v>
      </c>
    </row>
    <row r="55" spans="2:2" x14ac:dyDescent="0.25">
      <c r="B55" s="82" t="s">
        <v>140</v>
      </c>
    </row>
    <row r="56" spans="2:2" x14ac:dyDescent="0.25">
      <c r="B56" s="82" t="s">
        <v>111</v>
      </c>
    </row>
    <row r="57" spans="2:2" x14ac:dyDescent="0.25">
      <c r="B57" s="82" t="s">
        <v>141</v>
      </c>
    </row>
    <row r="58" spans="2:2" x14ac:dyDescent="0.25">
      <c r="B58" s="82" t="s">
        <v>142</v>
      </c>
    </row>
    <row r="59" spans="2:2" x14ac:dyDescent="0.25">
      <c r="B59" s="82" t="s">
        <v>143</v>
      </c>
    </row>
    <row r="60" spans="2:2" x14ac:dyDescent="0.25">
      <c r="B60" s="82" t="s">
        <v>144</v>
      </c>
    </row>
    <row r="61" spans="2:2" x14ac:dyDescent="0.25">
      <c r="B61" s="82" t="s">
        <v>145</v>
      </c>
    </row>
    <row r="62" spans="2:2" x14ac:dyDescent="0.25">
      <c r="B62" s="82" t="s">
        <v>146</v>
      </c>
    </row>
    <row r="63" spans="2:2" x14ac:dyDescent="0.25">
      <c r="B63" s="82" t="s">
        <v>147</v>
      </c>
    </row>
    <row r="64" spans="2:2" x14ac:dyDescent="0.25">
      <c r="B64" s="82" t="s">
        <v>148</v>
      </c>
    </row>
    <row r="65" spans="2:2" ht="30" x14ac:dyDescent="0.25">
      <c r="B65" s="82" t="s">
        <v>149</v>
      </c>
    </row>
    <row r="66" spans="2:2" x14ac:dyDescent="0.25">
      <c r="B66" s="82" t="s">
        <v>150</v>
      </c>
    </row>
    <row r="67" spans="2:2" ht="30" x14ac:dyDescent="0.25">
      <c r="B67" s="82" t="s">
        <v>151</v>
      </c>
    </row>
    <row r="68" spans="2:2" x14ac:dyDescent="0.25">
      <c r="B68" s="82" t="s">
        <v>152</v>
      </c>
    </row>
    <row r="69" spans="2:2" x14ac:dyDescent="0.25">
      <c r="B69" s="82" t="s">
        <v>153</v>
      </c>
    </row>
    <row r="70" spans="2:2" x14ac:dyDescent="0.25">
      <c r="B70" s="82" t="s">
        <v>154</v>
      </c>
    </row>
    <row r="71" spans="2:2" x14ac:dyDescent="0.25">
      <c r="B71" s="82" t="s">
        <v>155</v>
      </c>
    </row>
    <row r="72" spans="2:2" ht="30" x14ac:dyDescent="0.25">
      <c r="B72" s="82" t="s">
        <v>156</v>
      </c>
    </row>
    <row r="73" spans="2:2" x14ac:dyDescent="0.25">
      <c r="B73" s="82" t="s">
        <v>157</v>
      </c>
    </row>
    <row r="74" spans="2:2" x14ac:dyDescent="0.25">
      <c r="B74" s="82" t="s">
        <v>158</v>
      </c>
    </row>
    <row r="75" spans="2:2" ht="30" x14ac:dyDescent="0.25">
      <c r="B75" s="82" t="s">
        <v>159</v>
      </c>
    </row>
    <row r="76" spans="2:2" ht="30" x14ac:dyDescent="0.25">
      <c r="B76" s="82" t="s">
        <v>160</v>
      </c>
    </row>
  </sheetData>
  <mergeCells count="14">
    <mergeCell ref="A22:A24"/>
    <mergeCell ref="A10:A11"/>
    <mergeCell ref="A12:A13"/>
    <mergeCell ref="A14:A15"/>
    <mergeCell ref="A16:A17"/>
    <mergeCell ref="A19:A20"/>
    <mergeCell ref="I6:N6"/>
    <mergeCell ref="C7:D7"/>
    <mergeCell ref="E7:F7"/>
    <mergeCell ref="G7:H7"/>
    <mergeCell ref="I7:J7"/>
    <mergeCell ref="K7:L7"/>
    <mergeCell ref="M7:N7"/>
    <mergeCell ref="C6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55" zoomScaleNormal="55" workbookViewId="0">
      <selection activeCell="A6" sqref="A6"/>
    </sheetView>
  </sheetViews>
  <sheetFormatPr defaultColWidth="216.5703125" defaultRowHeight="15" x14ac:dyDescent="0.25"/>
  <cols>
    <col min="1" max="1" width="17" customWidth="1"/>
    <col min="2" max="2" width="61.7109375" bestFit="1" customWidth="1"/>
    <col min="3" max="3" width="36.7109375" bestFit="1" customWidth="1"/>
    <col min="4" max="4" width="20.5703125" bestFit="1" customWidth="1"/>
    <col min="5" max="5" width="13.85546875" bestFit="1" customWidth="1"/>
    <col min="6" max="6" width="15.7109375" bestFit="1" customWidth="1"/>
    <col min="7" max="7" width="19.28515625" customWidth="1"/>
    <col min="8" max="8" width="16.5703125" customWidth="1"/>
    <col min="9" max="9" width="16.42578125" customWidth="1"/>
    <col min="10" max="10" width="8.85546875" customWidth="1"/>
    <col min="11" max="11" width="18.5703125" customWidth="1"/>
    <col min="12" max="12" width="13.42578125" customWidth="1"/>
    <col min="13" max="13" width="10" customWidth="1"/>
    <col min="14" max="15" width="13.42578125" customWidth="1"/>
  </cols>
  <sheetData>
    <row r="1" spans="1:13" ht="60" x14ac:dyDescent="0.25">
      <c r="A1" s="20" t="s">
        <v>164</v>
      </c>
      <c r="B1" s="85" t="str">
        <f>Оценка!C6</f>
        <v>Кредиты</v>
      </c>
      <c r="C1" s="85" t="str">
        <f>Оценка!C1</f>
        <v xml:space="preserve">BIQ-5257 Реализация передачи уникального идентификатора договора (сделки) в бюро кредитных историй </v>
      </c>
      <c r="D1" s="4"/>
      <c r="E1" s="4"/>
      <c r="F1" s="4"/>
    </row>
    <row r="2" spans="1:13" ht="30" x14ac:dyDescent="0.25">
      <c r="A2" s="20" t="s">
        <v>112</v>
      </c>
      <c r="B2" s="85" t="str">
        <f>Оценка!C7</f>
        <v>Предкредитка</v>
      </c>
      <c r="C2" s="85" t="s">
        <v>55</v>
      </c>
      <c r="D2" s="85" t="str">
        <f>IF(C2="ЦФТ","JIRACFT","JIRABIS")</f>
        <v>JIRACFT</v>
      </c>
      <c r="E2" s="85" t="str">
        <f>IF(C2="ЦФТ","25","25")</f>
        <v>25</v>
      </c>
      <c r="F2" s="4"/>
    </row>
    <row r="3" spans="1:13" x14ac:dyDescent="0.25">
      <c r="A3" s="20" t="s">
        <v>161</v>
      </c>
      <c r="B3" s="85" t="str">
        <f>IF(Оценка!C8="","",Оценка!C8)</f>
        <v/>
      </c>
      <c r="C3" s="4"/>
      <c r="E3" s="4"/>
      <c r="F3" s="4"/>
    </row>
    <row r="4" spans="1:13" x14ac:dyDescent="0.25">
      <c r="B4" s="4"/>
      <c r="C4" s="4"/>
      <c r="D4" s="4"/>
      <c r="E4" s="4"/>
      <c r="F4" s="4"/>
    </row>
    <row r="5" spans="1:13" x14ac:dyDescent="0.25">
      <c r="B5" s="4"/>
      <c r="C5" s="4"/>
      <c r="D5" s="4"/>
      <c r="E5" s="4"/>
      <c r="F5" s="4"/>
    </row>
    <row r="6" spans="1:13" x14ac:dyDescent="0.25">
      <c r="A6" s="89" t="s">
        <v>165</v>
      </c>
      <c r="B6" s="4"/>
      <c r="C6" s="4"/>
      <c r="D6" s="4"/>
      <c r="E6" s="4"/>
      <c r="F6" s="4"/>
      <c r="K6" s="44" t="s">
        <v>166</v>
      </c>
    </row>
    <row r="7" spans="1:13" ht="30" x14ac:dyDescent="0.25">
      <c r="A7" s="79" t="s">
        <v>94</v>
      </c>
      <c r="B7" s="14" t="s">
        <v>93</v>
      </c>
      <c r="C7" s="14" t="s">
        <v>92</v>
      </c>
      <c r="D7" s="14" t="s">
        <v>79</v>
      </c>
      <c r="E7" s="14" t="s">
        <v>80</v>
      </c>
      <c r="F7" s="14" t="s">
        <v>81</v>
      </c>
      <c r="G7" s="80" t="s">
        <v>98</v>
      </c>
      <c r="H7" s="80" t="s">
        <v>100</v>
      </c>
      <c r="I7" s="80" t="s">
        <v>103</v>
      </c>
      <c r="K7" s="79" t="s">
        <v>167</v>
      </c>
      <c r="L7" s="90" t="s">
        <v>112</v>
      </c>
      <c r="M7" s="79" t="s">
        <v>161</v>
      </c>
    </row>
    <row r="8" spans="1:13" ht="30" x14ac:dyDescent="0.25">
      <c r="A8" s="77">
        <v>0</v>
      </c>
      <c r="B8" s="99" t="s">
        <v>20</v>
      </c>
      <c r="C8" s="75" t="s">
        <v>82</v>
      </c>
      <c r="D8" s="76"/>
      <c r="E8" s="75">
        <v>495</v>
      </c>
      <c r="F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Аналитик1[50 %]</v>
      </c>
      <c r="G8" s="74">
        <f>Оценка!D11</f>
        <v>48</v>
      </c>
      <c r="H8" s="73">
        <v>50</v>
      </c>
      <c r="I8" s="73" t="s">
        <v>162</v>
      </c>
      <c r="K8" s="77">
        <v>20</v>
      </c>
      <c r="L8" s="77">
        <v>20</v>
      </c>
      <c r="M8" s="77">
        <v>20</v>
      </c>
    </row>
    <row r="9" spans="1:13" ht="30" x14ac:dyDescent="0.25">
      <c r="A9" s="78">
        <v>1</v>
      </c>
      <c r="B9" s="75" t="s">
        <v>22</v>
      </c>
      <c r="C9" s="75" t="s">
        <v>83</v>
      </c>
      <c r="D9" s="75">
        <f>A8</f>
        <v>0</v>
      </c>
      <c r="E9" s="75">
        <v>496</v>
      </c>
      <c r="F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9" s="74">
        <f>Оценка!D12</f>
        <v>5</v>
      </c>
      <c r="H9" s="73">
        <v>20</v>
      </c>
      <c r="I9" s="73" t="s">
        <v>162</v>
      </c>
    </row>
    <row r="10" spans="1:13" ht="30" x14ac:dyDescent="0.25">
      <c r="A10" s="77">
        <v>2</v>
      </c>
      <c r="B10" s="75" t="s">
        <v>23</v>
      </c>
      <c r="C10" s="75" t="s">
        <v>23</v>
      </c>
      <c r="D10" s="75">
        <f>A9</f>
        <v>1</v>
      </c>
      <c r="E10" s="75">
        <v>497</v>
      </c>
      <c r="F10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0" s="74">
        <f>Оценка!D13</f>
        <v>5</v>
      </c>
      <c r="H10" s="73">
        <v>20</v>
      </c>
      <c r="I10" s="73" t="s">
        <v>162</v>
      </c>
    </row>
    <row r="11" spans="1:13" ht="30" x14ac:dyDescent="0.25">
      <c r="A11" s="78">
        <v>3</v>
      </c>
      <c r="B11" s="75" t="s">
        <v>24</v>
      </c>
      <c r="C11" s="75" t="s">
        <v>84</v>
      </c>
      <c r="D11" s="75">
        <f t="shared" ref="D11:D14" si="0">A10</f>
        <v>2</v>
      </c>
      <c r="E11" s="75">
        <v>498</v>
      </c>
      <c r="F11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1" s="74">
        <f>Оценка!D14</f>
        <v>5</v>
      </c>
      <c r="H11" s="73">
        <v>20</v>
      </c>
      <c r="I11" s="73" t="s">
        <v>162</v>
      </c>
    </row>
    <row r="12" spans="1:13" ht="30" x14ac:dyDescent="0.25">
      <c r="A12" s="77">
        <v>4</v>
      </c>
      <c r="B12" s="75" t="s">
        <v>6</v>
      </c>
      <c r="C12" s="75" t="s">
        <v>6</v>
      </c>
      <c r="D12" s="75">
        <f t="shared" si="0"/>
        <v>3</v>
      </c>
      <c r="E12" s="75">
        <v>499</v>
      </c>
      <c r="F12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2" s="74">
        <f>Оценка!D15</f>
        <v>5</v>
      </c>
      <c r="H12" s="73">
        <v>20</v>
      </c>
      <c r="I12" s="73" t="s">
        <v>162</v>
      </c>
    </row>
    <row r="13" spans="1:13" ht="30" x14ac:dyDescent="0.25">
      <c r="A13" s="78">
        <v>5</v>
      </c>
      <c r="B13" s="75" t="s">
        <v>25</v>
      </c>
      <c r="C13" s="75" t="s">
        <v>85</v>
      </c>
      <c r="D13" s="75">
        <f t="shared" si="0"/>
        <v>4</v>
      </c>
      <c r="E13" s="75">
        <v>500</v>
      </c>
      <c r="F13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3" s="74">
        <f>Оценка!D16</f>
        <v>2</v>
      </c>
      <c r="H13" s="73">
        <v>20</v>
      </c>
      <c r="I13" s="73" t="s">
        <v>162</v>
      </c>
    </row>
    <row r="14" spans="1:13" ht="30" x14ac:dyDescent="0.25">
      <c r="A14" s="77">
        <v>6</v>
      </c>
      <c r="B14" s="75" t="s">
        <v>7</v>
      </c>
      <c r="C14" s="75" t="s">
        <v>7</v>
      </c>
      <c r="D14" s="75">
        <f t="shared" si="0"/>
        <v>5</v>
      </c>
      <c r="E14" s="75">
        <v>501</v>
      </c>
      <c r="F1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4" s="74">
        <f>Оценка!D17</f>
        <v>5</v>
      </c>
      <c r="H14" s="73">
        <v>20</v>
      </c>
      <c r="I14" s="73" t="s">
        <v>162</v>
      </c>
    </row>
    <row r="15" spans="1:13" ht="30" x14ac:dyDescent="0.25">
      <c r="A15" s="78">
        <v>7</v>
      </c>
      <c r="B15" s="75" t="s">
        <v>29</v>
      </c>
      <c r="C15" s="75" t="s">
        <v>86</v>
      </c>
      <c r="D15" s="75" t="s">
        <v>99</v>
      </c>
      <c r="E15" s="75">
        <v>502</v>
      </c>
      <c r="F15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5" s="74">
        <f>Оценка!D18</f>
        <v>15</v>
      </c>
      <c r="H15" s="73">
        <v>20</v>
      </c>
      <c r="I15" s="73" t="s">
        <v>162</v>
      </c>
    </row>
    <row r="16" spans="1:13" ht="30" x14ac:dyDescent="0.25">
      <c r="A16" s="77">
        <v>8</v>
      </c>
      <c r="B16" s="75" t="s">
        <v>32</v>
      </c>
      <c r="C16" s="75" t="s">
        <v>88</v>
      </c>
      <c r="D16" s="75">
        <v>14</v>
      </c>
      <c r="E16" s="75">
        <v>504</v>
      </c>
      <c r="F16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6" s="74">
        <f>Оценка!D20</f>
        <v>24</v>
      </c>
      <c r="H16" s="73">
        <v>20</v>
      </c>
      <c r="I16" s="73" t="s">
        <v>162</v>
      </c>
    </row>
    <row r="17" spans="1:9" ht="30" x14ac:dyDescent="0.25">
      <c r="A17" s="78">
        <v>9</v>
      </c>
      <c r="B17" s="75" t="s">
        <v>97</v>
      </c>
      <c r="C17" s="75" t="s">
        <v>89</v>
      </c>
      <c r="D17" s="76" t="s">
        <v>102</v>
      </c>
      <c r="E17" s="75">
        <v>505</v>
      </c>
      <c r="F17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7" s="74">
        <f>Оценка!D21</f>
        <v>35</v>
      </c>
      <c r="H17" s="73">
        <v>20</v>
      </c>
      <c r="I17" s="73" t="s">
        <v>162</v>
      </c>
    </row>
    <row r="18" spans="1:9" ht="30" x14ac:dyDescent="0.25">
      <c r="A18" s="77">
        <v>10</v>
      </c>
      <c r="B18" s="75" t="s">
        <v>16</v>
      </c>
      <c r="C18" s="75" t="s">
        <v>16</v>
      </c>
      <c r="D18" s="75">
        <v>8</v>
      </c>
      <c r="E18" s="75">
        <v>506</v>
      </c>
      <c r="F18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8" s="74">
        <f>Оценка!D22</f>
        <v>7</v>
      </c>
      <c r="H18" s="73">
        <v>20</v>
      </c>
      <c r="I18" s="73" t="s">
        <v>162</v>
      </c>
    </row>
    <row r="19" spans="1:9" ht="45" x14ac:dyDescent="0.25">
      <c r="A19" s="78">
        <v>11</v>
      </c>
      <c r="B19" s="75" t="s">
        <v>38</v>
      </c>
      <c r="C19" s="75" t="s">
        <v>91</v>
      </c>
      <c r="D19" s="75" t="s">
        <v>169</v>
      </c>
      <c r="E19" s="75">
        <v>510</v>
      </c>
      <c r="F19" s="75" t="str">
        <f>IF(Таблица1[[#This Row],[Проценты]]="",Таблица1[[#This Row],[Исполнитель]],CONCATENATE(Таблица1[[#This Row],[Исполнитель]],"[",Таблица1[[#This Row],[Проценты]]," %]"))</f>
        <v>Аналитик1[20 %]</v>
      </c>
      <c r="G19" s="74">
        <f>Оценка!D26</f>
        <v>32</v>
      </c>
      <c r="H19" s="73">
        <v>20</v>
      </c>
      <c r="I19" s="73" t="s">
        <v>162</v>
      </c>
    </row>
    <row r="20" spans="1:9" ht="30" x14ac:dyDescent="0.25">
      <c r="A20" s="78">
        <v>12</v>
      </c>
      <c r="B20" s="95" t="s">
        <v>35</v>
      </c>
      <c r="C20" s="96" t="s">
        <v>90</v>
      </c>
      <c r="D20" s="96" t="s">
        <v>101</v>
      </c>
      <c r="E20" s="96">
        <v>508</v>
      </c>
      <c r="F20" s="96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Разработчик1[20 %]</v>
      </c>
      <c r="G20" s="97">
        <f>Оценка!D24</f>
        <v>8</v>
      </c>
      <c r="H20" s="96">
        <v>20</v>
      </c>
      <c r="I20" s="98" t="s">
        <v>163</v>
      </c>
    </row>
    <row r="21" spans="1:9" ht="30" x14ac:dyDescent="0.25">
      <c r="A21" s="77">
        <v>13</v>
      </c>
      <c r="B21" s="91" t="s">
        <v>37</v>
      </c>
      <c r="C21" s="92" t="s">
        <v>95</v>
      </c>
      <c r="D21" s="92">
        <v>6</v>
      </c>
      <c r="E21" s="92">
        <v>509</v>
      </c>
      <c r="F21" s="92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Разработчик1[50 %]</v>
      </c>
      <c r="G21" s="93">
        <f>Оценка!D25</f>
        <v>40</v>
      </c>
      <c r="H21" s="92">
        <v>50</v>
      </c>
      <c r="I21" s="94" t="s">
        <v>163</v>
      </c>
    </row>
    <row r="22" spans="1:9" ht="30" x14ac:dyDescent="0.25">
      <c r="A22" s="78">
        <v>14</v>
      </c>
      <c r="B22" s="75" t="s">
        <v>30</v>
      </c>
      <c r="C22" s="75" t="s">
        <v>87</v>
      </c>
      <c r="D22" s="75">
        <v>13</v>
      </c>
      <c r="E22" s="75">
        <v>503</v>
      </c>
      <c r="F22" s="75" t="str">
        <f>IF(Таблица1[[#This Row],[Проценты]]="",Таблица1[[#This Row],[Исполнитель]],CONCATENATE(Таблица1[[#This Row],[Исполнитель]],"[",Таблица1[[#This Row],[Проценты]]," %]"))</f>
        <v>Разработчик1[20 %]</v>
      </c>
      <c r="G22" s="74">
        <f>Оценка!D19</f>
        <v>5</v>
      </c>
      <c r="H22" s="92">
        <v>20</v>
      </c>
      <c r="I22" s="73" t="s">
        <v>163</v>
      </c>
    </row>
    <row r="23" spans="1:9" ht="30" x14ac:dyDescent="0.25">
      <c r="A23" s="77">
        <v>15</v>
      </c>
      <c r="B23" s="75" t="s">
        <v>96</v>
      </c>
      <c r="C23" s="75" t="s">
        <v>96</v>
      </c>
      <c r="D23" s="75" t="s">
        <v>168</v>
      </c>
      <c r="E23" s="75">
        <v>512</v>
      </c>
      <c r="F23" s="75" t="str">
        <f>IF(Таблица1[[#This Row],[Проценты]]="",Таблица1[[#This Row],[Исполнитель]],CONCATENATE(Таблица1[[#This Row],[Исполнитель]],"[",Таблица1[[#This Row],[Проценты]]," %]"))</f>
        <v>Тестировщик1[50 %]</v>
      </c>
      <c r="G23" s="74">
        <v>30</v>
      </c>
      <c r="H23" s="73">
        <v>50</v>
      </c>
      <c r="I23" s="1" t="s">
        <v>170</v>
      </c>
    </row>
    <row r="24" spans="1:9" ht="30" x14ac:dyDescent="0.25">
      <c r="A24" s="77">
        <v>16</v>
      </c>
      <c r="B24" s="75" t="s">
        <v>34</v>
      </c>
      <c r="C24" s="75" t="s">
        <v>0</v>
      </c>
      <c r="D24" s="75">
        <v>6</v>
      </c>
      <c r="E24" s="75">
        <v>511</v>
      </c>
      <c r="F24" s="75" t="str">
        <f>IF(Таблица1[[#This Row],[Проценты]]="",Таблица1[[#This Row],[Исполнитель]],CONCATENATE(Таблица1[[#This Row],[Исполнитель]],"[",Таблица1[[#This Row],[Проценты]]," %]"))</f>
        <v>Подрядчик[50 %]</v>
      </c>
      <c r="G24" s="74">
        <f>Оценка!D29</f>
        <v>50</v>
      </c>
      <c r="H24" s="73">
        <v>50</v>
      </c>
      <c r="I24" s="73" t="s">
        <v>33</v>
      </c>
    </row>
  </sheetData>
  <pageMargins left="0.7" right="0.7" top="0.75" bottom="0.75" header="0.3" footer="0.3"/>
  <pageSetup paperSize="9" orientation="portrait" r:id="rId1"/>
  <ignoredErrors>
    <ignoredError sqref="G16:G18 G22:G24" calculatedColum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Справочники!$C$2:$C$4</xm:f>
          </x14:formula1>
          <xm:sqref>B4:C4</xm:sqref>
        </x14:dataValidation>
        <x14:dataValidation type="list" showInputMessage="1" showErrorMessage="1">
          <x14:formula1>
            <xm:f>Справочники!$B$2:$B$3</xm:f>
          </x14:formula1>
          <xm:sqref>B5:C5</xm:sqref>
        </x14:dataValidation>
        <x14:dataValidation type="list" allowBlank="1" showInputMessage="1" showErrorMessage="1">
          <x14:formula1>
            <xm:f>Справочники!$A$2:$A$3</xm:f>
          </x14:formula1>
          <xm:sqref>C2</xm:sqref>
        </x14:dataValidation>
        <x14:dataValidation type="list" allowBlank="1" showInputMessage="1" showErrorMessage="1">
          <x14:formula1>
            <xm:f>Справочники!$A$28:$A$34</xm:f>
          </x14:formula1>
          <xm:sqref>B1</xm:sqref>
        </x14:dataValidation>
        <x14:dataValidation type="list" allowBlank="1" showInputMessage="1" showErrorMessage="1">
          <x14:formula1>
            <xm:f>Справочники!$B$28:$B$77</xm:f>
          </x14:formula1>
          <xm:sqref>B2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FBA738D46B8C545A6D67A5D9179E626" ma:contentTypeVersion="0" ma:contentTypeDescription="Создание документа." ma:contentTypeScope="" ma:versionID="9f473e0b291382668614debc5d36aa4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8F7E9-60F0-4769-BD1B-491B9D9189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50A027-145D-4944-89ED-C0E817328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76BF1D7-A4D9-4478-A8BA-91CF146DE1C8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Оценка</vt:lpstr>
      <vt:lpstr>Детализация(при необходимости)</vt:lpstr>
      <vt:lpstr>Справочники</vt:lpstr>
      <vt:lpstr>Справочник для Project</vt:lpstr>
    </vt:vector>
  </TitlesOfParts>
  <Company>ООО "Хоум Кредит Энд Финанс Банк"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Толмасов Игорь Александрович</dc:creator>
  <cp:lastModifiedBy>Эрнест</cp:lastModifiedBy>
  <cp:lastPrinted>2014-02-21T11:57:58Z</cp:lastPrinted>
  <dcterms:created xsi:type="dcterms:W3CDTF">2014-01-20T05:45:55Z</dcterms:created>
  <dcterms:modified xsi:type="dcterms:W3CDTF">2020-06-08T11:45:39Z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0x0101001FBA738D46B8C545A6D67A5D9179E626</vt:lpwstr>
  </property>
</Properties>
</file>