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RITING\SCI_WRITING\TUGAS AKHIR Ver\TugasAkhir_TelU\Calculate\"/>
    </mc:Choice>
  </mc:AlternateContent>
  <xr:revisionPtr revIDLastSave="0" documentId="13_ncr:1_{F81F3892-175A-4109-B53A-9A84AA7ADEE9}" xr6:coauthVersionLast="47" xr6:coauthVersionMax="47" xr10:uidLastSave="{00000000-0000-0000-0000-000000000000}"/>
  <bookViews>
    <workbookView xWindow="-28920" yWindow="-120" windowWidth="29040" windowHeight="15720" activeTab="4" xr2:uid="{DDDC41D4-5E85-4C2D-8797-38F690069BD3}"/>
  </bookViews>
  <sheets>
    <sheet name="Deciding Factor" sheetId="1" r:id="rId1"/>
    <sheet name="Trial" sheetId="2" r:id="rId2"/>
    <sheet name="Main Parameter" sheetId="3" r:id="rId3"/>
    <sheet name="Main Parameter 2" sheetId="4" r:id="rId4"/>
    <sheet name="Prediksi Hasil" sheetId="5" r:id="rId5"/>
    <sheet name="As I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  <c r="L4" i="4"/>
  <c r="F9" i="6"/>
  <c r="F3" i="6"/>
  <c r="L2" i="6"/>
  <c r="L3" i="6"/>
  <c r="N8" i="6"/>
  <c r="N7" i="6"/>
  <c r="L7" i="6"/>
  <c r="C19" i="6"/>
  <c r="C17" i="6"/>
  <c r="C10" i="6"/>
  <c r="C16" i="6" s="1"/>
  <c r="F5" i="6"/>
  <c r="C2" i="6" s="1"/>
  <c r="I2" i="6"/>
  <c r="F2" i="6"/>
  <c r="C18" i="6" s="1"/>
  <c r="N11" i="5"/>
  <c r="F2" i="1"/>
  <c r="I4" i="5"/>
  <c r="I3" i="6" l="1"/>
  <c r="C15" i="6"/>
  <c r="G4" i="5"/>
  <c r="L3" i="4"/>
  <c r="L6" i="4" s="1"/>
  <c r="L2" i="4"/>
  <c r="C2" i="4"/>
  <c r="C17" i="4"/>
  <c r="C16" i="4"/>
  <c r="C15" i="4"/>
  <c r="C10" i="4"/>
  <c r="F7" i="4"/>
  <c r="I5" i="4"/>
  <c r="F5" i="4"/>
  <c r="C5" i="4"/>
  <c r="C4" i="4"/>
  <c r="C14" i="4" s="1"/>
  <c r="I2" i="4"/>
  <c r="I3" i="4" s="1"/>
  <c r="F2" i="4"/>
  <c r="C18" i="4" s="1"/>
  <c r="C3" i="3"/>
  <c r="C17" i="3"/>
  <c r="C15" i="3"/>
  <c r="C10" i="3"/>
  <c r="C16" i="3" s="1"/>
  <c r="F7" i="3"/>
  <c r="I5" i="3"/>
  <c r="F5" i="3"/>
  <c r="C5" i="3"/>
  <c r="C4" i="3"/>
  <c r="C14" i="3" s="1"/>
  <c r="I2" i="3"/>
  <c r="I3" i="3" s="1"/>
  <c r="F2" i="3"/>
  <c r="C18" i="3" s="1"/>
  <c r="L5" i="2"/>
  <c r="L6" i="2"/>
  <c r="L2" i="2"/>
  <c r="L3" i="2"/>
  <c r="C22" i="2"/>
  <c r="C21" i="2"/>
  <c r="C20" i="2"/>
  <c r="F5" i="2"/>
  <c r="F4" i="2"/>
  <c r="C5" i="2"/>
  <c r="I3" i="2"/>
  <c r="I4" i="2"/>
  <c r="I2" i="1"/>
  <c r="F3" i="2"/>
  <c r="C10" i="2"/>
  <c r="I5" i="2"/>
  <c r="F7" i="2"/>
  <c r="F5" i="1"/>
  <c r="C17" i="2"/>
  <c r="C16" i="2"/>
  <c r="I2" i="2"/>
  <c r="F2" i="2"/>
  <c r="C18" i="2" s="1"/>
  <c r="C19" i="1"/>
  <c r="C18" i="1"/>
  <c r="C17" i="1"/>
  <c r="C16" i="1"/>
  <c r="C10" i="1"/>
  <c r="F3" i="1"/>
  <c r="G3" i="5" s="1"/>
  <c r="G7" i="5" l="1"/>
  <c r="I3" i="1"/>
  <c r="C2" i="1"/>
  <c r="L4" i="6"/>
  <c r="N3" i="6"/>
  <c r="N2" i="6"/>
  <c r="I4" i="6"/>
  <c r="C15" i="1"/>
  <c r="L3" i="1"/>
  <c r="N3" i="1" s="1"/>
  <c r="P11" i="5"/>
  <c r="O11" i="5"/>
  <c r="Q11" i="5"/>
  <c r="R11" i="5"/>
  <c r="L5" i="4"/>
  <c r="F3" i="4"/>
  <c r="F4" i="4"/>
  <c r="F4" i="3"/>
  <c r="F3" i="3"/>
  <c r="I6" i="2"/>
  <c r="C15" i="2"/>
  <c r="C3" i="6" l="1"/>
  <c r="C4" i="6" s="1"/>
  <c r="C14" i="6" s="1"/>
  <c r="I6" i="6"/>
  <c r="I5" i="6"/>
  <c r="N2" i="1"/>
  <c r="G6" i="5"/>
  <c r="I6" i="5" s="1"/>
  <c r="G5" i="5"/>
  <c r="I4" i="1"/>
  <c r="L4" i="1"/>
  <c r="C19" i="4"/>
  <c r="L2" i="3"/>
  <c r="L3" i="3"/>
  <c r="I6" i="3"/>
  <c r="C19" i="3"/>
  <c r="C19" i="2"/>
  <c r="L4" i="2"/>
  <c r="C11" i="5" l="1"/>
  <c r="D11" i="5"/>
  <c r="C3" i="1"/>
  <c r="C4" i="1" s="1"/>
  <c r="C14" i="1" s="1"/>
  <c r="H11" i="5"/>
  <c r="G11" i="5"/>
  <c r="F11" i="5"/>
  <c r="E11" i="5"/>
  <c r="I6" i="1"/>
  <c r="I5" i="1"/>
  <c r="I5" i="5" s="1"/>
  <c r="C21" i="4"/>
  <c r="C20" i="4"/>
  <c r="I4" i="4"/>
  <c r="I6" i="4"/>
  <c r="C21" i="3"/>
  <c r="L4" i="3"/>
  <c r="L5" i="3"/>
  <c r="C20" i="3"/>
  <c r="I4" i="3"/>
  <c r="C4" i="2"/>
  <c r="C14" i="2" s="1"/>
  <c r="G17" i="5" l="1"/>
  <c r="F17" i="5"/>
  <c r="E17" i="5"/>
  <c r="D17" i="5"/>
  <c r="C17" i="5"/>
  <c r="C22" i="4"/>
  <c r="C22" i="3"/>
  <c r="L6" i="3"/>
</calcChain>
</file>

<file path=xl/sharedStrings.xml><?xml version="1.0" encoding="utf-8"?>
<sst xmlns="http://schemas.openxmlformats.org/spreadsheetml/2006/main" count="412" uniqueCount="89">
  <si>
    <t>Range Resolution</t>
  </si>
  <si>
    <t>Max Velocity</t>
  </si>
  <si>
    <t>Max Range</t>
  </si>
  <si>
    <t>MHz</t>
  </si>
  <si>
    <t>m/s</t>
  </si>
  <si>
    <t>Hz</t>
  </si>
  <si>
    <t>m</t>
  </si>
  <si>
    <t>Bandwidth</t>
  </si>
  <si>
    <t>Freq. Center (Fc)</t>
  </si>
  <si>
    <t>Speed of light (c)</t>
  </si>
  <si>
    <t>Bandwidth (B)</t>
  </si>
  <si>
    <t>Wavelength (λ)</t>
  </si>
  <si>
    <t>Velocity Resolution</t>
  </si>
  <si>
    <t>Max Velocity (Vmax)</t>
  </si>
  <si>
    <t>Max Range (Rmax)</t>
  </si>
  <si>
    <t>Range Resolution (Rres)</t>
  </si>
  <si>
    <t>Velocity Resolution (Vres)</t>
  </si>
  <si>
    <t>N Chirp</t>
  </si>
  <si>
    <t>s</t>
  </si>
  <si>
    <t>km/h</t>
  </si>
  <si>
    <t>Tf : N * Tc</t>
  </si>
  <si>
    <t>Time Chirp (Tc)</t>
  </si>
  <si>
    <t>Time Frame (Tf)</t>
  </si>
  <si>
    <t>Tf : λ / 2*Vres</t>
  </si>
  <si>
    <t>Tc : λ / 4*Vmax</t>
  </si>
  <si>
    <r>
      <t>λ</t>
    </r>
    <r>
      <rPr>
        <sz val="11"/>
        <color theme="1"/>
        <rFont val="Aptos Narrow"/>
        <family val="2"/>
        <charset val="1"/>
      </rPr>
      <t xml:space="preserve"> : c / Fc</t>
    </r>
  </si>
  <si>
    <t>Vres : λ / 2*Tf</t>
  </si>
  <si>
    <t>Vmax : λ / 4*Tc</t>
  </si>
  <si>
    <t>Rres : c / 2 * B</t>
  </si>
  <si>
    <t>Rmax : c * Fs / 2 * µ</t>
  </si>
  <si>
    <t>Frequency Sampling ADC (Fs)</t>
  </si>
  <si>
    <t>MS/s</t>
  </si>
  <si>
    <t>µ : B / Tc</t>
  </si>
  <si>
    <t>Chirp Rate (µ)</t>
  </si>
  <si>
    <t>Hz/s</t>
  </si>
  <si>
    <t>MHz/s</t>
  </si>
  <si>
    <t>km</t>
  </si>
  <si>
    <t>Kompilasi Parameter</t>
  </si>
  <si>
    <t>Km</t>
  </si>
  <si>
    <t>Frequency Center</t>
  </si>
  <si>
    <t>Constant</t>
  </si>
  <si>
    <t>Main Specification</t>
  </si>
  <si>
    <t>Main Parameter</t>
  </si>
  <si>
    <t>S/s</t>
  </si>
  <si>
    <t>µ : c * Fs / 2 * Rmax</t>
  </si>
  <si>
    <t>Validate</t>
  </si>
  <si>
    <t>Deciding Factor</t>
  </si>
  <si>
    <t>Value of Bandwidth depend on Range Resolution</t>
  </si>
  <si>
    <t>Time Chirp</t>
  </si>
  <si>
    <t>Time Frame</t>
  </si>
  <si>
    <t>N chirp</t>
  </si>
  <si>
    <t>Dependant Parameter</t>
  </si>
  <si>
    <t>For chirp rate to have the same value, Max Range need to be</t>
  </si>
  <si>
    <t>(half)*10^5 of Range Resolution</t>
  </si>
  <si>
    <t>Max Range Depend on Range Resolution</t>
  </si>
  <si>
    <t>Range Resolution depend on Max Range</t>
  </si>
  <si>
    <t>(half)*10^5 of Range Resolution or the other way around</t>
  </si>
  <si>
    <t>Jarak</t>
  </si>
  <si>
    <t>fb</t>
  </si>
  <si>
    <t>?</t>
  </si>
  <si>
    <t>c</t>
  </si>
  <si>
    <t>µ</t>
  </si>
  <si>
    <t>TC</t>
  </si>
  <si>
    <t>d0</t>
  </si>
  <si>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1"/>
      </rPr>
      <t>s</t>
    </r>
  </si>
  <si>
    <t>ms</t>
  </si>
  <si>
    <r>
      <t>Hz/</t>
    </r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1"/>
        <scheme val="minor"/>
      </rPr>
      <t>s</t>
    </r>
  </si>
  <si>
    <r>
      <t>Hz/</t>
    </r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1"/>
      </rPr>
      <t>s</t>
    </r>
  </si>
  <si>
    <t>Kecepatan</t>
  </si>
  <si>
    <t>v</t>
  </si>
  <si>
    <t>λ</t>
  </si>
  <si>
    <t>fd</t>
  </si>
  <si>
    <t>MHz/µs</t>
  </si>
  <si>
    <r>
      <t>m/µ</t>
    </r>
    <r>
      <rPr>
        <sz val="11"/>
        <color theme="1"/>
        <rFont val="Aptos Narrow"/>
        <family val="2"/>
        <charset val="1"/>
      </rPr>
      <t>s</t>
    </r>
  </si>
  <si>
    <t>BW</t>
  </si>
  <si>
    <t xml:space="preserve">limit to </t>
  </si>
  <si>
    <t>If Triangular</t>
  </si>
  <si>
    <t>Tc x 2</t>
  </si>
  <si>
    <t>since chirp only</t>
  </si>
  <si>
    <t>goes up or down</t>
  </si>
  <si>
    <t xml:space="preserve">Calculate parameter if 5,8 GHz FMCW with range resolution of </t>
  </si>
  <si>
    <t>XX cm, velocity resolution of XX m/s</t>
  </si>
  <si>
    <t>and maximum distance of XXX m</t>
  </si>
  <si>
    <t>with maximum velocity of XX Km/h</t>
  </si>
  <si>
    <t>Bandwidth i got is 5 MHz, thus the range resolution is?</t>
  </si>
  <si>
    <t>Chirp duration is XX us thus max velocity is XX km/h</t>
  </si>
  <si>
    <t>velocity res is XX km/hari thus frame duration is X ms</t>
  </si>
  <si>
    <t xml:space="preserve">Chirp rate (us) = B/Tc, 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</si>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</sst>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E+00"/>
  </numFmts>
  <fonts count="3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horizontal="centerContinuous"/>
    </xf>
    <xf numFmtId="0" fontId="0" fillId="2" borderId="0" xfId="0" applyFill="1"/>
    <xf numFmtId="0" fontId="0" fillId="3" borderId="0" xfId="0" applyFill="1"/>
    <xf numFmtId="165" fontId="0" fillId="0" borderId="1" xfId="0" applyNumberFormat="1" applyBorder="1"/>
    <xf numFmtId="0" fontId="0" fillId="2" borderId="1" xfId="0" applyFill="1" applyBorder="1"/>
    <xf numFmtId="166" fontId="0" fillId="2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166" fontId="0" fillId="3" borderId="1" xfId="0" applyNumberFormat="1" applyFill="1" applyBorder="1"/>
    <xf numFmtId="166" fontId="0" fillId="5" borderId="1" xfId="0" applyNumberFormat="1" applyFill="1" applyBorder="1"/>
    <xf numFmtId="0" fontId="0" fillId="5" borderId="1" xfId="0" applyFill="1" applyBorder="1"/>
    <xf numFmtId="166" fontId="0" fillId="6" borderId="1" xfId="0" applyNumberFormat="1" applyFill="1" applyBorder="1"/>
    <xf numFmtId="0" fontId="0" fillId="6" borderId="0" xfId="0" applyFill="1"/>
    <xf numFmtId="0" fontId="0" fillId="5" borderId="0" xfId="0" applyFill="1"/>
    <xf numFmtId="166" fontId="0" fillId="4" borderId="1" xfId="0" applyNumberFormat="1" applyFill="1" applyBorder="1"/>
    <xf numFmtId="0" fontId="0" fillId="4" borderId="0" xfId="0" applyFill="1"/>
    <xf numFmtId="0" fontId="0" fillId="6" borderId="1" xfId="0" applyFill="1" applyBorder="1"/>
    <xf numFmtId="165" fontId="0" fillId="3" borderId="1" xfId="0" applyNumberFormat="1" applyFill="1" applyBorder="1"/>
    <xf numFmtId="165" fontId="0" fillId="4" borderId="1" xfId="0" applyNumberFormat="1" applyFill="1" applyBorder="1"/>
    <xf numFmtId="0" fontId="0" fillId="7" borderId="1" xfId="0" applyFill="1" applyBorder="1"/>
    <xf numFmtId="166" fontId="0" fillId="7" borderId="1" xfId="0" applyNumberFormat="1" applyFill="1" applyBorder="1"/>
    <xf numFmtId="0" fontId="0" fillId="7" borderId="0" xfId="0" applyFill="1"/>
    <xf numFmtId="0" fontId="0" fillId="8" borderId="1" xfId="0" applyFill="1" applyBorder="1"/>
    <xf numFmtId="165" fontId="0" fillId="8" borderId="1" xfId="0" applyNumberFormat="1" applyFill="1" applyBorder="1"/>
    <xf numFmtId="166" fontId="0" fillId="8" borderId="1" xfId="0" applyNumberFormat="1" applyFill="1" applyBorder="1"/>
    <xf numFmtId="11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/>
    <xf numFmtId="2" fontId="0" fillId="0" borderId="1" xfId="0" applyNumberFormat="1" applyBorder="1"/>
    <xf numFmtId="2" fontId="0" fillId="0" borderId="0" xfId="0" applyNumberFormat="1"/>
    <xf numFmtId="164" fontId="0" fillId="0" borderId="0" xfId="0" applyNumberFormat="1"/>
    <xf numFmtId="1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518160</xdr:colOff>
      <xdr:row>2</xdr:row>
      <xdr:rowOff>7621</xdr:rowOff>
    </xdr:from>
    <xdr:to>
      <xdr:col>2</xdr:col>
      <xdr:colOff>1143000</xdr:colOff>
      <xdr:row>6</xdr:row>
      <xdr:rowOff>135002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248F07-7826-FC55-2C5E-6A8352066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" y="373381"/>
          <a:ext cx="2026920" cy="849376"/>
        </a:xfrm>
        <a:prstGeom prst="rect">
          <a:avLst/>
        </a:prstGeom>
      </xdr:spPr>
    </xdr:pic>
    <xdr:clientData/>
  </xdr:twoCellAnchor>
  <xdr:twoCellAnchor editAs="oneCell">
    <xdr:from>
      <xdr:col>12</xdr:col>
      <xdr:colOff>579120</xdr:colOff>
      <xdr:row>1</xdr:row>
      <xdr:rowOff>175260</xdr:rowOff>
    </xdr:from>
    <xdr:to>
      <xdr:col>16</xdr:col>
      <xdr:colOff>55514</xdr:colOff>
      <xdr:row>8</xdr:row>
      <xdr:rowOff>129713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6FD342-9A8D-1A6F-310D-AE53C5000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9660" y="358140"/>
          <a:ext cx="1924319" cy="12384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</xdr:colOff>
      <xdr:row>12</xdr:row>
      <xdr:rowOff>160478</xdr:rowOff>
    </xdr:from>
    <xdr:to>
      <xdr:col>14</xdr:col>
      <xdr:colOff>595418</xdr:colOff>
      <xdr:row>25</xdr:row>
      <xdr:rowOff>25419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ADAA5B-5056-DC16-D603-8951E5ACC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1660" y="2355038"/>
          <a:ext cx="3620558" cy="2242381"/>
        </a:xfrm>
        <a:prstGeom prst="rect">
          <a:avLst/>
        </a:prstGeom>
      </xdr:spPr>
    </xdr:pic>
    <xdr:clientData/>
  </xdr:twoCellAnchor>
  <xdr:twoCellAnchor editAs="oneCell">
    <xdr:from>
      <xdr:col>4</xdr:col>
      <xdr:colOff>1539240</xdr:colOff>
      <xdr:row>21</xdr:row>
      <xdr:rowOff>161025</xdr:rowOff>
    </xdr:from>
    <xdr:to>
      <xdr:col>9</xdr:col>
      <xdr:colOff>24009</xdr:colOff>
      <xdr:row>31</xdr:row>
      <xdr:rowOff>120593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EDD3EB-92E5-432B-55BD-4CF2E43A3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1160" y="4001505"/>
          <a:ext cx="3552069" cy="1788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6384-21B3-46F5-AFA0-801B98DE55FC}">
  <dimension ref="B1:O19"/>
  <sheetViews>
    <sheetView workbookViewId="0">
      <selection activeCell="L5" sqref="L5"/>
    </sheetView>
  </sheetViews>
  <sheetFormatPr defaultRowHeight="14.4" x14ac:dyDescent="0.3"/>
  <cols>
    <col min="2" max="2" width="23.21875" bestFit="1" customWidth="1"/>
    <col min="3" max="3" width="16.33203125" bestFit="1" customWidth="1"/>
    <col min="5" max="5" width="24.6640625" bestFit="1" customWidth="1"/>
    <col min="6" max="6" width="11" bestFit="1" customWidth="1"/>
    <col min="8" max="8" width="14.109375" bestFit="1" customWidth="1"/>
    <col min="9" max="9" width="11.5546875" bestFit="1" customWidth="1"/>
    <col min="10" max="10" width="10.44140625" customWidth="1"/>
    <col min="11" max="11" width="13.88671875" bestFit="1" customWidth="1"/>
    <col min="12" max="12" width="12.5546875" bestFit="1" customWidth="1"/>
  </cols>
  <sheetData>
    <row r="1" spans="2:15" x14ac:dyDescent="0.3">
      <c r="B1" t="s">
        <v>28</v>
      </c>
      <c r="C1" t="s">
        <v>29</v>
      </c>
      <c r="D1" s="1"/>
      <c r="E1" s="1" t="s">
        <v>25</v>
      </c>
      <c r="H1" t="s">
        <v>32</v>
      </c>
      <c r="K1" t="s">
        <v>20</v>
      </c>
      <c r="L1" t="s">
        <v>23</v>
      </c>
      <c r="M1" t="s">
        <v>24</v>
      </c>
    </row>
    <row r="2" spans="2:15" x14ac:dyDescent="0.3">
      <c r="B2" s="2" t="s">
        <v>15</v>
      </c>
      <c r="C2" s="3">
        <f>I2/(2*F5)</f>
        <v>10.714285714285714</v>
      </c>
      <c r="D2" t="s">
        <v>6</v>
      </c>
      <c r="E2" s="8" t="s">
        <v>8</v>
      </c>
      <c r="F2" s="9">
        <f>5.8*10^9</f>
        <v>5800000000</v>
      </c>
      <c r="G2" t="s">
        <v>5</v>
      </c>
      <c r="H2" s="8" t="s">
        <v>9</v>
      </c>
      <c r="I2" s="9">
        <f>3*10^8</f>
        <v>300000000</v>
      </c>
      <c r="J2" t="s">
        <v>4</v>
      </c>
      <c r="K2" s="2" t="s">
        <v>21</v>
      </c>
      <c r="L2" s="30">
        <v>1.0000000000000001E-5</v>
      </c>
      <c r="M2" t="s">
        <v>18</v>
      </c>
      <c r="N2" s="31">
        <f>L2*1000000</f>
        <v>10</v>
      </c>
      <c r="O2" s="1" t="s">
        <v>64</v>
      </c>
    </row>
    <row r="3" spans="2:15" x14ac:dyDescent="0.3">
      <c r="B3" s="2" t="s">
        <v>14</v>
      </c>
      <c r="C3" s="3">
        <f>(I2*F6)/(2*I4)</f>
        <v>2142.8571428571427</v>
      </c>
      <c r="D3" t="s">
        <v>6</v>
      </c>
      <c r="E3" s="2" t="s">
        <v>11</v>
      </c>
      <c r="F3" s="2">
        <f>I2/F2</f>
        <v>5.1724137931034482E-2</v>
      </c>
      <c r="G3" t="s">
        <v>6</v>
      </c>
      <c r="H3" s="2" t="s">
        <v>33</v>
      </c>
      <c r="I3" s="3">
        <f>F5/L2</f>
        <v>1400000000000</v>
      </c>
      <c r="J3" t="s">
        <v>34</v>
      </c>
      <c r="K3" s="2" t="s">
        <v>22</v>
      </c>
      <c r="L3" s="2">
        <f>F3/(2*C8)</f>
        <v>2.5862068965517241E-2</v>
      </c>
      <c r="M3" t="s">
        <v>18</v>
      </c>
      <c r="N3" s="31">
        <f>L3*1000</f>
        <v>25.862068965517242</v>
      </c>
      <c r="O3" t="s">
        <v>65</v>
      </c>
    </row>
    <row r="4" spans="2:15" x14ac:dyDescent="0.3">
      <c r="B4" s="2" t="s">
        <v>14</v>
      </c>
      <c r="C4" s="33">
        <f>C3/1000</f>
        <v>2.1428571428571428</v>
      </c>
      <c r="D4" t="s">
        <v>36</v>
      </c>
      <c r="E4" s="8" t="s">
        <v>10</v>
      </c>
      <c r="F4" s="8">
        <v>14</v>
      </c>
      <c r="G4" t="s">
        <v>3</v>
      </c>
      <c r="H4" s="2" t="s">
        <v>33</v>
      </c>
      <c r="I4" s="2">
        <f>F4/L2</f>
        <v>1400000</v>
      </c>
      <c r="J4" t="s">
        <v>35</v>
      </c>
      <c r="K4" s="2" t="s">
        <v>17</v>
      </c>
      <c r="L4" s="2">
        <f>L3/L2</f>
        <v>2586.2068965517237</v>
      </c>
    </row>
    <row r="5" spans="2:15" x14ac:dyDescent="0.3">
      <c r="E5" s="2" t="s">
        <v>7</v>
      </c>
      <c r="F5" s="3">
        <f>F4*10^6</f>
        <v>14000000</v>
      </c>
      <c r="G5" t="s">
        <v>5</v>
      </c>
      <c r="H5" s="2" t="s">
        <v>33</v>
      </c>
      <c r="I5" s="2">
        <f>F5/N2</f>
        <v>1400000</v>
      </c>
      <c r="J5" t="s">
        <v>66</v>
      </c>
    </row>
    <row r="6" spans="2:15" x14ac:dyDescent="0.3">
      <c r="E6" s="8" t="s">
        <v>30</v>
      </c>
      <c r="F6" s="8">
        <v>20</v>
      </c>
      <c r="G6" t="s">
        <v>31</v>
      </c>
      <c r="H6" s="2" t="s">
        <v>33</v>
      </c>
      <c r="I6" s="2">
        <f>F4/N2</f>
        <v>1.4</v>
      </c>
      <c r="J6" t="s">
        <v>72</v>
      </c>
    </row>
    <row r="7" spans="2:15" x14ac:dyDescent="0.3">
      <c r="B7" t="s">
        <v>27</v>
      </c>
      <c r="C7" t="s">
        <v>26</v>
      </c>
    </row>
    <row r="8" spans="2:15" x14ac:dyDescent="0.3">
      <c r="B8" s="8" t="s">
        <v>16</v>
      </c>
      <c r="C8" s="8">
        <v>1</v>
      </c>
      <c r="D8" t="s">
        <v>4</v>
      </c>
    </row>
    <row r="9" spans="2:15" x14ac:dyDescent="0.3">
      <c r="B9" s="8" t="s">
        <v>13</v>
      </c>
      <c r="C9" s="8">
        <v>15</v>
      </c>
      <c r="D9" t="s">
        <v>4</v>
      </c>
    </row>
    <row r="10" spans="2:15" x14ac:dyDescent="0.3">
      <c r="B10" s="2" t="s">
        <v>13</v>
      </c>
      <c r="C10" s="2">
        <f>C9*3.6</f>
        <v>54</v>
      </c>
      <c r="D10" t="s">
        <v>19</v>
      </c>
    </row>
    <row r="12" spans="2:15" x14ac:dyDescent="0.3">
      <c r="J12" s="5"/>
      <c r="K12" t="s">
        <v>46</v>
      </c>
    </row>
    <row r="13" spans="2:15" x14ac:dyDescent="0.3">
      <c r="B13" s="4" t="s">
        <v>37</v>
      </c>
      <c r="C13" s="4"/>
      <c r="D13" s="4"/>
    </row>
    <row r="14" spans="2:15" x14ac:dyDescent="0.3">
      <c r="B14" s="2" t="s">
        <v>2</v>
      </c>
      <c r="C14" s="2">
        <f>C4</f>
        <v>2.1428571428571428</v>
      </c>
      <c r="D14" s="2" t="s">
        <v>38</v>
      </c>
    </row>
    <row r="15" spans="2:15" x14ac:dyDescent="0.3">
      <c r="B15" s="2" t="s">
        <v>0</v>
      </c>
      <c r="C15" s="2">
        <f>C2</f>
        <v>10.714285714285714</v>
      </c>
      <c r="D15" s="2" t="s">
        <v>6</v>
      </c>
    </row>
    <row r="16" spans="2:15" x14ac:dyDescent="0.3">
      <c r="B16" s="2" t="s">
        <v>1</v>
      </c>
      <c r="C16" s="2">
        <f>C10</f>
        <v>54</v>
      </c>
      <c r="D16" s="2" t="s">
        <v>19</v>
      </c>
    </row>
    <row r="17" spans="2:4" x14ac:dyDescent="0.3">
      <c r="B17" s="2" t="s">
        <v>12</v>
      </c>
      <c r="C17" s="2">
        <f>C8</f>
        <v>1</v>
      </c>
      <c r="D17" s="2" t="s">
        <v>4</v>
      </c>
    </row>
    <row r="18" spans="2:4" x14ac:dyDescent="0.3">
      <c r="B18" s="2" t="s">
        <v>39</v>
      </c>
      <c r="C18" s="3">
        <f>F2</f>
        <v>5800000000</v>
      </c>
      <c r="D18" s="2" t="s">
        <v>5</v>
      </c>
    </row>
    <row r="19" spans="2:4" x14ac:dyDescent="0.3">
      <c r="B19" s="2" t="s">
        <v>7</v>
      </c>
      <c r="C19" s="2">
        <f>F4</f>
        <v>14</v>
      </c>
      <c r="D19" s="2" t="s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644EF-24F4-4B68-AF04-C5BF91D73B75}">
  <dimension ref="B1:M22"/>
  <sheetViews>
    <sheetView workbookViewId="0">
      <selection activeCell="E22" sqref="E22"/>
    </sheetView>
  </sheetViews>
  <sheetFormatPr defaultRowHeight="14.4" x14ac:dyDescent="0.3"/>
  <cols>
    <col min="2" max="2" width="21.5546875" bestFit="1" customWidth="1"/>
    <col min="3" max="3" width="16.33203125" bestFit="1" customWidth="1"/>
    <col min="4" max="4" width="11.77734375" customWidth="1"/>
    <col min="5" max="5" width="24.6640625" bestFit="1" customWidth="1"/>
    <col min="6" max="6" width="11" bestFit="1" customWidth="1"/>
    <col min="7" max="7" width="12.21875" customWidth="1"/>
    <col min="8" max="8" width="14.109375" bestFit="1" customWidth="1"/>
    <col min="9" max="9" width="16.33203125" bestFit="1" customWidth="1"/>
    <col min="10" max="10" width="10.77734375" customWidth="1"/>
    <col min="11" max="11" width="15.77734375" bestFit="1" customWidth="1"/>
    <col min="12" max="12" width="12.5546875" bestFit="1" customWidth="1"/>
  </cols>
  <sheetData>
    <row r="1" spans="2:13" x14ac:dyDescent="0.3">
      <c r="B1" t="s">
        <v>28</v>
      </c>
      <c r="C1" t="s">
        <v>29</v>
      </c>
      <c r="D1" s="1"/>
      <c r="E1" s="1" t="s">
        <v>25</v>
      </c>
      <c r="H1" s="19" t="s">
        <v>32</v>
      </c>
      <c r="I1" t="s">
        <v>44</v>
      </c>
      <c r="K1" t="s">
        <v>20</v>
      </c>
      <c r="L1" t="s">
        <v>23</v>
      </c>
      <c r="M1" t="s">
        <v>24</v>
      </c>
    </row>
    <row r="2" spans="2:13" x14ac:dyDescent="0.3">
      <c r="B2" s="11" t="s">
        <v>15</v>
      </c>
      <c r="C2" s="12">
        <v>3</v>
      </c>
      <c r="D2" t="s">
        <v>6</v>
      </c>
      <c r="E2" s="14" t="s">
        <v>8</v>
      </c>
      <c r="F2" s="13">
        <f>3*10^9</f>
        <v>3000000000</v>
      </c>
      <c r="G2" t="s">
        <v>5</v>
      </c>
      <c r="H2" s="20" t="s">
        <v>9</v>
      </c>
      <c r="I2" s="15">
        <f>3*10^8</f>
        <v>300000000</v>
      </c>
      <c r="J2" t="s">
        <v>4</v>
      </c>
      <c r="K2" s="11" t="s">
        <v>21</v>
      </c>
      <c r="L2" s="21">
        <f>F3/(4*C9)</f>
        <v>1.6666666666666668E-3</v>
      </c>
      <c r="M2" t="s">
        <v>18</v>
      </c>
    </row>
    <row r="3" spans="2:13" x14ac:dyDescent="0.3">
      <c r="B3" s="11" t="s">
        <v>14</v>
      </c>
      <c r="C3" s="12">
        <v>150000</v>
      </c>
      <c r="D3" t="s">
        <v>6</v>
      </c>
      <c r="E3" s="2" t="s">
        <v>11</v>
      </c>
      <c r="F3" s="3">
        <f>I2/F2</f>
        <v>0.1</v>
      </c>
      <c r="G3" t="s">
        <v>6</v>
      </c>
      <c r="H3" s="2" t="s">
        <v>33</v>
      </c>
      <c r="I3" s="3">
        <f>I2*F7/(2*C3)</f>
        <v>30000000000</v>
      </c>
      <c r="J3" t="s">
        <v>34</v>
      </c>
      <c r="K3" s="11" t="s">
        <v>22</v>
      </c>
      <c r="L3" s="11">
        <f>F3/(2*C8)</f>
        <v>0.05</v>
      </c>
      <c r="M3" t="s">
        <v>18</v>
      </c>
    </row>
    <row r="4" spans="2:13" x14ac:dyDescent="0.3">
      <c r="B4" s="2" t="s">
        <v>14</v>
      </c>
      <c r="C4" s="2">
        <f>C3/1000</f>
        <v>150</v>
      </c>
      <c r="D4" t="s">
        <v>36</v>
      </c>
      <c r="E4" s="2" t="s">
        <v>10</v>
      </c>
      <c r="F4" s="3">
        <f>F5/10^6</f>
        <v>50</v>
      </c>
      <c r="G4" t="s">
        <v>3</v>
      </c>
      <c r="H4" s="10" t="s">
        <v>33</v>
      </c>
      <c r="I4" s="18">
        <f>F5/L2</f>
        <v>29999999999.999996</v>
      </c>
      <c r="J4" t="s">
        <v>34</v>
      </c>
      <c r="K4" s="11" t="s">
        <v>17</v>
      </c>
      <c r="L4" s="11">
        <f>L3/L2</f>
        <v>30</v>
      </c>
    </row>
    <row r="5" spans="2:13" x14ac:dyDescent="0.3">
      <c r="B5" s="2" t="s">
        <v>15</v>
      </c>
      <c r="C5" s="3">
        <f>C2/1000</f>
        <v>3.0000000000000001E-3</v>
      </c>
      <c r="D5" t="s">
        <v>36</v>
      </c>
      <c r="E5" s="14" t="s">
        <v>7</v>
      </c>
      <c r="F5" s="13">
        <f>I2/(2*C2)</f>
        <v>50000000</v>
      </c>
      <c r="G5" t="s">
        <v>5</v>
      </c>
      <c r="H5" s="2" t="s">
        <v>33</v>
      </c>
      <c r="I5" s="3">
        <f>I2*F6/(2*C3)</f>
        <v>30000</v>
      </c>
      <c r="J5" t="s">
        <v>35</v>
      </c>
      <c r="K5" s="10" t="s">
        <v>21</v>
      </c>
      <c r="L5" s="22">
        <f>L3/L4</f>
        <v>1.6666666666666668E-3</v>
      </c>
      <c r="M5" t="s">
        <v>18</v>
      </c>
    </row>
    <row r="6" spans="2:13" x14ac:dyDescent="0.3">
      <c r="E6" s="14" t="s">
        <v>30</v>
      </c>
      <c r="F6" s="14">
        <v>30</v>
      </c>
      <c r="G6" t="s">
        <v>31</v>
      </c>
      <c r="H6" s="10" t="s">
        <v>33</v>
      </c>
      <c r="I6" s="18">
        <f>F4/L2</f>
        <v>29999.999999999996</v>
      </c>
      <c r="J6" t="s">
        <v>35</v>
      </c>
      <c r="K6" s="10" t="s">
        <v>22</v>
      </c>
      <c r="L6" s="10">
        <f>L4*L2</f>
        <v>0.05</v>
      </c>
      <c r="M6" t="s">
        <v>18</v>
      </c>
    </row>
    <row r="7" spans="2:13" x14ac:dyDescent="0.3">
      <c r="B7" t="s">
        <v>27</v>
      </c>
      <c r="C7" t="s">
        <v>26</v>
      </c>
      <c r="E7" s="14" t="s">
        <v>30</v>
      </c>
      <c r="F7" s="14">
        <f>F6*10^6</f>
        <v>30000000</v>
      </c>
      <c r="G7" t="s">
        <v>43</v>
      </c>
    </row>
    <row r="8" spans="2:13" x14ac:dyDescent="0.3">
      <c r="B8" s="11" t="s">
        <v>16</v>
      </c>
      <c r="C8" s="11">
        <v>1</v>
      </c>
      <c r="D8" t="s">
        <v>4</v>
      </c>
    </row>
    <row r="9" spans="2:13" x14ac:dyDescent="0.3">
      <c r="B9" s="11" t="s">
        <v>13</v>
      </c>
      <c r="C9" s="11">
        <v>15</v>
      </c>
      <c r="D9" t="s">
        <v>4</v>
      </c>
    </row>
    <row r="10" spans="2:13" x14ac:dyDescent="0.3">
      <c r="B10" s="2" t="s">
        <v>13</v>
      </c>
      <c r="C10" s="2">
        <f>C9*3.6</f>
        <v>54</v>
      </c>
      <c r="D10" t="s">
        <v>19</v>
      </c>
    </row>
    <row r="11" spans="2:13" x14ac:dyDescent="0.3">
      <c r="J11" t="s">
        <v>47</v>
      </c>
    </row>
    <row r="13" spans="2:13" x14ac:dyDescent="0.3">
      <c r="B13" s="4" t="s">
        <v>37</v>
      </c>
      <c r="C13" s="4"/>
      <c r="D13" s="4"/>
    </row>
    <row r="14" spans="2:13" x14ac:dyDescent="0.3">
      <c r="B14" s="2" t="s">
        <v>2</v>
      </c>
      <c r="C14" s="2">
        <f>C4</f>
        <v>150</v>
      </c>
      <c r="D14" s="2" t="s">
        <v>38</v>
      </c>
      <c r="J14" s="16"/>
      <c r="K14" t="s">
        <v>40</v>
      </c>
    </row>
    <row r="15" spans="2:13" x14ac:dyDescent="0.3">
      <c r="B15" s="2" t="s">
        <v>0</v>
      </c>
      <c r="C15" s="2">
        <f>C2</f>
        <v>3</v>
      </c>
      <c r="D15" s="2" t="s">
        <v>6</v>
      </c>
      <c r="J15" s="6"/>
      <c r="K15" t="s">
        <v>42</v>
      </c>
    </row>
    <row r="16" spans="2:13" x14ac:dyDescent="0.3">
      <c r="B16" s="2" t="s">
        <v>1</v>
      </c>
      <c r="C16" s="2">
        <f>C10</f>
        <v>54</v>
      </c>
      <c r="D16" s="2" t="s">
        <v>19</v>
      </c>
      <c r="J16" s="17"/>
      <c r="K16" t="s">
        <v>41</v>
      </c>
    </row>
    <row r="17" spans="2:11" x14ac:dyDescent="0.3">
      <c r="B17" s="2" t="s">
        <v>12</v>
      </c>
      <c r="C17" s="2">
        <f>C8</f>
        <v>1</v>
      </c>
      <c r="D17" s="2" t="s">
        <v>4</v>
      </c>
      <c r="J17" s="19"/>
      <c r="K17" t="s">
        <v>45</v>
      </c>
    </row>
    <row r="18" spans="2:11" x14ac:dyDescent="0.3">
      <c r="B18" s="2" t="s">
        <v>39</v>
      </c>
      <c r="C18" s="3">
        <f>F2</f>
        <v>3000000000</v>
      </c>
      <c r="D18" s="2" t="s">
        <v>5</v>
      </c>
    </row>
    <row r="19" spans="2:11" x14ac:dyDescent="0.3">
      <c r="B19" s="2" t="s">
        <v>7</v>
      </c>
      <c r="C19" s="2">
        <f>F4</f>
        <v>50</v>
      </c>
      <c r="D19" s="2" t="s">
        <v>3</v>
      </c>
    </row>
    <row r="20" spans="2:11" x14ac:dyDescent="0.3">
      <c r="B20" s="2" t="s">
        <v>48</v>
      </c>
      <c r="C20" s="7">
        <f>L2</f>
        <v>1.6666666666666668E-3</v>
      </c>
      <c r="D20" s="2" t="s">
        <v>18</v>
      </c>
    </row>
    <row r="21" spans="2:11" x14ac:dyDescent="0.3">
      <c r="B21" s="2" t="s">
        <v>49</v>
      </c>
      <c r="C21" s="2">
        <f>L3</f>
        <v>0.05</v>
      </c>
      <c r="D21" s="2" t="s">
        <v>18</v>
      </c>
    </row>
    <row r="22" spans="2:11" x14ac:dyDescent="0.3">
      <c r="B22" s="2" t="s">
        <v>50</v>
      </c>
      <c r="C22" s="2">
        <f>L4</f>
        <v>30</v>
      </c>
      <c r="D22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E27E-D596-4973-9CCC-D23A1C3B9F11}">
  <dimension ref="B1:M22"/>
  <sheetViews>
    <sheetView workbookViewId="0">
      <selection activeCell="C3" sqref="C3"/>
    </sheetView>
  </sheetViews>
  <sheetFormatPr defaultRowHeight="14.4" x14ac:dyDescent="0.3"/>
  <cols>
    <col min="2" max="2" width="21.5546875" bestFit="1" customWidth="1"/>
    <col min="3" max="3" width="16.33203125" bestFit="1" customWidth="1"/>
    <col min="4" max="4" width="11.77734375" customWidth="1"/>
    <col min="5" max="5" width="24.6640625" bestFit="1" customWidth="1"/>
    <col min="6" max="6" width="11" bestFit="1" customWidth="1"/>
    <col min="7" max="7" width="12.21875" customWidth="1"/>
    <col min="8" max="8" width="14.109375" bestFit="1" customWidth="1"/>
    <col min="9" max="9" width="16.33203125" bestFit="1" customWidth="1"/>
    <col min="10" max="10" width="10.77734375" customWidth="1"/>
    <col min="11" max="11" width="15.77734375" bestFit="1" customWidth="1"/>
    <col min="12" max="12" width="12.5546875" bestFit="1" customWidth="1"/>
    <col min="13" max="13" width="12.6640625" bestFit="1" customWidth="1"/>
  </cols>
  <sheetData>
    <row r="1" spans="2:13" x14ac:dyDescent="0.3">
      <c r="B1" t="s">
        <v>28</v>
      </c>
      <c r="C1" t="s">
        <v>29</v>
      </c>
      <c r="D1" s="1"/>
      <c r="E1" s="1" t="s">
        <v>25</v>
      </c>
      <c r="H1" s="19" t="s">
        <v>32</v>
      </c>
      <c r="I1" t="s">
        <v>44</v>
      </c>
      <c r="K1" t="s">
        <v>20</v>
      </c>
      <c r="L1" t="s">
        <v>23</v>
      </c>
      <c r="M1" t="s">
        <v>24</v>
      </c>
    </row>
    <row r="2" spans="2:13" x14ac:dyDescent="0.3">
      <c r="B2" s="11" t="s">
        <v>15</v>
      </c>
      <c r="C2" s="12">
        <v>3</v>
      </c>
      <c r="D2" t="s">
        <v>6</v>
      </c>
      <c r="E2" s="14" t="s">
        <v>8</v>
      </c>
      <c r="F2" s="13">
        <f>3*10^9</f>
        <v>3000000000</v>
      </c>
      <c r="G2" t="s">
        <v>5</v>
      </c>
      <c r="H2" s="20" t="s">
        <v>9</v>
      </c>
      <c r="I2" s="15">
        <f>3*10^8</f>
        <v>300000000</v>
      </c>
      <c r="J2" t="s">
        <v>4</v>
      </c>
      <c r="K2" s="11" t="s">
        <v>21</v>
      </c>
      <c r="L2" s="21">
        <f>F3/(4*C9)</f>
        <v>1.6666666666666668E-3</v>
      </c>
      <c r="M2" t="s">
        <v>18</v>
      </c>
    </row>
    <row r="3" spans="2:13" x14ac:dyDescent="0.3">
      <c r="B3" s="23" t="s">
        <v>14</v>
      </c>
      <c r="C3" s="24">
        <f>(C2/2)*100000</f>
        <v>150000</v>
      </c>
      <c r="D3" t="s">
        <v>6</v>
      </c>
      <c r="E3" s="2" t="s">
        <v>11</v>
      </c>
      <c r="F3" s="3">
        <f>I2/F2</f>
        <v>0.1</v>
      </c>
      <c r="G3" t="s">
        <v>6</v>
      </c>
      <c r="H3" s="2" t="s">
        <v>33</v>
      </c>
      <c r="I3" s="3">
        <f>I2*F7/(2*C3)</f>
        <v>30000000000</v>
      </c>
      <c r="J3" t="s">
        <v>34</v>
      </c>
      <c r="K3" s="11" t="s">
        <v>22</v>
      </c>
      <c r="L3" s="11">
        <f>F3/(2*C8)</f>
        <v>0.05</v>
      </c>
      <c r="M3" t="s">
        <v>18</v>
      </c>
    </row>
    <row r="4" spans="2:13" x14ac:dyDescent="0.3">
      <c r="B4" s="2" t="s">
        <v>14</v>
      </c>
      <c r="C4" s="2">
        <f>C3/1000</f>
        <v>150</v>
      </c>
      <c r="D4" t="s">
        <v>36</v>
      </c>
      <c r="E4" s="2" t="s">
        <v>10</v>
      </c>
      <c r="F4" s="3">
        <f>F5/10^6</f>
        <v>50</v>
      </c>
      <c r="G4" t="s">
        <v>3</v>
      </c>
      <c r="H4" s="10" t="s">
        <v>33</v>
      </c>
      <c r="I4" s="18">
        <f>F5/L2</f>
        <v>29999999999.999996</v>
      </c>
      <c r="J4" t="s">
        <v>34</v>
      </c>
      <c r="K4" s="11" t="s">
        <v>17</v>
      </c>
      <c r="L4" s="11">
        <f>L3/L2</f>
        <v>30</v>
      </c>
    </row>
    <row r="5" spans="2:13" x14ac:dyDescent="0.3">
      <c r="B5" s="2" t="s">
        <v>15</v>
      </c>
      <c r="C5" s="3">
        <f>C2/1000</f>
        <v>3.0000000000000001E-3</v>
      </c>
      <c r="D5" t="s">
        <v>36</v>
      </c>
      <c r="E5" s="14" t="s">
        <v>7</v>
      </c>
      <c r="F5" s="13">
        <f>I2/(2*C2)</f>
        <v>50000000</v>
      </c>
      <c r="G5" t="s">
        <v>5</v>
      </c>
      <c r="H5" s="2" t="s">
        <v>33</v>
      </c>
      <c r="I5" s="3">
        <f>I2*F6/(2*C3)</f>
        <v>30000</v>
      </c>
      <c r="J5" t="s">
        <v>35</v>
      </c>
      <c r="K5" s="10" t="s">
        <v>21</v>
      </c>
      <c r="L5" s="22">
        <f>L3/L4</f>
        <v>1.6666666666666668E-3</v>
      </c>
      <c r="M5" t="s">
        <v>18</v>
      </c>
    </row>
    <row r="6" spans="2:13" x14ac:dyDescent="0.3">
      <c r="E6" s="14" t="s">
        <v>30</v>
      </c>
      <c r="F6" s="14">
        <v>30</v>
      </c>
      <c r="G6" t="s">
        <v>31</v>
      </c>
      <c r="H6" s="10" t="s">
        <v>33</v>
      </c>
      <c r="I6" s="18">
        <f>F4/L2</f>
        <v>29999.999999999996</v>
      </c>
      <c r="J6" t="s">
        <v>35</v>
      </c>
      <c r="K6" s="10" t="s">
        <v>22</v>
      </c>
      <c r="L6" s="10">
        <f>L4*L2</f>
        <v>0.05</v>
      </c>
      <c r="M6" t="s">
        <v>18</v>
      </c>
    </row>
    <row r="7" spans="2:13" x14ac:dyDescent="0.3">
      <c r="B7" t="s">
        <v>27</v>
      </c>
      <c r="C7" t="s">
        <v>26</v>
      </c>
      <c r="E7" s="14" t="s">
        <v>30</v>
      </c>
      <c r="F7" s="14">
        <f>F6*10^6</f>
        <v>30000000</v>
      </c>
      <c r="G7" t="s">
        <v>43</v>
      </c>
    </row>
    <row r="8" spans="2:13" x14ac:dyDescent="0.3">
      <c r="B8" s="11" t="s">
        <v>16</v>
      </c>
      <c r="C8" s="11">
        <v>1</v>
      </c>
      <c r="D8" t="s">
        <v>4</v>
      </c>
    </row>
    <row r="9" spans="2:13" x14ac:dyDescent="0.3">
      <c r="B9" s="11" t="s">
        <v>13</v>
      </c>
      <c r="C9" s="11">
        <v>15</v>
      </c>
      <c r="D9" t="s">
        <v>4</v>
      </c>
    </row>
    <row r="10" spans="2:13" x14ac:dyDescent="0.3">
      <c r="B10" s="2" t="s">
        <v>13</v>
      </c>
      <c r="C10" s="2">
        <f>C9*3.6</f>
        <v>54</v>
      </c>
      <c r="D10" t="s">
        <v>19</v>
      </c>
    </row>
    <row r="11" spans="2:13" x14ac:dyDescent="0.3">
      <c r="J11" t="s">
        <v>47</v>
      </c>
    </row>
    <row r="12" spans="2:13" x14ac:dyDescent="0.3">
      <c r="J12" t="s">
        <v>52</v>
      </c>
    </row>
    <row r="13" spans="2:13" x14ac:dyDescent="0.3">
      <c r="B13" s="4" t="s">
        <v>37</v>
      </c>
      <c r="C13" s="4"/>
      <c r="D13" s="4"/>
      <c r="J13" t="s">
        <v>53</v>
      </c>
    </row>
    <row r="14" spans="2:13" x14ac:dyDescent="0.3">
      <c r="B14" s="2" t="s">
        <v>2</v>
      </c>
      <c r="C14" s="2">
        <f>C4</f>
        <v>150</v>
      </c>
      <c r="D14" s="2" t="s">
        <v>38</v>
      </c>
      <c r="J14" s="16"/>
      <c r="K14" t="s">
        <v>40</v>
      </c>
    </row>
    <row r="15" spans="2:13" x14ac:dyDescent="0.3">
      <c r="B15" s="2" t="s">
        <v>0</v>
      </c>
      <c r="C15" s="2">
        <f>C2</f>
        <v>3</v>
      </c>
      <c r="D15" s="2" t="s">
        <v>6</v>
      </c>
      <c r="J15" s="6"/>
      <c r="K15" t="s">
        <v>42</v>
      </c>
      <c r="L15" s="25"/>
      <c r="M15" t="s">
        <v>51</v>
      </c>
    </row>
    <row r="16" spans="2:13" x14ac:dyDescent="0.3">
      <c r="B16" s="2" t="s">
        <v>1</v>
      </c>
      <c r="C16" s="2">
        <f>C10</f>
        <v>54</v>
      </c>
      <c r="D16" s="2" t="s">
        <v>19</v>
      </c>
      <c r="J16" s="17"/>
      <c r="K16" t="s">
        <v>41</v>
      </c>
    </row>
    <row r="17" spans="2:11" x14ac:dyDescent="0.3">
      <c r="B17" s="2" t="s">
        <v>12</v>
      </c>
      <c r="C17" s="2">
        <f>C8</f>
        <v>1</v>
      </c>
      <c r="D17" s="2" t="s">
        <v>4</v>
      </c>
      <c r="J17" s="19"/>
      <c r="K17" t="s">
        <v>45</v>
      </c>
    </row>
    <row r="18" spans="2:11" x14ac:dyDescent="0.3">
      <c r="B18" s="2" t="s">
        <v>39</v>
      </c>
      <c r="C18" s="3">
        <f>F2</f>
        <v>3000000000</v>
      </c>
      <c r="D18" s="2" t="s">
        <v>5</v>
      </c>
    </row>
    <row r="19" spans="2:11" x14ac:dyDescent="0.3">
      <c r="B19" s="2" t="s">
        <v>7</v>
      </c>
      <c r="C19" s="2">
        <f>F4</f>
        <v>50</v>
      </c>
      <c r="D19" s="2" t="s">
        <v>3</v>
      </c>
      <c r="J19" t="s">
        <v>54</v>
      </c>
    </row>
    <row r="20" spans="2:11" x14ac:dyDescent="0.3">
      <c r="B20" s="2" t="s">
        <v>48</v>
      </c>
      <c r="C20" s="7">
        <f>L2</f>
        <v>1.6666666666666668E-3</v>
      </c>
      <c r="D20" s="2" t="s">
        <v>18</v>
      </c>
    </row>
    <row r="21" spans="2:11" x14ac:dyDescent="0.3">
      <c r="B21" s="2" t="s">
        <v>49</v>
      </c>
      <c r="C21" s="2">
        <f>L3</f>
        <v>0.05</v>
      </c>
      <c r="D21" s="2" t="s">
        <v>18</v>
      </c>
    </row>
    <row r="22" spans="2:11" x14ac:dyDescent="0.3">
      <c r="B22" s="2" t="s">
        <v>50</v>
      </c>
      <c r="C22" s="2">
        <f>L4</f>
        <v>30</v>
      </c>
      <c r="D22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8A4-8C23-45CF-BA86-A94FEB94C798}">
  <dimension ref="B1:M22"/>
  <sheetViews>
    <sheetView workbookViewId="0">
      <selection activeCell="F17" sqref="F17"/>
    </sheetView>
  </sheetViews>
  <sheetFormatPr defaultRowHeight="14.4" x14ac:dyDescent="0.3"/>
  <cols>
    <col min="2" max="2" width="21.5546875" bestFit="1" customWidth="1"/>
    <col min="3" max="3" width="16.33203125" bestFit="1" customWidth="1"/>
    <col min="4" max="4" width="11.77734375" customWidth="1"/>
    <col min="5" max="5" width="24.6640625" bestFit="1" customWidth="1"/>
    <col min="6" max="6" width="11" bestFit="1" customWidth="1"/>
    <col min="7" max="7" width="12.21875" customWidth="1"/>
    <col min="8" max="8" width="14.109375" bestFit="1" customWidth="1"/>
    <col min="9" max="9" width="16.33203125" bestFit="1" customWidth="1"/>
    <col min="10" max="10" width="10.77734375" customWidth="1"/>
    <col min="11" max="11" width="15.77734375" bestFit="1" customWidth="1"/>
    <col min="12" max="12" width="12.5546875" bestFit="1" customWidth="1"/>
    <col min="13" max="13" width="12.6640625" bestFit="1" customWidth="1"/>
  </cols>
  <sheetData>
    <row r="1" spans="2:13" x14ac:dyDescent="0.3">
      <c r="B1" t="s">
        <v>28</v>
      </c>
      <c r="C1" t="s">
        <v>29</v>
      </c>
      <c r="D1" s="1"/>
      <c r="E1" s="1" t="s">
        <v>25</v>
      </c>
      <c r="H1" s="19" t="s">
        <v>32</v>
      </c>
      <c r="I1" t="s">
        <v>44</v>
      </c>
      <c r="K1" t="s">
        <v>20</v>
      </c>
      <c r="L1" t="s">
        <v>23</v>
      </c>
      <c r="M1" t="s">
        <v>24</v>
      </c>
    </row>
    <row r="2" spans="2:13" x14ac:dyDescent="0.3">
      <c r="B2" s="23" t="s">
        <v>15</v>
      </c>
      <c r="C2" s="24">
        <f>(C3/10^5)*2</f>
        <v>3</v>
      </c>
      <c r="D2" t="s">
        <v>6</v>
      </c>
      <c r="E2" s="14" t="s">
        <v>8</v>
      </c>
      <c r="F2" s="13">
        <f>3*10^9</f>
        <v>3000000000</v>
      </c>
      <c r="G2" t="s">
        <v>5</v>
      </c>
      <c r="H2" s="20" t="s">
        <v>9</v>
      </c>
      <c r="I2" s="15">
        <f>3*10^8</f>
        <v>300000000</v>
      </c>
      <c r="J2" t="s">
        <v>4</v>
      </c>
      <c r="K2" s="26" t="s">
        <v>21</v>
      </c>
      <c r="L2" s="27">
        <f>F3/(4*C9)</f>
        <v>1.6666666666666668E-3</v>
      </c>
      <c r="M2" t="s">
        <v>18</v>
      </c>
    </row>
    <row r="3" spans="2:13" x14ac:dyDescent="0.3">
      <c r="B3" s="11" t="s">
        <v>14</v>
      </c>
      <c r="C3" s="12">
        <v>150000</v>
      </c>
      <c r="D3" t="s">
        <v>6</v>
      </c>
      <c r="E3" s="2" t="s">
        <v>11</v>
      </c>
      <c r="F3" s="3">
        <f>I2/F2</f>
        <v>0.1</v>
      </c>
      <c r="G3" t="s">
        <v>6</v>
      </c>
      <c r="H3" s="2" t="s">
        <v>33</v>
      </c>
      <c r="I3" s="29">
        <f>I2*F7/(2*C3)</f>
        <v>30000000000</v>
      </c>
      <c r="J3" t="s">
        <v>34</v>
      </c>
      <c r="K3" s="26" t="s">
        <v>22</v>
      </c>
      <c r="L3" s="28">
        <f>F3/(2*C8)</f>
        <v>0.05</v>
      </c>
      <c r="M3" t="s">
        <v>18</v>
      </c>
    </row>
    <row r="4" spans="2:13" x14ac:dyDescent="0.3">
      <c r="B4" s="2" t="s">
        <v>14</v>
      </c>
      <c r="C4" s="2">
        <f>C3/1000</f>
        <v>150</v>
      </c>
      <c r="D4" t="s">
        <v>36</v>
      </c>
      <c r="E4" s="2" t="s">
        <v>10</v>
      </c>
      <c r="F4" s="3">
        <f>F5/10^6</f>
        <v>50</v>
      </c>
      <c r="G4" t="s">
        <v>3</v>
      </c>
      <c r="H4" s="10" t="s">
        <v>33</v>
      </c>
      <c r="I4" s="18">
        <f>F5/L2</f>
        <v>29999999999.999996</v>
      </c>
      <c r="J4" t="s">
        <v>34</v>
      </c>
      <c r="K4" s="26" t="s">
        <v>17</v>
      </c>
      <c r="L4" s="28">
        <f>L3/L2</f>
        <v>30</v>
      </c>
    </row>
    <row r="5" spans="2:13" x14ac:dyDescent="0.3">
      <c r="B5" s="2" t="s">
        <v>15</v>
      </c>
      <c r="C5" s="3">
        <f>C2/1000</f>
        <v>3.0000000000000001E-3</v>
      </c>
      <c r="D5" t="s">
        <v>36</v>
      </c>
      <c r="E5" s="14" t="s">
        <v>7</v>
      </c>
      <c r="F5" s="13">
        <f>I2/(2*C2)</f>
        <v>50000000</v>
      </c>
      <c r="G5" t="s">
        <v>5</v>
      </c>
      <c r="H5" s="2" t="s">
        <v>33</v>
      </c>
      <c r="I5" s="3">
        <f>I2*F6/(2*C3)</f>
        <v>30000</v>
      </c>
      <c r="J5" t="s">
        <v>35</v>
      </c>
      <c r="K5" s="10" t="s">
        <v>21</v>
      </c>
      <c r="L5" s="22">
        <f>L3/L4</f>
        <v>1.6666666666666668E-3</v>
      </c>
      <c r="M5" t="s">
        <v>18</v>
      </c>
    </row>
    <row r="6" spans="2:13" x14ac:dyDescent="0.3">
      <c r="E6" s="14" t="s">
        <v>30</v>
      </c>
      <c r="F6" s="14">
        <v>30</v>
      </c>
      <c r="G6" t="s">
        <v>31</v>
      </c>
      <c r="H6" s="10" t="s">
        <v>33</v>
      </c>
      <c r="I6" s="18">
        <f>F4/L2</f>
        <v>29999.999999999996</v>
      </c>
      <c r="J6" t="s">
        <v>35</v>
      </c>
      <c r="K6" s="10" t="s">
        <v>22</v>
      </c>
      <c r="L6" s="10">
        <f>L4*L2</f>
        <v>0.05</v>
      </c>
      <c r="M6" t="s">
        <v>18</v>
      </c>
    </row>
    <row r="7" spans="2:13" x14ac:dyDescent="0.3">
      <c r="B7" t="s">
        <v>27</v>
      </c>
      <c r="C7" t="s">
        <v>26</v>
      </c>
      <c r="E7" s="14" t="s">
        <v>30</v>
      </c>
      <c r="F7" s="14">
        <f>F6*10^6</f>
        <v>30000000</v>
      </c>
      <c r="G7" t="s">
        <v>43</v>
      </c>
    </row>
    <row r="8" spans="2:13" x14ac:dyDescent="0.3">
      <c r="B8" s="11" t="s">
        <v>16</v>
      </c>
      <c r="C8" s="11">
        <v>1</v>
      </c>
      <c r="D8" t="s">
        <v>4</v>
      </c>
    </row>
    <row r="9" spans="2:13" x14ac:dyDescent="0.3">
      <c r="B9" s="11" t="s">
        <v>13</v>
      </c>
      <c r="C9" s="11">
        <v>15</v>
      </c>
      <c r="D9" t="s">
        <v>4</v>
      </c>
    </row>
    <row r="10" spans="2:13" x14ac:dyDescent="0.3">
      <c r="B10" s="2" t="s">
        <v>13</v>
      </c>
      <c r="C10" s="2">
        <f>C9*3.6</f>
        <v>54</v>
      </c>
      <c r="D10" t="s">
        <v>19</v>
      </c>
    </row>
    <row r="11" spans="2:13" x14ac:dyDescent="0.3">
      <c r="J11" t="s">
        <v>47</v>
      </c>
    </row>
    <row r="12" spans="2:13" x14ac:dyDescent="0.3">
      <c r="J12" t="s">
        <v>52</v>
      </c>
    </row>
    <row r="13" spans="2:13" x14ac:dyDescent="0.3">
      <c r="B13" s="4" t="s">
        <v>37</v>
      </c>
      <c r="C13" s="4"/>
      <c r="D13" s="4"/>
      <c r="J13" t="s">
        <v>56</v>
      </c>
    </row>
    <row r="14" spans="2:13" x14ac:dyDescent="0.3">
      <c r="B14" s="2" t="s">
        <v>2</v>
      </c>
      <c r="C14" s="2">
        <f>C4</f>
        <v>150</v>
      </c>
      <c r="D14" s="2" t="s">
        <v>38</v>
      </c>
      <c r="J14" s="16"/>
      <c r="K14" t="s">
        <v>40</v>
      </c>
    </row>
    <row r="15" spans="2:13" x14ac:dyDescent="0.3">
      <c r="B15" s="2" t="s">
        <v>0</v>
      </c>
      <c r="C15" s="2">
        <f>C2</f>
        <v>3</v>
      </c>
      <c r="D15" s="2" t="s">
        <v>6</v>
      </c>
      <c r="J15" s="6"/>
      <c r="K15" t="s">
        <v>42</v>
      </c>
      <c r="L15" s="25"/>
      <c r="M15" t="s">
        <v>51</v>
      </c>
    </row>
    <row r="16" spans="2:13" x14ac:dyDescent="0.3">
      <c r="B16" s="2" t="s">
        <v>1</v>
      </c>
      <c r="C16" s="2">
        <f>C10</f>
        <v>54</v>
      </c>
      <c r="D16" s="2" t="s">
        <v>19</v>
      </c>
      <c r="J16" s="17"/>
      <c r="K16" t="s">
        <v>41</v>
      </c>
    </row>
    <row r="17" spans="2:11" x14ac:dyDescent="0.3">
      <c r="B17" s="2" t="s">
        <v>12</v>
      </c>
      <c r="C17" s="2">
        <f>C8</f>
        <v>1</v>
      </c>
      <c r="D17" s="2" t="s">
        <v>4</v>
      </c>
      <c r="J17" s="19"/>
      <c r="K17" t="s">
        <v>45</v>
      </c>
    </row>
    <row r="18" spans="2:11" x14ac:dyDescent="0.3">
      <c r="B18" s="2" t="s">
        <v>39</v>
      </c>
      <c r="C18" s="3">
        <f>F2</f>
        <v>3000000000</v>
      </c>
      <c r="D18" s="2" t="s">
        <v>5</v>
      </c>
    </row>
    <row r="19" spans="2:11" x14ac:dyDescent="0.3">
      <c r="B19" s="2" t="s">
        <v>7</v>
      </c>
      <c r="C19" s="2">
        <f>F4</f>
        <v>50</v>
      </c>
      <c r="D19" s="2" t="s">
        <v>3</v>
      </c>
      <c r="J19" t="s">
        <v>55</v>
      </c>
    </row>
    <row r="20" spans="2:11" x14ac:dyDescent="0.3">
      <c r="B20" s="2" t="s">
        <v>48</v>
      </c>
      <c r="C20" s="7">
        <f>L2</f>
        <v>1.6666666666666668E-3</v>
      </c>
      <c r="D20" s="2" t="s">
        <v>18</v>
      </c>
    </row>
    <row r="21" spans="2:11" x14ac:dyDescent="0.3">
      <c r="B21" s="2" t="s">
        <v>49</v>
      </c>
      <c r="C21" s="2">
        <f>L3</f>
        <v>0.05</v>
      </c>
      <c r="D21" s="2" t="s">
        <v>18</v>
      </c>
    </row>
    <row r="22" spans="2:11" x14ac:dyDescent="0.3">
      <c r="B22" s="2" t="s">
        <v>50</v>
      </c>
      <c r="C22" s="2">
        <f>L4</f>
        <v>30</v>
      </c>
      <c r="D22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5ECA-86A7-4244-B689-EE1AF155CB9A}">
  <dimension ref="B1:S17"/>
  <sheetViews>
    <sheetView tabSelected="1" workbookViewId="0">
      <selection activeCell="D11" sqref="D11"/>
    </sheetView>
  </sheetViews>
  <sheetFormatPr defaultRowHeight="14.4" x14ac:dyDescent="0.3"/>
  <cols>
    <col min="2" max="2" width="11.5546875" customWidth="1"/>
    <col min="3" max="3" width="24.5546875" bestFit="1" customWidth="1"/>
    <col min="4" max="5" width="9.5546875" bestFit="1" customWidth="1"/>
    <col min="6" max="6" width="12.5546875" bestFit="1" customWidth="1"/>
    <col min="7" max="7" width="12" bestFit="1" customWidth="1"/>
  </cols>
  <sheetData>
    <row r="1" spans="2:19" x14ac:dyDescent="0.3">
      <c r="F1" s="2" t="s">
        <v>71</v>
      </c>
      <c r="G1" s="2" t="s">
        <v>59</v>
      </c>
    </row>
    <row r="2" spans="2:19" x14ac:dyDescent="0.3">
      <c r="C2" t="s">
        <v>57</v>
      </c>
      <c r="F2" s="2" t="s">
        <v>58</v>
      </c>
      <c r="G2" s="2" t="s">
        <v>59</v>
      </c>
      <c r="O2" t="s">
        <v>68</v>
      </c>
    </row>
    <row r="3" spans="2:19" x14ac:dyDescent="0.3">
      <c r="F3" s="2" t="s">
        <v>70</v>
      </c>
      <c r="G3" s="2">
        <f>'Deciding Factor'!F3</f>
        <v>5.1724137931034482E-2</v>
      </c>
      <c r="H3" t="s">
        <v>6</v>
      </c>
    </row>
    <row r="4" spans="2:19" x14ac:dyDescent="0.3">
      <c r="F4" s="2" t="s">
        <v>60</v>
      </c>
      <c r="G4" s="2">
        <f>'Deciding Factor'!I2</f>
        <v>300000000</v>
      </c>
      <c r="H4" t="s">
        <v>4</v>
      </c>
      <c r="I4" s="2">
        <f>G4/10^6</f>
        <v>300</v>
      </c>
      <c r="J4" s="1" t="s">
        <v>73</v>
      </c>
    </row>
    <row r="5" spans="2:19" x14ac:dyDescent="0.3">
      <c r="F5" s="32" t="s">
        <v>61</v>
      </c>
      <c r="G5" s="2">
        <f>'Deciding Factor'!I3</f>
        <v>1400000000000</v>
      </c>
      <c r="H5" t="s">
        <v>34</v>
      </c>
      <c r="I5" s="2">
        <f>'Deciding Factor'!I5</f>
        <v>1400000</v>
      </c>
      <c r="J5" t="s">
        <v>67</v>
      </c>
    </row>
    <row r="6" spans="2:19" x14ac:dyDescent="0.3">
      <c r="F6" s="2" t="s">
        <v>62</v>
      </c>
      <c r="G6" s="2">
        <f>'Deciding Factor'!L2</f>
        <v>1.0000000000000001E-5</v>
      </c>
      <c r="H6" t="s">
        <v>18</v>
      </c>
      <c r="I6" s="31">
        <f>G6*1000000</f>
        <v>10</v>
      </c>
      <c r="J6" s="1" t="s">
        <v>64</v>
      </c>
    </row>
    <row r="7" spans="2:19" x14ac:dyDescent="0.3">
      <c r="F7" s="2" t="s">
        <v>74</v>
      </c>
      <c r="G7" s="2">
        <f>'Deciding Factor'!F5</f>
        <v>14000000</v>
      </c>
      <c r="H7" t="s">
        <v>5</v>
      </c>
    </row>
    <row r="10" spans="2:19" x14ac:dyDescent="0.3">
      <c r="B10" s="2" t="s">
        <v>63</v>
      </c>
      <c r="C10" s="2">
        <v>2.5</v>
      </c>
      <c r="D10" s="2">
        <v>5</v>
      </c>
      <c r="E10" s="2">
        <v>10</v>
      </c>
      <c r="F10" s="2">
        <v>15</v>
      </c>
      <c r="G10" s="2">
        <v>20</v>
      </c>
      <c r="H10" s="2">
        <v>25</v>
      </c>
      <c r="I10" t="s">
        <v>6</v>
      </c>
      <c r="M10" s="2" t="s">
        <v>69</v>
      </c>
      <c r="N10" s="2">
        <v>3</v>
      </c>
      <c r="O10" s="2">
        <v>6</v>
      </c>
      <c r="P10" s="2">
        <v>9</v>
      </c>
      <c r="Q10" s="2">
        <v>12</v>
      </c>
      <c r="R10" s="2">
        <v>15</v>
      </c>
      <c r="S10" t="s">
        <v>4</v>
      </c>
    </row>
    <row r="11" spans="2:19" x14ac:dyDescent="0.3">
      <c r="B11" s="2" t="s">
        <v>58</v>
      </c>
      <c r="C11" s="36">
        <f>(C10*2*G7)/(I4*I6)</f>
        <v>23333.333333333332</v>
      </c>
      <c r="D11" s="31">
        <f>(D10*2*G7)/(I4*I6)</f>
        <v>46666.666666666664</v>
      </c>
      <c r="E11" s="31">
        <f>(E10*2*G7)/(I4*I6)</f>
        <v>93333.333333333328</v>
      </c>
      <c r="F11" s="31">
        <f>(F10*2*G7)/(I4*I6)</f>
        <v>140000</v>
      </c>
      <c r="G11" s="31">
        <f>(G10*2*G7)/(I4*I6)</f>
        <v>186666.66666666666</v>
      </c>
      <c r="H11" s="31">
        <f>(H10*2*G7)/(I4*I6)</f>
        <v>233333.33333333334</v>
      </c>
      <c r="I11" t="s">
        <v>5</v>
      </c>
      <c r="M11" s="2" t="s">
        <v>71</v>
      </c>
      <c r="N11" s="2">
        <f>(2*N10)/G3</f>
        <v>116</v>
      </c>
      <c r="O11" s="2">
        <f>(2*O10)/G3</f>
        <v>232</v>
      </c>
      <c r="P11" s="2">
        <f>(2*P10)/G3</f>
        <v>348</v>
      </c>
      <c r="Q11" s="2">
        <f>(2*Q10)/G3</f>
        <v>464</v>
      </c>
      <c r="R11" s="2">
        <f>(2*R10)/G3</f>
        <v>580</v>
      </c>
      <c r="S11" t="s">
        <v>5</v>
      </c>
    </row>
    <row r="16" spans="2:19" x14ac:dyDescent="0.3">
      <c r="B16" s="2" t="s">
        <v>63</v>
      </c>
      <c r="C16" s="2">
        <v>5</v>
      </c>
      <c r="D16" s="2">
        <v>10</v>
      </c>
      <c r="E16" s="2">
        <v>15</v>
      </c>
      <c r="F16" s="2">
        <v>20</v>
      </c>
      <c r="G16" s="2">
        <v>25</v>
      </c>
    </row>
    <row r="17" spans="2:7" x14ac:dyDescent="0.3">
      <c r="B17" s="2" t="s">
        <v>58</v>
      </c>
      <c r="C17" s="2">
        <f>(C16*2*I5)/I4</f>
        <v>46666.666666666664</v>
      </c>
      <c r="D17" s="2">
        <f>(D16*2*I5)/I4</f>
        <v>93333.333333333328</v>
      </c>
      <c r="E17" s="2">
        <f>(E16*2*I5)/I4</f>
        <v>140000</v>
      </c>
      <c r="F17" s="2">
        <f>(F16*2*I5)/I4</f>
        <v>186666.66666666666</v>
      </c>
      <c r="G17" s="2">
        <f>(G16*2*I5)/I4</f>
        <v>233333.33333333334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6EB7-0FA9-4102-9EE1-73770EF68817}">
  <dimension ref="B1:P22"/>
  <sheetViews>
    <sheetView workbookViewId="0">
      <selection activeCell="F4" sqref="F4"/>
    </sheetView>
  </sheetViews>
  <sheetFormatPr defaultRowHeight="14.4" x14ac:dyDescent="0.3"/>
  <cols>
    <col min="2" max="2" width="23.21875" bestFit="1" customWidth="1"/>
    <col min="3" max="3" width="16.33203125" bestFit="1" customWidth="1"/>
    <col min="5" max="5" width="24.6640625" bestFit="1" customWidth="1"/>
    <col min="6" max="6" width="14.6640625" bestFit="1" customWidth="1"/>
    <col min="8" max="8" width="14.109375" bestFit="1" customWidth="1"/>
    <col min="9" max="9" width="11.5546875" bestFit="1" customWidth="1"/>
    <col min="10" max="10" width="10.44140625" customWidth="1"/>
    <col min="11" max="11" width="13.88671875" bestFit="1" customWidth="1"/>
    <col min="12" max="12" width="12.5546875" bestFit="1" customWidth="1"/>
  </cols>
  <sheetData>
    <row r="1" spans="2:16" x14ac:dyDescent="0.3">
      <c r="B1" t="s">
        <v>28</v>
      </c>
      <c r="C1" t="s">
        <v>29</v>
      </c>
      <c r="D1" s="1"/>
      <c r="E1" s="1" t="s">
        <v>25</v>
      </c>
      <c r="H1" t="s">
        <v>32</v>
      </c>
      <c r="K1" t="s">
        <v>20</v>
      </c>
      <c r="L1" t="s">
        <v>23</v>
      </c>
      <c r="M1" t="s">
        <v>24</v>
      </c>
    </row>
    <row r="2" spans="2:16" x14ac:dyDescent="0.3">
      <c r="B2" s="2" t="s">
        <v>15</v>
      </c>
      <c r="C2" s="3">
        <f>I2/(2*F5)</f>
        <v>30</v>
      </c>
      <c r="D2" t="s">
        <v>6</v>
      </c>
      <c r="E2" s="8" t="s">
        <v>8</v>
      </c>
      <c r="F2" s="9">
        <f>5.8*10^9</f>
        <v>5800000000</v>
      </c>
      <c r="G2" t="s">
        <v>5</v>
      </c>
      <c r="H2" s="8" t="s">
        <v>9</v>
      </c>
      <c r="I2" s="9">
        <f>3*10^8</f>
        <v>300000000</v>
      </c>
      <c r="J2" t="s">
        <v>4</v>
      </c>
      <c r="K2" s="2" t="s">
        <v>21</v>
      </c>
      <c r="L2" s="30">
        <f>F3/(4*C9)</f>
        <v>8.6206896551724137E-4</v>
      </c>
      <c r="M2" t="s">
        <v>18</v>
      </c>
      <c r="N2" s="31">
        <f>L2*1000000</f>
        <v>862.06896551724139</v>
      </c>
      <c r="O2" s="1" t="s">
        <v>64</v>
      </c>
      <c r="P2" t="s">
        <v>75</v>
      </c>
    </row>
    <row r="3" spans="2:16" x14ac:dyDescent="0.3">
      <c r="B3" s="2" t="s">
        <v>14</v>
      </c>
      <c r="C3" s="3">
        <f>(I2*F6)/(2*I4)</f>
        <v>517241.37931034481</v>
      </c>
      <c r="D3" t="s">
        <v>6</v>
      </c>
      <c r="E3" s="2" t="s">
        <v>11</v>
      </c>
      <c r="F3" s="7">
        <f>I2/F2</f>
        <v>5.1724137931034482E-2</v>
      </c>
      <c r="G3" t="s">
        <v>6</v>
      </c>
      <c r="H3" s="2" t="s">
        <v>33</v>
      </c>
      <c r="I3" s="3">
        <f>F5/L2</f>
        <v>5800000000</v>
      </c>
      <c r="J3" t="s">
        <v>34</v>
      </c>
      <c r="K3" s="2" t="s">
        <v>22</v>
      </c>
      <c r="L3" s="2">
        <f>F3/(2*C8)</f>
        <v>2.5862068965517241E-2</v>
      </c>
      <c r="M3" t="s">
        <v>18</v>
      </c>
      <c r="N3" s="31">
        <f>L3*1000</f>
        <v>25.862068965517242</v>
      </c>
      <c r="O3" t="s">
        <v>65</v>
      </c>
    </row>
    <row r="4" spans="2:16" x14ac:dyDescent="0.3">
      <c r="B4" s="2" t="s">
        <v>14</v>
      </c>
      <c r="C4" s="33">
        <f>C3/1000</f>
        <v>517.24137931034477</v>
      </c>
      <c r="D4" t="s">
        <v>36</v>
      </c>
      <c r="E4" s="8" t="s">
        <v>10</v>
      </c>
      <c r="F4" s="8">
        <v>5</v>
      </c>
      <c r="G4" t="s">
        <v>3</v>
      </c>
      <c r="H4" s="2" t="s">
        <v>33</v>
      </c>
      <c r="I4" s="2">
        <f>F4/L2</f>
        <v>5800</v>
      </c>
      <c r="J4" t="s">
        <v>35</v>
      </c>
      <c r="K4" s="2" t="s">
        <v>17</v>
      </c>
      <c r="L4" s="2">
        <f>L3/L2</f>
        <v>30</v>
      </c>
    </row>
    <row r="5" spans="2:16" x14ac:dyDescent="0.3">
      <c r="E5" s="2" t="s">
        <v>7</v>
      </c>
      <c r="F5" s="3">
        <f>F4*10^6</f>
        <v>5000000</v>
      </c>
      <c r="G5" t="s">
        <v>5</v>
      </c>
      <c r="H5" s="2" t="s">
        <v>33</v>
      </c>
      <c r="I5" s="2">
        <f>F5/N2</f>
        <v>5800</v>
      </c>
      <c r="J5" t="s">
        <v>66</v>
      </c>
    </row>
    <row r="6" spans="2:16" x14ac:dyDescent="0.3">
      <c r="E6" s="8" t="s">
        <v>30</v>
      </c>
      <c r="F6" s="8">
        <v>20</v>
      </c>
      <c r="G6" t="s">
        <v>31</v>
      </c>
      <c r="H6" s="2" t="s">
        <v>33</v>
      </c>
      <c r="I6" s="2">
        <f>F4/N2</f>
        <v>5.7999999999999996E-3</v>
      </c>
      <c r="J6" t="s">
        <v>72</v>
      </c>
      <c r="K6" t="s">
        <v>76</v>
      </c>
      <c r="L6" t="s">
        <v>77</v>
      </c>
    </row>
    <row r="7" spans="2:16" x14ac:dyDescent="0.3">
      <c r="B7" t="s">
        <v>27</v>
      </c>
      <c r="C7" t="s">
        <v>26</v>
      </c>
      <c r="K7" t="s">
        <v>78</v>
      </c>
      <c r="L7" s="2">
        <f>L2*2</f>
        <v>1.7241379310344827E-3</v>
      </c>
      <c r="M7" t="s">
        <v>18</v>
      </c>
      <c r="N7" s="31">
        <f>L7*1000000</f>
        <v>1724.1379310344828</v>
      </c>
      <c r="O7" s="1" t="s">
        <v>64</v>
      </c>
    </row>
    <row r="8" spans="2:16" x14ac:dyDescent="0.3">
      <c r="B8" s="8" t="s">
        <v>16</v>
      </c>
      <c r="C8" s="8">
        <v>1</v>
      </c>
      <c r="D8" t="s">
        <v>4</v>
      </c>
      <c r="E8" s="5" t="s">
        <v>88</v>
      </c>
      <c r="F8" s="35">
        <f>I2/77000000000</f>
        <v>3.8961038961038961E-3</v>
      </c>
      <c r="K8" t="s">
        <v>79</v>
      </c>
      <c r="N8" s="33">
        <f>L7*1000</f>
        <v>1.7241379310344827</v>
      </c>
      <c r="O8" t="s">
        <v>65</v>
      </c>
    </row>
    <row r="9" spans="2:16" x14ac:dyDescent="0.3">
      <c r="B9" s="8" t="s">
        <v>13</v>
      </c>
      <c r="C9" s="8">
        <v>15</v>
      </c>
      <c r="D9" t="s">
        <v>4</v>
      </c>
      <c r="F9" s="34">
        <f>I2/(0.01*2)</f>
        <v>15000000000</v>
      </c>
    </row>
    <row r="10" spans="2:16" x14ac:dyDescent="0.3">
      <c r="B10" s="2" t="s">
        <v>13</v>
      </c>
      <c r="C10" s="2">
        <f>C9*3.6</f>
        <v>54</v>
      </c>
      <c r="D10" t="s">
        <v>19</v>
      </c>
    </row>
    <row r="12" spans="2:16" x14ac:dyDescent="0.3">
      <c r="J12" s="5"/>
      <c r="K12" t="s">
        <v>46</v>
      </c>
    </row>
    <row r="13" spans="2:16" x14ac:dyDescent="0.3">
      <c r="B13" s="4" t="s">
        <v>37</v>
      </c>
      <c r="C13" s="4"/>
      <c r="D13" s="4"/>
    </row>
    <row r="14" spans="2:16" x14ac:dyDescent="0.3">
      <c r="B14" s="2" t="s">
        <v>2</v>
      </c>
      <c r="C14" s="2">
        <f>C4</f>
        <v>517.24137931034477</v>
      </c>
      <c r="D14" s="2" t="s">
        <v>38</v>
      </c>
      <c r="F14" t="s">
        <v>80</v>
      </c>
    </row>
    <row r="15" spans="2:16" x14ac:dyDescent="0.3">
      <c r="B15" s="2" t="s">
        <v>0</v>
      </c>
      <c r="C15" s="2">
        <f>C2</f>
        <v>30</v>
      </c>
      <c r="D15" s="2" t="s">
        <v>6</v>
      </c>
      <c r="F15" t="s">
        <v>81</v>
      </c>
    </row>
    <row r="16" spans="2:16" x14ac:dyDescent="0.3">
      <c r="B16" s="2" t="s">
        <v>1</v>
      </c>
      <c r="C16" s="2">
        <f>C10</f>
        <v>54</v>
      </c>
      <c r="D16" s="2" t="s">
        <v>19</v>
      </c>
      <c r="F16" t="s">
        <v>82</v>
      </c>
    </row>
    <row r="17" spans="2:6" x14ac:dyDescent="0.3">
      <c r="B17" s="2" t="s">
        <v>12</v>
      </c>
      <c r="C17" s="2">
        <f>C8</f>
        <v>1</v>
      </c>
      <c r="D17" s="2" t="s">
        <v>4</v>
      </c>
      <c r="F17" t="s">
        <v>83</v>
      </c>
    </row>
    <row r="18" spans="2:6" x14ac:dyDescent="0.3">
      <c r="B18" s="2" t="s">
        <v>39</v>
      </c>
      <c r="C18" s="3">
        <f>F2</f>
        <v>5800000000</v>
      </c>
      <c r="D18" s="2" t="s">
        <v>5</v>
      </c>
    </row>
    <row r="19" spans="2:6" x14ac:dyDescent="0.3">
      <c r="B19" s="2" t="s">
        <v>7</v>
      </c>
      <c r="C19" s="2">
        <f>F4</f>
        <v>5</v>
      </c>
      <c r="D19" s="2" t="s">
        <v>3</v>
      </c>
      <c r="F19" t="s">
        <v>84</v>
      </c>
    </row>
    <row r="20" spans="2:6" x14ac:dyDescent="0.3">
      <c r="F20" t="s">
        <v>85</v>
      </c>
    </row>
    <row r="21" spans="2:6" x14ac:dyDescent="0.3">
      <c r="F21" t="s">
        <v>86</v>
      </c>
    </row>
    <row r="22" spans="2:6" x14ac:dyDescent="0.3">
      <c r="F22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Deciding Factor</vt:lpstr>
      <vt:lpstr>Trial</vt:lpstr>
      <vt:lpstr>Main Parameter</vt:lpstr>
      <vt:lpstr>Main Parameter 2</vt:lpstr>
      <vt:lpstr>Prediksi Hasil</vt:lpstr>
      <vt:lpstr>As 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 PANCARA HARYONO PUTRA</dc:creator>
  <cp:lastModifiedBy>BIMA PANCARA HARYONO PUTRA</cp:lastModifiedBy>
  <dcterms:created xsi:type="dcterms:W3CDTF">2024-05-14T02:53:20Z</dcterms:created>
  <dcterms:modified xsi:type="dcterms:W3CDTF">2024-11-29T11:35:49Z</dcterms:modified>
</cp:coreProperties>
</file>