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e9aec158df94f1/Desktop/Job ready Program/"/>
    </mc:Choice>
  </mc:AlternateContent>
  <xr:revisionPtr revIDLastSave="469" documentId="8_{40C6E880-3E58-4A0E-A98B-1684CAAA5D7F}" xr6:coauthVersionLast="47" xr6:coauthVersionMax="47" xr10:uidLastSave="{F6A66234-19E3-41DC-B9E7-4294F82C6262}"/>
  <bookViews>
    <workbookView xWindow="-110" yWindow="-110" windowWidth="22780" windowHeight="14540" activeTab="3" xr2:uid="{D4D68308-9443-478A-A1A8-AFEDF7641D08}"/>
  </bookViews>
  <sheets>
    <sheet name="Concept" sheetId="1" r:id="rId1"/>
    <sheet name="Data" sheetId="2" r:id="rId2"/>
    <sheet name="Sheet1" sheetId="12" r:id="rId3"/>
    <sheet name="14" sheetId="11" r:id="rId4"/>
    <sheet name="12 &amp; 13" sheetId="10" r:id="rId5"/>
    <sheet name="11" sheetId="9" r:id="rId6"/>
    <sheet name="10" sheetId="8" r:id="rId7"/>
    <sheet name="9" sheetId="7" r:id="rId8"/>
    <sheet name="8" sheetId="6" r:id="rId9"/>
    <sheet name="6 &amp; 7" sheetId="5" r:id="rId10"/>
    <sheet name="5" sheetId="13" r:id="rId11"/>
    <sheet name="3 &amp; 4" sheetId="4" r:id="rId12"/>
    <sheet name="1 &amp; 2" sheetId="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1" l="1"/>
  <c r="K7" i="11"/>
  <c r="K8" i="11"/>
  <c r="K9" i="11"/>
  <c r="K10" i="11"/>
  <c r="K11" i="11"/>
  <c r="K12" i="11"/>
  <c r="K13" i="11"/>
  <c r="K14" i="11"/>
  <c r="K15" i="11"/>
  <c r="K16" i="11"/>
  <c r="K5" i="11"/>
  <c r="J6" i="11"/>
  <c r="J7" i="11"/>
  <c r="J8" i="11"/>
  <c r="J9" i="11"/>
  <c r="J10" i="11"/>
  <c r="J11" i="11"/>
  <c r="J12" i="11"/>
  <c r="J13" i="11"/>
  <c r="J14" i="11"/>
  <c r="J15" i="11"/>
  <c r="J16" i="11"/>
  <c r="J5" i="11"/>
  <c r="B5" i="5"/>
  <c r="G2" i="10" a="1"/>
  <c r="G2" i="10" s="1"/>
  <c r="G3" i="10" a="1"/>
  <c r="G3" i="10" s="1"/>
  <c r="B17" i="7"/>
  <c r="C14" i="8"/>
  <c r="B5" i="7"/>
  <c r="B15" i="7"/>
  <c r="B16" i="7" s="1" a="1"/>
  <c r="B16" i="7" s="1"/>
  <c r="G2" i="6"/>
  <c r="D10" i="5" a="1"/>
  <c r="D10" i="5" s="1"/>
  <c r="D9" i="5" a="1"/>
  <c r="D9" i="5" s="1"/>
  <c r="D8" i="5" a="1"/>
  <c r="D8" i="5" s="1"/>
  <c r="D6" i="5" a="1"/>
  <c r="D6" i="5" s="1"/>
  <c r="D7" i="5" a="1"/>
  <c r="D7" i="5" s="1"/>
  <c r="C10" i="5" a="1"/>
  <c r="C10" i="5" s="1"/>
  <c r="C9" i="5" a="1"/>
  <c r="C9" i="5" s="1"/>
  <c r="C8" i="5" a="1"/>
  <c r="C8" i="5" s="1"/>
  <c r="C7" i="5" a="1"/>
  <c r="C7" i="5" s="1"/>
  <c r="C6" i="5" a="1"/>
  <c r="C6" i="5" s="1"/>
  <c r="B7" i="5"/>
  <c r="B6" i="5"/>
  <c r="C5" i="5"/>
  <c r="C4" i="5"/>
  <c r="A2" i="13" a="1"/>
  <c r="A2" i="13" s="1"/>
  <c r="A1" i="13" a="1"/>
  <c r="A1" i="13" s="1"/>
  <c r="H2" i="4" a="1"/>
  <c r="H2" i="4" s="1"/>
  <c r="H3" i="4" a="1"/>
  <c r="H3" i="4" s="1"/>
  <c r="O2" i="4" a="1"/>
  <c r="O2" i="4" s="1"/>
  <c r="O3" i="4" a="1"/>
  <c r="O3" i="4" s="1"/>
  <c r="I4" i="3"/>
  <c r="H4" i="3"/>
  <c r="I5" i="3"/>
  <c r="I6" i="3"/>
  <c r="I7" i="3"/>
  <c r="I8" i="3"/>
  <c r="I9" i="3"/>
  <c r="I10" i="3"/>
  <c r="I11" i="3"/>
  <c r="I12" i="3"/>
  <c r="I13" i="3"/>
  <c r="I14" i="3"/>
  <c r="I15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5"/>
  <c r="E4" i="3"/>
  <c r="B4" i="3"/>
  <c r="B5" i="11" a="1"/>
  <c r="B5" i="11" s="1"/>
  <c r="C5" i="11" s="1"/>
  <c r="B4" i="10" a="1"/>
  <c r="B4" i="10" s="1"/>
  <c r="C16" i="8"/>
  <c r="C15" i="8"/>
  <c r="C7" i="8"/>
  <c r="C6" i="9" a="1"/>
  <c r="C6" i="9" s="1"/>
  <c r="C2" i="9"/>
  <c r="C3" i="9" s="1"/>
  <c r="C6" i="8"/>
  <c r="C5" i="8"/>
  <c r="B18" i="7"/>
  <c r="B8" i="7"/>
  <c r="B7" i="7"/>
  <c r="B6" i="7"/>
  <c r="A4" i="6" a="1"/>
  <c r="A4" i="6" s="1"/>
  <c r="C3" i="6" s="1"/>
  <c r="B10" i="5"/>
  <c r="B9" i="5"/>
  <c r="B8" i="5"/>
  <c r="D5" i="5"/>
  <c r="B4" i="5"/>
  <c r="B3" i="4" a="1"/>
  <c r="B3" i="4" s="1"/>
  <c r="B4" i="4" a="1"/>
  <c r="B4" i="4" s="1"/>
  <c r="A4" i="3" a="1"/>
  <c r="A4" i="3" s="1"/>
  <c r="D3" i="11"/>
  <c r="E14" i="8"/>
  <c r="I10" i="11" l="1" a="1"/>
  <c r="I10" i="11" s="1"/>
  <c r="G16" i="11"/>
  <c r="G8" i="11"/>
  <c r="H13" i="11"/>
  <c r="I5" i="11" a="1"/>
  <c r="I5" i="11" s="1"/>
  <c r="G15" i="11"/>
  <c r="G7" i="11"/>
  <c r="H12" i="11"/>
  <c r="I16" i="11" a="1"/>
  <c r="I16" i="11" s="1"/>
  <c r="I9" i="11" a="1"/>
  <c r="I9" i="11" s="1"/>
  <c r="I11" i="11" a="1"/>
  <c r="I11" i="11" s="1"/>
  <c r="G9" i="11"/>
  <c r="H14" i="11"/>
  <c r="G14" i="11"/>
  <c r="G6" i="11"/>
  <c r="H11" i="11"/>
  <c r="I15" i="11" a="1"/>
  <c r="I15" i="11" s="1"/>
  <c r="I8" i="11" a="1"/>
  <c r="I8" i="11" s="1"/>
  <c r="G10" i="11"/>
  <c r="H15" i="11"/>
  <c r="H7" i="11"/>
  <c r="H6" i="11"/>
  <c r="G13" i="11"/>
  <c r="G5" i="11"/>
  <c r="H10" i="11"/>
  <c r="I14" i="11" a="1"/>
  <c r="I14" i="11" s="1"/>
  <c r="I7" i="11" a="1"/>
  <c r="I7" i="11" s="1"/>
  <c r="H5" i="11"/>
  <c r="H9" i="11"/>
  <c r="I13" i="11" a="1"/>
  <c r="I13" i="11" s="1"/>
  <c r="I6" i="11" a="1"/>
  <c r="I6" i="11" s="1"/>
  <c r="G12" i="11"/>
  <c r="G11" i="11"/>
  <c r="H16" i="11"/>
  <c r="H8" i="11"/>
  <c r="I12" i="11" a="1"/>
  <c r="I12" i="11" s="1"/>
  <c r="D5" i="11"/>
  <c r="D16" i="11"/>
  <c r="E16" i="11" s="1"/>
  <c r="F16" i="11" s="1"/>
  <c r="D8" i="11"/>
  <c r="E8" i="11" s="1"/>
  <c r="F8" i="11" s="1"/>
  <c r="C7" i="11"/>
  <c r="C10" i="11"/>
  <c r="D15" i="11"/>
  <c r="E15" i="11" s="1"/>
  <c r="F15" i="11" s="1"/>
  <c r="D7" i="11"/>
  <c r="E7" i="11" s="1"/>
  <c r="F7" i="11" s="1"/>
  <c r="C6" i="11"/>
  <c r="D14" i="11"/>
  <c r="E14" i="11" s="1"/>
  <c r="F14" i="11" s="1"/>
  <c r="D6" i="11"/>
  <c r="E6" i="11" s="1"/>
  <c r="F6" i="11" s="1"/>
  <c r="C16" i="11"/>
  <c r="D13" i="11"/>
  <c r="E13" i="11" s="1"/>
  <c r="F13" i="11" s="1"/>
  <c r="C15" i="11"/>
  <c r="D9" i="11"/>
  <c r="E9" i="11" s="1"/>
  <c r="F9" i="11" s="1"/>
  <c r="C8" i="11"/>
  <c r="D12" i="11"/>
  <c r="E12" i="11" s="1"/>
  <c r="F12" i="11" s="1"/>
  <c r="C14" i="11"/>
  <c r="E5" i="11"/>
  <c r="F5" i="11" s="1"/>
  <c r="C11" i="11"/>
  <c r="D11" i="11"/>
  <c r="E11" i="11" s="1"/>
  <c r="F11" i="11" s="1"/>
  <c r="C13" i="11"/>
  <c r="D10" i="11"/>
  <c r="E10" i="11" s="1"/>
  <c r="F10" i="11" s="1"/>
  <c r="C9" i="11"/>
  <c r="C12" i="11"/>
  <c r="B15" i="3"/>
  <c r="C8" i="3"/>
  <c r="E10" i="3"/>
  <c r="B14" i="3"/>
  <c r="F4" i="3"/>
  <c r="E9" i="3"/>
  <c r="B13" i="3"/>
  <c r="D15" i="3"/>
  <c r="F14" i="3"/>
  <c r="B7" i="3"/>
  <c r="D14" i="3"/>
  <c r="F13" i="3"/>
  <c r="B6" i="3"/>
  <c r="D8" i="3"/>
  <c r="F12" i="3"/>
  <c r="B5" i="3"/>
  <c r="D7" i="3"/>
  <c r="F6" i="3"/>
  <c r="C10" i="3"/>
  <c r="D6" i="3"/>
  <c r="F5" i="3"/>
  <c r="C9" i="3"/>
  <c r="E11" i="3"/>
  <c r="C15" i="3"/>
  <c r="B12" i="3"/>
  <c r="C4" i="3"/>
  <c r="C7" i="3"/>
  <c r="D13" i="3"/>
  <c r="D5" i="3"/>
  <c r="E8" i="3"/>
  <c r="F11" i="3"/>
  <c r="B11" i="3"/>
  <c r="C14" i="3"/>
  <c r="C6" i="3"/>
  <c r="D12" i="3"/>
  <c r="E15" i="3"/>
  <c r="E7" i="3"/>
  <c r="F10" i="3"/>
  <c r="B10" i="3"/>
  <c r="C13" i="3"/>
  <c r="C5" i="3"/>
  <c r="D11" i="3"/>
  <c r="E14" i="3"/>
  <c r="E6" i="3"/>
  <c r="F9" i="3"/>
  <c r="B9" i="3"/>
  <c r="C12" i="3"/>
  <c r="D4" i="3"/>
  <c r="D10" i="3"/>
  <c r="E13" i="3"/>
  <c r="E5" i="3"/>
  <c r="F8" i="3"/>
  <c r="B8" i="3"/>
  <c r="C11" i="3"/>
  <c r="D9" i="3"/>
  <c r="E12" i="3"/>
  <c r="F15" i="3"/>
  <c r="F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<sst xmlns="http://schemas.openxmlformats.org/spreadsheetml/2006/main" count="2478" uniqueCount="824">
  <si>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</si>
  <si>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</si>
  <si>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</si>
  <si>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</si>
  <si>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</si>
  <si>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</si>
  <si>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</si>
  <si>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</si>
  <si>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</si>
  <si>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</si>
  <si>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</si>
  <si>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</si>
  <si>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</si>
  <si>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</si>
  <si>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</si>
  <si>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</si>
  <si>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</si>
  <si>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</si>
  <si>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</si>
  <si>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</si>
  <si>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</si>
  <si>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</si>
  <si>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</si>
  <si>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</si>
  <si>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</si>
  <si>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</si>
  <si>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</si>
  <si>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</si>
  <si>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</si>
  <si>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</si>
  <si>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</si>
  <si>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</si>
  <si>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</si>
  <si>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</si>
  <si>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</si>
  <si>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</si>
  <si>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</si>
  <si>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</si>
  <si>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</si>
  <si>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</si>
  <si>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</si>
  <si>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</si>
  <si>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</si>
  <si>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</si>
  <si>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</si>
  <si>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</si>
  <si>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</si>
  <si>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</si>
  <si>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</si>
  <si>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</si>
  <si>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</si>
  <si>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</si>
  <si>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</si>
  <si>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</si>
  <si>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</si>
  <si>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</si>
  <si>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</si>
  <si>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</si>
  <si>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</si>
  <si>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</si>
  <si>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</si>
  <si>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</si>
  <si>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</si>
  <si>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</si>
  <si>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</si>
  <si>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</si>
  <si>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</si>
  <si>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</si>
  <si>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</si>
  <si>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</si>
  <si>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</si>
  <si>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</si>
  <si>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</si>
  <si>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</si>
  <si>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</si>
  <si>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</si>
  <si>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</si>
  <si>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</si>
  <si>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</si>
  <si>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</si>
  <si>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</si>
  <si>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</si>
  <si>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</si>
  <si>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</si>
  <si>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</si>
  <si>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</si>
  <si>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</si>
  <si>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</si>
  <si>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</si>
  <si>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</si>
  <si>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</si>
  <si>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</si>
  <si>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</si>
  <si>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</si>
  <si>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</si>
  <si>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</si>
  <si>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</si>
  <si>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</si>
  <si>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</si>
  <si>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</si>
  <si>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</si>
  <si>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</si>
  <si>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</si>
  <si>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</si>
  <si>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</si>
  <si>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</si>
  <si>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</si>
  <si>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</si>
  <si>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</si>
  <si>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</si>
  <si>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</si>
  <si>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</si>
  <si>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</si>
  <si>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</si>
  <si>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</si>
  <si>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</si>
  <si>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</si>
  <si>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</si>
  <si>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</si>
  <si>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</si>
  <si>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</si>
  <si>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</si>
  <si>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</si>
  <si>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</si>
  <si>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</si>
  <si>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</si>
  <si>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</si>
  <si>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</si>
  <si>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</si>
  <si>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</si>
  <si>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</si>
  <si>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</si>
  <si>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</si>
  <si>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</si>
  <si>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</si>
  <si>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</si>
  <si>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</si>
  <si>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</si>
  <si>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</si>
  <si>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</si>
  <si>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</si>
  <si>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</si>
  <si>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</si>
  <si>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</si>
  <si>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</si>
  <si>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</si>
  <si>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</si>
  <si>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</si>
  <si>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</si>
  <si>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</si>
  <si>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</si>
  <si>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</si>
  <si>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</si>
  <si>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</si>
  <si>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</si>
  <si>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</si>
  <si>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</si>
  <si>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</si>
  <si>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</si>
  <si>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</si>
  <si>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</si>
  <si>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</si>
  <si>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</si>
  <si>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</si>
  <si>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</si>
  <si>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</si>
  <si>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</si>
  <si>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</si>
  <si>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</si>
  <si>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</si>
  <si>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</si>
  <si>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</si>
  <si>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</si>
  <si>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</si>
  <si>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</si>
  <si>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</si>
  <si>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</si>
  <si>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</si>
  <si>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</si>
  <si>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</si>
  <si>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</si>
  <si>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</si>
  <si>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</si>
  <si>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</si>
  <si>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</si>
  <si>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</si>
  <si>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</si>
  <si>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</si>
  <si>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</si>
  <si>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</si>
  <si>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</si>
  <si>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</si>
  <si>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</si>
  <si>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</si>
  <si>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</si>
  <si>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</si>
  <si>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</si>
  <si>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</si>
  <si>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</si>
  <si>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</si>
  <si>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</si>
  <si>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</si>
  <si>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</si>
  <si>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</si>
  <si>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</si>
  <si>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</si>
  <si>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</si>
  <si>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</si>
  <si>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</si>
  <si>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</si>
  <si>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</si>
  <si>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</si>
  <si>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</si>
  <si>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</si>
  <si>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</si>
  <si>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</si>
  <si>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</si>
  <si>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</si>
  <si>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</si>
  <si>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</si>
  <si>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</si>
  <si>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</si>
  <si>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</si>
  <si>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</si>
  <si>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</si>
  <si>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</si>
  <si>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</si>
  <si>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</si>
  <si>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</si>
  <si>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</si>
  <si>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</si>
  <si>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</si>
  <si>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</si>
  <si>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</si>
  <si>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</si>
  <si>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</si>
  <si>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</si>
  <si>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</si>
  <si>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</si>
  <si>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</si>
  <si>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</si>
  <si>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</si>
  <si>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</si>
  <si>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</si>
  <si>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</si>
  <si>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</si>
  <si>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</si>
  <si>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</si>
  <si>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</si>
  <si>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</si>
  <si>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</si>
  <si>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</si>
  <si>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</si>
  <si>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</si>
  <si>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</si>
  <si>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</si>
  <si>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</si>
  <si>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</si>
  <si>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</si>
  <si>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</si>
  <si>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</si>
  <si>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</si>
  <si>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</si>
  <si>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</si>
  <si>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</si>
  <si>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</si>
  <si>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</si>
  <si>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</si>
  <si>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</si>
  <si>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</si>
  <si>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</si>
  <si>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</si>
  <si>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</si>
  <si>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</si>
  <si>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</si>
  <si>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</si>
  <si>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</si>
  <si>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</si>
  <si>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</si>
  <si>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</si>
  <si>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</si>
  <si>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</si>
  <si>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</si>
  <si>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</si>
  <si>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</si>
  <si>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</si>
  <si>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</si>
  <si>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</si>
  <si>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</si>
  <si>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</si>
  <si>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</si>
  <si>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</si>
  <si>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</si>
  <si>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</si>
  <si>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</si>
  <si>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</si>
  <si>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</si>
  <si>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</si>
  <si>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</si>
  <si>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</si>
  <si>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</si>
  <si>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</si>
  <si>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</si>
  <si>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</si>
  <si>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</si>
  <si>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</si>
  <si>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</si>
  <si>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</si>
  <si>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</si>
  <si>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</si>
  <si>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</si>
  <si>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</si>
  <si>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</si>
  <si>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</si>
  <si>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</si>
  <si>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</si>
  <si>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</si>
  <si>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</si>
  <si>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</si>
  <si>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</si>
  <si>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</si>
  <si>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</si>
  <si>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</si>
  <si>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</si>
  <si>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</si>
  <si>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</si>
  <si>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</si>
  <si>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</si>
  <si>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</si>
  <si>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</si>
  <si>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</si>
  <si>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</si>
  <si>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</si>
  <si>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</si>
  <si>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</si>
  <si>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</si>
  <si>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</si>
  <si>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</si>
  <si>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</si>
  <si>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</si>
  <si>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</si>
  <si>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</si>
  <si>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</si>
  <si>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</si>
  <si>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</si>
  <si>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</si>
  <si>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</si>
  <si>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</si>
  <si>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</si>
  <si>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</si>
  <si>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</si>
  <si>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</si>
  <si>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</si>
  <si>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</si>
  <si>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</si>
  <si>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</si>
  <si>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</si>
  <si>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</si>
  <si>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</si>
  <si>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</si>
  <si>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</si>
  <si>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</si>
  <si>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</si>
  <si>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</si>
  <si>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</si>
  <si>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</si>
  <si>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</si>
  <si>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</si>
  <si>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</si>
  <si>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</si>
  <si>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</si>
  <si>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</si>
  <si>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</si>
  <si>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</si>
  <si>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</si>
  <si>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</si>
  <si>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</si>
  <si>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</si>
  <si>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</si>
  <si>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</si>
  <si>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</si>
  <si>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</si>
  <si>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</si>
  <si>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</si>
  <si>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</si>
  <si>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</si>
  <si>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</si>
  <si>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</si>
  <si>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</si>
  <si>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</si>
  <si>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</si>
  <si>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</si>
  <si>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</si>
  <si>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</si>
  <si>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</si>
  <si>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</si>
  <si>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</si>
  <si>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</si>
  <si>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</si>
  <si>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</si>
  <si>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</si>
  <si>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</si>
  <si>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</si>
  <si>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</si>
  <si>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</si>
  <si>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</si>
  <si>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</si>
  <si>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</si>
  <si>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</si>
  <si>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</si>
  <si>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</si>
  <si>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</si>
  <si>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</si>
  <si>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</si>
  <si>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</si>
  <si>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</si>
  <si>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</si>
  <si>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</si>
  <si>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</si>
  <si>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</si>
  <si>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</si>
  <si>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</si>
  <si>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</si>
  <si>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</si>
  <si>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</si>
  <si>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</si>
  <si>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</si>
  <si>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</si>
  <si>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</si>
  <si>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</si>
  <si>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</si>
  <si>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</si>
  <si>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</si>
  <si>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</si>
  <si>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</si>
  <si>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</si>
  <si>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</si>
  <si>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</si>
  <si>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</si>
  <si>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</si>
  <si>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</si>
  <si>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</si>
  <si>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</si>
  <si>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</si>
  <si>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</si>
  <si>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</si>
  <si>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</si>
  <si>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</si>
  <si>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</si>
  <si>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</si>
  <si>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</si>
  <si>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</si>
  <si>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</si>
  <si>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</si>
  <si>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</si>
  <si>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</si>
  <si>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</si>
  <si>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</si>
  <si>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</si>
  <si>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</si>
  <si>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</si>
  <si>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</si>
  <si>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</si>
  <si>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</si>
  <si>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</si>
  <si>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</si>
  <si>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</si>
  <si>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</si>
  <si>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</si>
  <si>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</si>
  <si>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</si>
  <si>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</si>
  <si>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</si>
  <si>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</si>
  <si>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</si>
  <si>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</si>
  <si>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</si>
  <si>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</si>
  <si>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</si>
  <si>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</si>
  <si>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</si>
  <si>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</si>
  <si>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</si>
  <si>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</si>
  <si>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</si>
  <si>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</si>
  <si>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</si>
  <si>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</si>
  <si>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</si>
  <si>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</si>
  <si>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</si>
  <si>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</si>
  <si>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</si>
  <si>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</si>
  <si>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</si>
  <si>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</si>
  <si>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</si>
  <si>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</si>
  <si>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</si>
  <si>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</si>
  <si>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</si>
  <si>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</si>
  <si>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</si>
  <si>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</si>
  <si>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</si>
  <si>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</si>
  <si>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</si>
  <si>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</si>
  <si>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</si>
  <si>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</si>
  <si>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</si>
  <si>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</si>
  <si>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</si>
  <si>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</si>
  <si>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</si>
  <si>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</si>
  <si>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</si>
  <si>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</si>
  <si>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</si>
  <si>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</si>
  <si>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</si>
  <si>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</si>
  <si>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</si>
  <si>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</si>
  <si>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</si>
  <si>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</si>
  <si>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</si>
  <si>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</si>
  <si>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</si>
  <si>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</si>
  <si>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</si>
  <si>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</si>
  <si>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</si>
  <si>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</si>
  <si>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</si>
  <si>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</si>
  <si>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</si>
  <si>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</si>
  <si>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</si>
  <si>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</si>
  <si>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</si>
  <si>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</si>
  <si>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</si>
  <si>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</si>
  <si>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</si>
  <si>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</si>
  <si>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</si>
  <si>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</si>
  <si>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</si>
  <si>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</si>
  <si>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</si>
  <si>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</si>
  <si>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</si>
  <si>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</si>
  <si>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</si>
  <si>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</si>
  <si>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</si>
  <si>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</si>
  <si>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</si>
  <si>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</si>
  <si>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</si>
  <si>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</si>
  <si>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</si>
  <si>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</si>
  <si>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</si>
  <si>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</si>
  <si>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</si>
  <si>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</si>
  <si>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</si>
  <si>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</si>
  <si>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</si>
  <si>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</si>
  <si>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</si>
  <si>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</si>
  <si>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</si>
  <si>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</si>
  <si>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</si>
  <si>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</si>
  <si>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</si>
  <si>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</si>
  <si>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</si>
  <si>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</si>
  <si>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</si>
  <si>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</si>
  <si>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</si>
  <si>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</si>
  <si>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</si>
  <si>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</si>
  <si>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</si>
  <si>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</si>
  <si>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</si>
  <si>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</si>
  <si>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</si>
  <si>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</si>
  <si>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</si>
  <si>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</si>
  <si>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</si>
  <si>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</si>
  <si>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</si>
  <si>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</si>
  <si>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</si>
  <si>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</si>
  <si>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</si>
  <si>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</si>
  <si>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</si>
  <si>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</si>
  <si>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</si>
  <si>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</si>
  <si>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</si>
  <si>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</si>
  <si>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</si>
  <si>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</si>
  <si>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</si>
  <si>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</si>
  <si>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</si>
  <si>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</si>
  <si>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</si>
  <si>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</si>
  <si>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</si>
  <si>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</si>
  <si>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</si>
  <si>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</si>
  <si>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</si>
  <si>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</si>
  <si>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</si>
  <si>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</si>
  <si>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</si>
  <si>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</si>
  <si>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</si>
  <si>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</si>
  <si>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</si>
  <si>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</si>
  <si>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</si>
  <si>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</si>
  <si>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</si>
  <si>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</si>
  <si>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</si>
  <si>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</si>
  <si>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</si>
  <si>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</si>
  <si>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</si>
  <si>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</si>
  <si>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</si>
  <si>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</si>
  <si>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</si>
  <si>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</si>
  <si>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</si>
  <si>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</si>
  <si>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</si>
  <si>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</si>
  <si>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</si>
  <si>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</si>
  <si>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</si>
  <si>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</si>
  <si>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</si>
  <si>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</si>
  <si>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</si>
  <si>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</si>
  <si>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</si>
  <si>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</si>
  <si>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</si>
  <si>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</si>
  <si>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</si>
  <si>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</si>
  <si>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</si>
  <si>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</si>
  <si>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</si>
  <si>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</si>
  <si>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</si>
  <si>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</si>
  <si>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</si>
  <si>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</si>
  <si>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</si>
  <si>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</si>
  <si>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</si>
  <si>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</si>
  <si>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</si>
  <si>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</si>
  <si>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</si>
  <si>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</si>
  <si>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</si>
  <si>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</si>
  <si>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</si>
  <si>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</si>
  <si>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</si>
  <si>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</si>
  <si>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</si>
  <si>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</si>
  <si>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</si>
  <si>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</si>
  <si>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</si>
  <si>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</si>
  <si>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</si>
  <si>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</si>
  <si>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</si>
  <si>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</si>
  <si>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</si>
  <si>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</si>
  <si>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</si>
  <si>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</si>
  <si>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</si>
  <si>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</si>
  <si>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</si>
  <si>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</si>
  <si>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</si>
  <si>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</si>
  <si>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</si>
  <si>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</si>
  <si>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</si>
  <si>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</si>
  <si>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</si>
  <si>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</si>
  <si>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</si>
  <si>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</si>
  <si>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</si>
  <si>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</si>
  <si>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</si>
  <si>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</si>
  <si>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</si>
  <si>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</si>
  <si>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</si>
  <si>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</si>
  <si>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</si>
  <si>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</si>
  <si>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</si>
  <si>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</si>
  <si>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</si>
  <si>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</si>
  <si>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</si>
  <si>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</si>
  <si>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</si>
  <si>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</si>
  <si>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</si>
  <si>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</si>
  <si>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</si>
  <si>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</si>
  <si>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</si>
  <si>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</si>
  <si>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</si>
  <si>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</si>
  <si>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</si>
  <si>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</si>
  <si>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</si>
  <si>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</si>
  <si>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</si>
  <si>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</si>
  <si>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</si>
  <si>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</si>
  <si>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</si>
  <si>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</si>
  <si>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</si>
  <si>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</si>
  <si>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</si>
  <si>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</si>
  <si>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</si>
  <si>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</si>
  <si>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</si>
  <si>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</si>
  <si>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</si>
  <si>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</si>
  <si>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</si>
  <si>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</si>
  <si>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</si>
  <si>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</si>
  <si>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</si>
  <si>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</si>
  <si>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</si>
  <si>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</si>
  <si>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</si>
  <si>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</si>
  <si>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</si>
  <si>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</si>
  <si>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</si>
  <si>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</si>
  <si>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</si>
  <si>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</si>
  <si>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</si>
  <si>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</si>
  <si>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</si>
  <si>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</si>
  <si>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</si>
  <si>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</si>
  <si>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</si>
  <si>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</si>
  <si>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</si>
  <si>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</si>
  <si>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</si>
  <si>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</si>
  <si>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</si>
  <si>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</si>
  <si>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</si>
  <si>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</si>
  <si>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</si>
  <si>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</si>
  <si>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</si>
  <si>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</si>
  <si>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</si>
  <si>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</si>
  <si>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</si>
  <si>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</si>
  <si>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</si>
  <si>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</si>
  <si>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</si>
  <si>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</si>
  <si>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</si>
  <si>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</si>
  <si>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</si>
  <si>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</si>
  <si>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</si>
  <si>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</si>
  <si>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</si>
  <si>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Employee Type Description</t>
  </si>
  <si>
    <t>FT</t>
  </si>
  <si>
    <t>TE</t>
  </si>
  <si>
    <t>PT</t>
  </si>
  <si>
    <t xml:space="preserve">Employee Type </t>
  </si>
  <si>
    <t>Column1</t>
  </si>
  <si>
    <t>Match+index</t>
  </si>
  <si>
    <t>Match -Row number</t>
  </si>
  <si>
    <t>MaleCount</t>
  </si>
  <si>
    <t>Female Count</t>
  </si>
  <si>
    <t>Other</t>
  </si>
  <si>
    <t>All not specified gender Employees</t>
  </si>
  <si>
    <t>Female head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</si>
</sst>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_);[Red]\(&quot;$&quot;#,##0\)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u/>
      <sz val="15"/>
      <color theme="1"/>
      <name val="Aptos Narrow"/>
      <family val="2"/>
      <scheme val="minor"/>
    </font>
    <font>
      <b/>
      <u/>
      <sz val="15"/>
      <color theme="3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0" borderId="7" xfId="0" applyBorder="1"/>
    <xf numFmtId="0" fontId="2" fillId="0" borderId="1" xfId="2"/>
    <xf numFmtId="44" fontId="0" fillId="0" borderId="0" xfId="1" applyFont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8" xfId="0" applyBorder="1"/>
    <xf numFmtId="44" fontId="0" fillId="0" borderId="8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9" fontId="7" fillId="0" borderId="0" xfId="3" applyFont="1"/>
    <xf numFmtId="0" fontId="8" fillId="0" borderId="0" xfId="0" applyFont="1"/>
    <xf numFmtId="0" fontId="9" fillId="0" borderId="0" xfId="2" applyFont="1" applyFill="1" applyBorder="1"/>
    <xf numFmtId="0" fontId="2" fillId="0" borderId="0" xfId="2" applyFill="1" applyBorder="1" applyAlignment="1"/>
    <xf numFmtId="0" fontId="10" fillId="0" borderId="0" xfId="0" applyFont="1"/>
    <xf numFmtId="0" fontId="3" fillId="0" borderId="0" xfId="0" applyFont="1" applyAlignment="1">
      <alignment horizontal="center"/>
    </xf>
    <xf numFmtId="0" fontId="11" fillId="0" borderId="1" xfId="2" applyFont="1"/>
    <xf numFmtId="0" fontId="12" fillId="0" borderId="0" xfId="0" applyFont="1"/>
    <xf numFmtId="9" fontId="0" fillId="0" borderId="0" xfId="3" applyFont="1"/>
  </cellXfs>
  <cellStyles count="4">
    <cellStyle name="Currency" xfId="1" builtinId="4"/>
    <cellStyle name="Heading 1" xfId="2" builtinId="16"/>
    <cellStyle name="Normal" xfId="0" builtinId="0"/>
    <cellStyle name="Percent" xfId="3" builtinId="5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N261" totalsRowShown="0">
  <autoFilter ref="A1:N261" xr:uid="{39788D91-F5B9-496B-94EF-C3A4602C3B4E}"/>
  <sortState xmlns:xlrd2="http://schemas.microsoft.com/office/spreadsheetml/2017/richdata2" ref="A2:M261">
    <sortCondition ref="A7:A267"/>
  </sortState>
  <tableColumns count="14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  <tableColumn id="14" xr3:uid="{47582C4C-0337-4265-81B3-F29B74BED662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opLeftCell="A10" workbookViewId="0">
      <selection activeCell="D19" sqref="D19"/>
    </sheetView>
  </sheetViews>
  <sheetFormatPr defaultRowHeight="14.5" x14ac:dyDescent="0.35"/>
  <cols>
    <col min="1" max="1" width="1.6328125" customWidth="1"/>
    <col min="2" max="2" width="3.6328125" customWidth="1"/>
    <col min="3" max="3" width="4.54296875" customWidth="1"/>
    <col min="4" max="4" width="48.08984375" customWidth="1"/>
    <col min="5" max="5" width="6" customWidth="1"/>
    <col min="6" max="6" width="37.453125" customWidth="1"/>
    <col min="7" max="7" width="36.08984375" bestFit="1" customWidth="1"/>
    <col min="8" max="8" width="11.90625" bestFit="1" customWidth="1"/>
    <col min="9" max="9" width="14.90625" customWidth="1"/>
    <col min="10" max="10" width="11.90625" customWidth="1"/>
    <col min="12" max="12" width="16.453125" customWidth="1"/>
    <col min="13" max="13" width="15.54296875" customWidth="1"/>
    <col min="14" max="14" width="13.453125" bestFit="1" customWidth="1"/>
    <col min="15" max="15" width="12.6328125" customWidth="1"/>
  </cols>
  <sheetData>
    <row r="1" spans="1:14" s="2" customFormat="1" ht="52.5" customHeight="1" x14ac:dyDescent="0.35">
      <c r="A1" s="1"/>
      <c r="C1" s="3" t="s">
        <v>0</v>
      </c>
    </row>
    <row r="5" spans="1:14" ht="21" customHeight="1" x14ac:dyDescent="0.35">
      <c r="C5" s="4"/>
      <c r="D5" s="5" t="s">
        <v>1</v>
      </c>
      <c r="E5" s="4"/>
      <c r="F5" s="5" t="s">
        <v>2</v>
      </c>
      <c r="G5" s="5" t="s">
        <v>3</v>
      </c>
      <c r="H5" s="30" t="s">
        <v>768</v>
      </c>
    </row>
    <row r="6" spans="1:14" ht="21" customHeight="1" x14ac:dyDescent="0.35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 x14ac:dyDescent="0.35">
      <c r="C7" s="32">
        <v>2</v>
      </c>
      <c r="D7" s="31" t="s">
        <v>776</v>
      </c>
      <c r="E7" s="7"/>
      <c r="F7" s="8" t="s">
        <v>770</v>
      </c>
      <c r="G7" s="31" t="s">
        <v>769</v>
      </c>
      <c r="H7" s="8" t="s">
        <v>770</v>
      </c>
      <c r="J7" s="10"/>
      <c r="N7" s="11"/>
    </row>
    <row r="8" spans="1:14" ht="21" customHeight="1" x14ac:dyDescent="0.35">
      <c r="C8" s="12">
        <v>3</v>
      </c>
      <c r="D8" s="13" t="s">
        <v>7</v>
      </c>
      <c r="E8" s="13"/>
      <c r="F8" s="14" t="s">
        <v>775</v>
      </c>
      <c r="G8" s="13"/>
      <c r="H8" s="9"/>
      <c r="J8" s="10"/>
      <c r="N8" s="11"/>
    </row>
    <row r="9" spans="1:14" ht="21" customHeight="1" x14ac:dyDescent="0.35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65" customHeight="1" x14ac:dyDescent="0.35">
      <c r="C10" s="34">
        <v>5</v>
      </c>
      <c r="D10" s="33" t="s">
        <v>778</v>
      </c>
      <c r="E10" s="13"/>
      <c r="F10" s="14"/>
      <c r="G10" s="31" t="s">
        <v>769</v>
      </c>
      <c r="H10" s="9"/>
      <c r="J10" s="10"/>
      <c r="N10" s="11"/>
    </row>
    <row r="11" spans="1:14" ht="21" customHeight="1" x14ac:dyDescent="0.35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35">
      <c r="C12" s="12">
        <v>7</v>
      </c>
      <c r="D12" s="37" t="s">
        <v>783</v>
      </c>
      <c r="E12" s="13"/>
      <c r="F12" s="14" t="s">
        <v>784</v>
      </c>
      <c r="G12" s="37" t="s">
        <v>769</v>
      </c>
      <c r="H12" s="9"/>
      <c r="J12" s="10"/>
      <c r="N12" s="11"/>
    </row>
    <row r="13" spans="1:14" ht="21" customHeight="1" x14ac:dyDescent="0.35">
      <c r="C13" s="12">
        <v>8</v>
      </c>
      <c r="D13" s="13" t="s">
        <v>12</v>
      </c>
      <c r="E13" s="13"/>
      <c r="F13" s="14" t="s">
        <v>787</v>
      </c>
      <c r="G13" s="15"/>
      <c r="H13" s="9"/>
      <c r="J13" s="10"/>
      <c r="N13" s="11"/>
    </row>
    <row r="14" spans="1:14" ht="21" customHeight="1" x14ac:dyDescent="0.35">
      <c r="C14" s="12">
        <v>9</v>
      </c>
      <c r="D14" s="37" t="s">
        <v>788</v>
      </c>
      <c r="E14" s="13"/>
      <c r="F14" s="14" t="s">
        <v>802</v>
      </c>
      <c r="G14" s="31" t="s">
        <v>769</v>
      </c>
      <c r="H14" s="9"/>
      <c r="J14" s="10"/>
      <c r="N14" s="11"/>
    </row>
    <row r="15" spans="1:14" ht="21" customHeight="1" x14ac:dyDescent="0.35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35">
      <c r="C16" s="12">
        <v>10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 x14ac:dyDescent="0.35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35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35">
      <c r="C19" s="12">
        <v>13</v>
      </c>
      <c r="D19" s="16" t="s">
        <v>803</v>
      </c>
      <c r="E19" s="19"/>
      <c r="F19" s="38"/>
      <c r="G19" s="31" t="s">
        <v>769</v>
      </c>
      <c r="H19" s="9"/>
      <c r="J19" s="10"/>
      <c r="N19" s="11"/>
    </row>
    <row r="20" spans="3:14" ht="29" x14ac:dyDescent="0.35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x14ac:dyDescent="0.35">
      <c r="C21" s="39">
        <v>15</v>
      </c>
      <c r="D21" s="18" t="s">
        <v>23</v>
      </c>
      <c r="G21" s="31" t="s">
        <v>769</v>
      </c>
      <c r="H21" s="9"/>
      <c r="J21" s="10"/>
      <c r="N21" s="11"/>
    </row>
    <row r="22" spans="3:14" x14ac:dyDescent="0.35">
      <c r="H22" s="9"/>
      <c r="J22" s="10"/>
      <c r="N22" s="11"/>
    </row>
    <row r="23" spans="3:14" x14ac:dyDescent="0.35">
      <c r="H23" s="9"/>
      <c r="J23" s="10"/>
      <c r="N23" s="11"/>
    </row>
    <row r="24" spans="3:14" x14ac:dyDescent="0.35">
      <c r="H24" s="9"/>
      <c r="J24" s="10"/>
      <c r="N24" s="11"/>
    </row>
    <row r="25" spans="3:14" x14ac:dyDescent="0.35">
      <c r="H25" s="9"/>
      <c r="J25" s="10"/>
      <c r="N25" s="11"/>
    </row>
    <row r="26" spans="3:14" x14ac:dyDescent="0.35">
      <c r="H26" s="9"/>
      <c r="J26" s="10"/>
      <c r="N26" s="11"/>
    </row>
    <row r="27" spans="3:14" x14ac:dyDescent="0.35">
      <c r="H27" s="9"/>
      <c r="J27" s="10"/>
      <c r="N27" s="11"/>
    </row>
    <row r="28" spans="3:14" x14ac:dyDescent="0.35">
      <c r="H28" s="9"/>
      <c r="J28" s="10"/>
      <c r="N28" s="11"/>
    </row>
    <row r="29" spans="3:14" x14ac:dyDescent="0.35">
      <c r="H29" s="9"/>
      <c r="J29" s="10"/>
      <c r="N29" s="11"/>
    </row>
    <row r="30" spans="3:14" x14ac:dyDescent="0.35">
      <c r="H30" s="9"/>
      <c r="J30" s="10"/>
      <c r="N30" s="11"/>
    </row>
    <row r="31" spans="3:14" x14ac:dyDescent="0.35">
      <c r="H31" s="9"/>
      <c r="J31" s="10"/>
      <c r="N31" s="11"/>
    </row>
    <row r="32" spans="3:14" x14ac:dyDescent="0.35">
      <c r="H32" s="9"/>
      <c r="J32" s="10"/>
      <c r="N32" s="11"/>
    </row>
    <row r="33" spans="8:14" x14ac:dyDescent="0.35">
      <c r="H33" s="9"/>
      <c r="J33" s="10"/>
      <c r="N33" s="11"/>
    </row>
    <row r="34" spans="8:14" x14ac:dyDescent="0.35">
      <c r="H34" s="9"/>
      <c r="J34" s="10"/>
      <c r="N34" s="11"/>
    </row>
    <row r="35" spans="8:14" x14ac:dyDescent="0.35">
      <c r="H35" s="9"/>
      <c r="J35" s="10"/>
      <c r="N35" s="11"/>
    </row>
    <row r="36" spans="8:14" x14ac:dyDescent="0.35">
      <c r="H36" s="9"/>
      <c r="J36" s="10"/>
      <c r="N36" s="11"/>
    </row>
    <row r="37" spans="8:14" x14ac:dyDescent="0.35">
      <c r="H37" s="9"/>
      <c r="J37" s="10"/>
      <c r="N37" s="11"/>
    </row>
    <row r="38" spans="8:14" x14ac:dyDescent="0.35">
      <c r="H38" s="9"/>
      <c r="J38" s="10"/>
      <c r="N38" s="11"/>
    </row>
    <row r="39" spans="8:14" x14ac:dyDescent="0.35">
      <c r="H39" s="9"/>
      <c r="J39" s="10"/>
      <c r="N39" s="11"/>
    </row>
    <row r="40" spans="8:14" x14ac:dyDescent="0.35">
      <c r="H40" s="9"/>
      <c r="J40" s="10"/>
      <c r="N40" s="11"/>
    </row>
    <row r="41" spans="8:14" x14ac:dyDescent="0.35">
      <c r="H41" s="9"/>
      <c r="J41" s="10"/>
      <c r="N41" s="11"/>
    </row>
    <row r="42" spans="8:14" x14ac:dyDescent="0.35">
      <c r="H42" s="9"/>
      <c r="J42" s="10"/>
      <c r="N42" s="11"/>
    </row>
    <row r="43" spans="8:14" x14ac:dyDescent="0.35">
      <c r="H43" s="9"/>
      <c r="J43" s="10"/>
      <c r="N43" s="11"/>
    </row>
    <row r="44" spans="8:14" x14ac:dyDescent="0.35">
      <c r="H44" s="9"/>
      <c r="J44" s="10"/>
      <c r="N44" s="11"/>
    </row>
    <row r="45" spans="8:14" x14ac:dyDescent="0.35">
      <c r="H45" s="9"/>
      <c r="J45" s="10"/>
      <c r="N45" s="11"/>
    </row>
    <row r="46" spans="8:14" x14ac:dyDescent="0.35">
      <c r="H46" s="9"/>
      <c r="J46" s="10"/>
      <c r="N46" s="11"/>
    </row>
    <row r="47" spans="8:14" x14ac:dyDescent="0.35">
      <c r="H47" s="9"/>
      <c r="J47" s="10"/>
      <c r="N47" s="11"/>
    </row>
    <row r="48" spans="8:14" x14ac:dyDescent="0.35">
      <c r="H48" s="9"/>
      <c r="J48" s="10"/>
      <c r="N48" s="11"/>
    </row>
    <row r="49" spans="8:14" x14ac:dyDescent="0.35">
      <c r="H49" s="9"/>
      <c r="J49" s="10"/>
      <c r="N49" s="11"/>
    </row>
    <row r="50" spans="8:14" x14ac:dyDescent="0.35">
      <c r="H50" s="9"/>
      <c r="J50" s="10"/>
      <c r="N50" s="11"/>
    </row>
    <row r="51" spans="8:14" x14ac:dyDescent="0.35">
      <c r="H51" s="9"/>
      <c r="J51" s="10"/>
      <c r="N51" s="11"/>
    </row>
    <row r="52" spans="8:14" x14ac:dyDescent="0.35">
      <c r="H52" s="9"/>
      <c r="J52" s="10"/>
      <c r="N52" s="11"/>
    </row>
    <row r="53" spans="8:14" x14ac:dyDescent="0.35">
      <c r="H53" s="9"/>
      <c r="J53" s="10"/>
      <c r="N53" s="11"/>
    </row>
    <row r="54" spans="8:14" x14ac:dyDescent="0.35">
      <c r="H54" s="9"/>
      <c r="J54" s="10"/>
      <c r="N54" s="11"/>
    </row>
    <row r="55" spans="8:14" x14ac:dyDescent="0.35">
      <c r="H55" s="9"/>
      <c r="J55" s="10"/>
      <c r="N55" s="11"/>
    </row>
    <row r="56" spans="8:14" x14ac:dyDescent="0.35">
      <c r="H56" s="9"/>
      <c r="J56" s="10"/>
      <c r="N56" s="11"/>
    </row>
    <row r="57" spans="8:14" x14ac:dyDescent="0.35">
      <c r="H57" s="9"/>
      <c r="J57" s="10"/>
      <c r="N57" s="11"/>
    </row>
    <row r="58" spans="8:14" x14ac:dyDescent="0.35">
      <c r="H58" s="9"/>
      <c r="J58" s="10"/>
      <c r="N58" s="11"/>
    </row>
    <row r="59" spans="8:14" x14ac:dyDescent="0.35">
      <c r="H59" s="9"/>
      <c r="J59" s="10"/>
      <c r="N59" s="11"/>
    </row>
    <row r="60" spans="8:14" x14ac:dyDescent="0.35">
      <c r="H60" s="9"/>
      <c r="J60" s="10"/>
      <c r="N60" s="11"/>
    </row>
    <row r="61" spans="8:14" x14ac:dyDescent="0.35">
      <c r="H61" s="9"/>
      <c r="J61" s="10"/>
      <c r="N61" s="11"/>
    </row>
    <row r="62" spans="8:14" x14ac:dyDescent="0.35">
      <c r="H62" s="9"/>
      <c r="J62" s="10"/>
      <c r="N62" s="11"/>
    </row>
    <row r="63" spans="8:14" x14ac:dyDescent="0.35">
      <c r="H63" s="9"/>
      <c r="J63" s="10"/>
      <c r="N63" s="11"/>
    </row>
    <row r="64" spans="8:14" x14ac:dyDescent="0.35">
      <c r="H64" s="9"/>
      <c r="J64" s="10"/>
      <c r="N64" s="11"/>
    </row>
    <row r="65" spans="8:14" x14ac:dyDescent="0.35">
      <c r="H65" s="9"/>
      <c r="J65" s="10"/>
      <c r="N65" s="11"/>
    </row>
    <row r="66" spans="8:14" x14ac:dyDescent="0.35">
      <c r="H66" s="9"/>
      <c r="J66" s="10"/>
      <c r="N66" s="11"/>
    </row>
    <row r="67" spans="8:14" x14ac:dyDescent="0.35">
      <c r="H67" s="9"/>
      <c r="J67" s="10"/>
      <c r="N67" s="11"/>
    </row>
    <row r="68" spans="8:14" x14ac:dyDescent="0.35">
      <c r="H68" s="9"/>
      <c r="J68" s="10"/>
      <c r="N68" s="11"/>
    </row>
    <row r="69" spans="8:14" x14ac:dyDescent="0.35">
      <c r="H69" s="9"/>
      <c r="J69" s="10"/>
      <c r="N69" s="11"/>
    </row>
    <row r="70" spans="8:14" x14ac:dyDescent="0.35">
      <c r="H70" s="9"/>
      <c r="J70" s="10"/>
      <c r="N70" s="11"/>
    </row>
    <row r="71" spans="8:14" x14ac:dyDescent="0.35">
      <c r="H71" s="9"/>
      <c r="J71" s="10"/>
      <c r="N71" s="11"/>
    </row>
    <row r="72" spans="8:14" x14ac:dyDescent="0.35">
      <c r="H72" s="9"/>
      <c r="J72" s="10"/>
      <c r="N72" s="11"/>
    </row>
    <row r="73" spans="8:14" x14ac:dyDescent="0.35">
      <c r="H73" s="9"/>
      <c r="J73" s="10"/>
      <c r="N73" s="11"/>
    </row>
    <row r="74" spans="8:14" x14ac:dyDescent="0.35">
      <c r="H74" s="9"/>
      <c r="J74" s="10"/>
      <c r="N74" s="11"/>
    </row>
    <row r="75" spans="8:14" x14ac:dyDescent="0.35">
      <c r="H75" s="9"/>
      <c r="J75" s="10"/>
      <c r="N75" s="11"/>
    </row>
    <row r="76" spans="8:14" x14ac:dyDescent="0.35">
      <c r="H76" s="9"/>
      <c r="J76" s="10"/>
      <c r="N76" s="11"/>
    </row>
    <row r="77" spans="8:14" x14ac:dyDescent="0.35">
      <c r="H77" s="9"/>
      <c r="J77" s="10"/>
      <c r="N77" s="11"/>
    </row>
    <row r="78" spans="8:14" x14ac:dyDescent="0.35">
      <c r="H78" s="9"/>
      <c r="J78" s="10"/>
      <c r="N78" s="11"/>
    </row>
    <row r="79" spans="8:14" x14ac:dyDescent="0.35">
      <c r="H79" s="9"/>
      <c r="J79" s="10"/>
      <c r="N79" s="11"/>
    </row>
    <row r="80" spans="8:14" x14ac:dyDescent="0.35">
      <c r="H80" s="9"/>
      <c r="J80" s="10"/>
      <c r="N80" s="11"/>
    </row>
    <row r="81" spans="8:14" x14ac:dyDescent="0.35">
      <c r="H81" s="9"/>
      <c r="J81" s="10"/>
      <c r="N81" s="11"/>
    </row>
    <row r="82" spans="8:14" x14ac:dyDescent="0.35">
      <c r="H82" s="9"/>
      <c r="J82" s="10"/>
      <c r="N82" s="11"/>
    </row>
    <row r="83" spans="8:14" x14ac:dyDescent="0.35">
      <c r="H83" s="9"/>
      <c r="J83" s="10"/>
      <c r="N83" s="11"/>
    </row>
    <row r="84" spans="8:14" x14ac:dyDescent="0.35">
      <c r="H84" s="9"/>
      <c r="J84" s="10"/>
      <c r="N84" s="11"/>
    </row>
    <row r="85" spans="8:14" x14ac:dyDescent="0.35">
      <c r="H85" s="9"/>
      <c r="J85" s="10"/>
      <c r="N85" s="11"/>
    </row>
    <row r="86" spans="8:14" x14ac:dyDescent="0.35">
      <c r="H86" s="9"/>
      <c r="J86" s="10"/>
      <c r="N86" s="11"/>
    </row>
    <row r="87" spans="8:14" x14ac:dyDescent="0.35">
      <c r="H87" s="9"/>
      <c r="J87" s="10"/>
      <c r="N87" s="11"/>
    </row>
    <row r="88" spans="8:14" x14ac:dyDescent="0.35">
      <c r="H88" s="9"/>
      <c r="J88" s="10"/>
      <c r="N88" s="11"/>
    </row>
    <row r="89" spans="8:14" x14ac:dyDescent="0.35">
      <c r="H89" s="9"/>
      <c r="J89" s="10"/>
      <c r="N89" s="11"/>
    </row>
    <row r="90" spans="8:14" x14ac:dyDescent="0.35">
      <c r="H90" s="9"/>
      <c r="J90" s="10"/>
      <c r="N90" s="11"/>
    </row>
    <row r="91" spans="8:14" x14ac:dyDescent="0.35">
      <c r="H91" s="9"/>
      <c r="J91" s="10"/>
      <c r="N91" s="11"/>
    </row>
    <row r="92" spans="8:14" x14ac:dyDescent="0.35">
      <c r="H92" s="9"/>
      <c r="J92" s="10"/>
      <c r="N92" s="11"/>
    </row>
    <row r="93" spans="8:14" x14ac:dyDescent="0.35">
      <c r="H93" s="9"/>
      <c r="J93" s="10"/>
      <c r="N93" s="11"/>
    </row>
    <row r="94" spans="8:14" x14ac:dyDescent="0.35">
      <c r="H94" s="9"/>
      <c r="J94" s="10"/>
      <c r="N94" s="11"/>
    </row>
    <row r="95" spans="8:14" x14ac:dyDescent="0.35">
      <c r="H95" s="9"/>
      <c r="J95" s="10"/>
      <c r="N95" s="11"/>
    </row>
    <row r="96" spans="8:14" x14ac:dyDescent="0.35">
      <c r="H96" s="9"/>
      <c r="J96" s="10"/>
      <c r="N96" s="11"/>
    </row>
    <row r="97" spans="8:14" x14ac:dyDescent="0.35">
      <c r="H97" s="9"/>
      <c r="J97" s="10"/>
      <c r="N97" s="11"/>
    </row>
    <row r="98" spans="8:14" x14ac:dyDescent="0.35">
      <c r="H98" s="9"/>
      <c r="J98" s="10"/>
      <c r="N98" s="11"/>
    </row>
    <row r="99" spans="8:14" x14ac:dyDescent="0.35">
      <c r="H99" s="9"/>
      <c r="J99" s="10"/>
      <c r="N99" s="11"/>
    </row>
    <row r="100" spans="8:14" x14ac:dyDescent="0.35">
      <c r="H100" s="9"/>
      <c r="J100" s="10"/>
      <c r="N100" s="11"/>
    </row>
    <row r="101" spans="8:14" x14ac:dyDescent="0.35">
      <c r="H101" s="9"/>
      <c r="J101" s="10"/>
      <c r="N101" s="11"/>
    </row>
    <row r="102" spans="8:14" x14ac:dyDescent="0.35">
      <c r="H102" s="9"/>
      <c r="J102" s="10"/>
      <c r="N102" s="11"/>
    </row>
    <row r="103" spans="8:14" x14ac:dyDescent="0.35">
      <c r="H103" s="9"/>
      <c r="J103" s="10"/>
      <c r="N103" s="11"/>
    </row>
    <row r="104" spans="8:14" x14ac:dyDescent="0.35">
      <c r="H104" s="9"/>
      <c r="J104" s="10"/>
      <c r="N104" s="11"/>
    </row>
    <row r="105" spans="8:14" x14ac:dyDescent="0.35">
      <c r="H105" s="9"/>
      <c r="J105" s="10"/>
      <c r="N105" s="11"/>
    </row>
    <row r="106" spans="8:14" x14ac:dyDescent="0.35">
      <c r="H106" s="9"/>
      <c r="J106" s="10"/>
      <c r="N106" s="11"/>
    </row>
    <row r="107" spans="8:14" x14ac:dyDescent="0.35">
      <c r="H107" s="9"/>
      <c r="J107" s="10"/>
      <c r="N107" s="11"/>
    </row>
    <row r="108" spans="8:14" x14ac:dyDescent="0.35">
      <c r="H108" s="9"/>
      <c r="J108" s="10"/>
      <c r="N108" s="11"/>
    </row>
    <row r="109" spans="8:14" x14ac:dyDescent="0.35">
      <c r="H109" s="9"/>
      <c r="J109" s="10"/>
      <c r="N109" s="11"/>
    </row>
    <row r="110" spans="8:14" x14ac:dyDescent="0.35">
      <c r="H110" s="9"/>
      <c r="J110" s="10"/>
      <c r="N110" s="11"/>
    </row>
    <row r="111" spans="8:14" x14ac:dyDescent="0.35">
      <c r="H111" s="9"/>
      <c r="J111" s="10"/>
      <c r="N111" s="11"/>
    </row>
    <row r="112" spans="8:14" x14ac:dyDescent="0.35">
      <c r="H112" s="9"/>
      <c r="J112" s="10"/>
      <c r="N112" s="11"/>
    </row>
    <row r="113" spans="8:14" x14ac:dyDescent="0.35">
      <c r="H113" s="9"/>
      <c r="J113" s="10"/>
      <c r="N113" s="11"/>
    </row>
    <row r="114" spans="8:14" x14ac:dyDescent="0.35">
      <c r="H114" s="9"/>
      <c r="J114" s="10"/>
      <c r="N114" s="11"/>
    </row>
    <row r="115" spans="8:14" x14ac:dyDescent="0.35">
      <c r="H115" s="9"/>
      <c r="J115" s="10"/>
      <c r="N115" s="11"/>
    </row>
    <row r="116" spans="8:14" x14ac:dyDescent="0.35">
      <c r="H116" s="9"/>
      <c r="J116" s="10"/>
      <c r="N116" s="11"/>
    </row>
    <row r="117" spans="8:14" x14ac:dyDescent="0.35">
      <c r="H117" s="9"/>
      <c r="J117" s="10"/>
      <c r="N117" s="11"/>
    </row>
    <row r="118" spans="8:14" x14ac:dyDescent="0.35">
      <c r="H118" s="9"/>
      <c r="J118" s="10"/>
      <c r="N118" s="11"/>
    </row>
    <row r="119" spans="8:14" x14ac:dyDescent="0.35">
      <c r="H119" s="9"/>
      <c r="J119" s="10"/>
      <c r="N119" s="11"/>
    </row>
    <row r="120" spans="8:14" x14ac:dyDescent="0.35">
      <c r="H120" s="9"/>
      <c r="J120" s="10"/>
      <c r="N120" s="11"/>
    </row>
    <row r="121" spans="8:14" x14ac:dyDescent="0.35">
      <c r="H121" s="9"/>
      <c r="J121" s="10"/>
      <c r="N121" s="11"/>
    </row>
    <row r="122" spans="8:14" x14ac:dyDescent="0.35">
      <c r="H122" s="9"/>
      <c r="J122" s="10"/>
      <c r="N122" s="11"/>
    </row>
    <row r="123" spans="8:14" x14ac:dyDescent="0.35">
      <c r="H123" s="9"/>
      <c r="J123" s="10"/>
      <c r="N123" s="11"/>
    </row>
    <row r="124" spans="8:14" x14ac:dyDescent="0.35">
      <c r="H124" s="9"/>
      <c r="J124" s="10"/>
      <c r="N124" s="11"/>
    </row>
    <row r="125" spans="8:14" x14ac:dyDescent="0.35">
      <c r="H125" s="9"/>
      <c r="J125" s="10"/>
      <c r="N125" s="11"/>
    </row>
    <row r="126" spans="8:14" x14ac:dyDescent="0.35">
      <c r="H126" s="9"/>
      <c r="J126" s="10"/>
      <c r="N126" s="11"/>
    </row>
    <row r="127" spans="8:14" x14ac:dyDescent="0.35">
      <c r="H127" s="9"/>
      <c r="J127" s="10"/>
      <c r="N127" s="11"/>
    </row>
    <row r="128" spans="8:14" x14ac:dyDescent="0.35">
      <c r="H128" s="9"/>
      <c r="J128" s="10"/>
      <c r="N128" s="11"/>
    </row>
    <row r="129" spans="8:14" x14ac:dyDescent="0.35">
      <c r="H129" s="9"/>
      <c r="J129" s="10"/>
      <c r="N129" s="11"/>
    </row>
    <row r="130" spans="8:14" x14ac:dyDescent="0.35">
      <c r="H130" s="9"/>
      <c r="J130" s="10"/>
      <c r="N130" s="11"/>
    </row>
    <row r="131" spans="8:14" x14ac:dyDescent="0.35">
      <c r="H131" s="9"/>
      <c r="J131" s="10"/>
      <c r="N131" s="11"/>
    </row>
    <row r="132" spans="8:14" x14ac:dyDescent="0.35">
      <c r="H132" s="9"/>
      <c r="J132" s="10"/>
      <c r="N132" s="11"/>
    </row>
    <row r="133" spans="8:14" x14ac:dyDescent="0.35">
      <c r="H133" s="9"/>
      <c r="J133" s="10"/>
      <c r="N133" s="11"/>
    </row>
    <row r="134" spans="8:14" x14ac:dyDescent="0.35">
      <c r="H134" s="9"/>
      <c r="J134" s="10"/>
      <c r="N134" s="11"/>
    </row>
    <row r="135" spans="8:14" x14ac:dyDescent="0.35">
      <c r="H135" s="9"/>
      <c r="J135" s="10"/>
      <c r="N135" s="11"/>
    </row>
    <row r="136" spans="8:14" x14ac:dyDescent="0.35">
      <c r="H136" s="9"/>
      <c r="J136" s="10"/>
      <c r="N136" s="11"/>
    </row>
    <row r="137" spans="8:14" x14ac:dyDescent="0.35">
      <c r="H137" s="9"/>
      <c r="J137" s="10"/>
      <c r="N137" s="11"/>
    </row>
    <row r="138" spans="8:14" x14ac:dyDescent="0.35">
      <c r="H138" s="9"/>
      <c r="J138" s="10"/>
      <c r="N138" s="11"/>
    </row>
    <row r="139" spans="8:14" x14ac:dyDescent="0.35">
      <c r="H139" s="9"/>
      <c r="J139" s="10"/>
      <c r="N139" s="11"/>
    </row>
    <row r="140" spans="8:14" x14ac:dyDescent="0.35">
      <c r="H140" s="9"/>
      <c r="J140" s="10"/>
      <c r="N140" s="11"/>
    </row>
    <row r="141" spans="8:14" x14ac:dyDescent="0.35">
      <c r="H141" s="9"/>
      <c r="J141" s="10"/>
      <c r="N141" s="11"/>
    </row>
    <row r="142" spans="8:14" x14ac:dyDescent="0.35">
      <c r="H142" s="9"/>
      <c r="J142" s="10"/>
      <c r="N142" s="11"/>
    </row>
    <row r="143" spans="8:14" x14ac:dyDescent="0.35">
      <c r="H143" s="9"/>
      <c r="J143" s="10"/>
      <c r="N143" s="11"/>
    </row>
    <row r="144" spans="8:14" x14ac:dyDescent="0.35">
      <c r="H144" s="9"/>
      <c r="J144" s="10"/>
      <c r="N144" s="11"/>
    </row>
    <row r="145" spans="8:14" x14ac:dyDescent="0.35">
      <c r="H145" s="9"/>
      <c r="J145" s="10"/>
      <c r="N145" s="11"/>
    </row>
    <row r="146" spans="8:14" x14ac:dyDescent="0.35">
      <c r="H146" s="9"/>
      <c r="J146" s="10"/>
      <c r="N146" s="11"/>
    </row>
    <row r="147" spans="8:14" x14ac:dyDescent="0.35">
      <c r="H147" s="9"/>
      <c r="J147" s="10"/>
      <c r="N147" s="11"/>
    </row>
    <row r="148" spans="8:14" x14ac:dyDescent="0.35">
      <c r="H148" s="9"/>
      <c r="J148" s="10"/>
      <c r="N148" s="11"/>
    </row>
    <row r="149" spans="8:14" x14ac:dyDescent="0.35">
      <c r="H149" s="9"/>
      <c r="J149" s="10"/>
      <c r="N149" s="11"/>
    </row>
    <row r="150" spans="8:14" x14ac:dyDescent="0.35">
      <c r="H150" s="9"/>
      <c r="J150" s="10"/>
      <c r="N150" s="11"/>
    </row>
    <row r="151" spans="8:14" x14ac:dyDescent="0.35">
      <c r="H151" s="9"/>
      <c r="J151" s="10"/>
      <c r="N151" s="11"/>
    </row>
    <row r="152" spans="8:14" x14ac:dyDescent="0.35">
      <c r="H152" s="9"/>
      <c r="J152" s="10"/>
      <c r="N152" s="11"/>
    </row>
    <row r="153" spans="8:14" x14ac:dyDescent="0.35">
      <c r="H153" s="9"/>
      <c r="J153" s="10"/>
      <c r="N153" s="11"/>
    </row>
    <row r="154" spans="8:14" x14ac:dyDescent="0.35">
      <c r="H154" s="9"/>
      <c r="J154" s="10"/>
      <c r="N154" s="11"/>
    </row>
    <row r="155" spans="8:14" x14ac:dyDescent="0.35">
      <c r="H155" s="9"/>
      <c r="J155" s="10"/>
      <c r="N155" s="11"/>
    </row>
    <row r="156" spans="8:14" x14ac:dyDescent="0.35">
      <c r="H156" s="9"/>
      <c r="J156" s="10"/>
      <c r="N156" s="11"/>
    </row>
    <row r="157" spans="8:14" x14ac:dyDescent="0.35">
      <c r="H157" s="9"/>
      <c r="J157" s="10"/>
      <c r="N157" s="11"/>
    </row>
    <row r="158" spans="8:14" x14ac:dyDescent="0.35">
      <c r="H158" s="9"/>
      <c r="J158" s="10"/>
      <c r="N158" s="11"/>
    </row>
    <row r="159" spans="8:14" x14ac:dyDescent="0.35">
      <c r="H159" s="9"/>
      <c r="J159" s="10"/>
      <c r="N159" s="11"/>
    </row>
    <row r="160" spans="8:14" x14ac:dyDescent="0.35">
      <c r="H160" s="9"/>
      <c r="J160" s="10"/>
      <c r="N160" s="11"/>
    </row>
    <row r="161" spans="8:14" x14ac:dyDescent="0.35">
      <c r="H161" s="9"/>
      <c r="J161" s="10"/>
      <c r="N161" s="11"/>
    </row>
    <row r="162" spans="8:14" x14ac:dyDescent="0.35">
      <c r="H162" s="9"/>
      <c r="J162" s="10"/>
      <c r="N162" s="11"/>
    </row>
    <row r="163" spans="8:14" x14ac:dyDescent="0.35">
      <c r="H163" s="9"/>
      <c r="J163" s="10"/>
      <c r="N163" s="11"/>
    </row>
    <row r="164" spans="8:14" x14ac:dyDescent="0.35">
      <c r="H164" s="9"/>
      <c r="J164" s="10"/>
      <c r="N164" s="11"/>
    </row>
    <row r="165" spans="8:14" x14ac:dyDescent="0.35">
      <c r="H165" s="9"/>
      <c r="J165" s="10"/>
      <c r="N165" s="11"/>
    </row>
    <row r="166" spans="8:14" x14ac:dyDescent="0.35">
      <c r="H166" s="9"/>
      <c r="J166" s="10"/>
      <c r="N166" s="11"/>
    </row>
    <row r="167" spans="8:14" x14ac:dyDescent="0.35">
      <c r="H167" s="9"/>
      <c r="J167" s="10"/>
      <c r="N167" s="11"/>
    </row>
    <row r="168" spans="8:14" x14ac:dyDescent="0.35">
      <c r="H168" s="9"/>
      <c r="J168" s="10"/>
      <c r="N168" s="11"/>
    </row>
    <row r="169" spans="8:14" x14ac:dyDescent="0.35">
      <c r="H169" s="9"/>
      <c r="J169" s="10"/>
      <c r="N169" s="11"/>
    </row>
    <row r="170" spans="8:14" x14ac:dyDescent="0.35">
      <c r="H170" s="9"/>
      <c r="J170" s="10"/>
      <c r="N170" s="11"/>
    </row>
    <row r="171" spans="8:14" x14ac:dyDescent="0.35">
      <c r="H171" s="9"/>
      <c r="J171" s="10"/>
      <c r="N171" s="11"/>
    </row>
    <row r="172" spans="8:14" x14ac:dyDescent="0.35">
      <c r="H172" s="9"/>
      <c r="J172" s="10"/>
      <c r="N172" s="11"/>
    </row>
    <row r="173" spans="8:14" x14ac:dyDescent="0.35">
      <c r="H173" s="9"/>
      <c r="J173" s="10"/>
      <c r="N173" s="11"/>
    </row>
    <row r="174" spans="8:14" x14ac:dyDescent="0.35">
      <c r="H174" s="9"/>
      <c r="J174" s="10"/>
      <c r="N174" s="11"/>
    </row>
    <row r="175" spans="8:14" x14ac:dyDescent="0.35">
      <c r="H175" s="9"/>
      <c r="J175" s="10"/>
      <c r="N175" s="11"/>
    </row>
    <row r="176" spans="8:14" x14ac:dyDescent="0.35">
      <c r="H176" s="9"/>
      <c r="J176" s="10"/>
      <c r="N176" s="11"/>
    </row>
    <row r="177" spans="8:14" x14ac:dyDescent="0.35">
      <c r="H177" s="9"/>
      <c r="J177" s="10"/>
      <c r="N177" s="11"/>
    </row>
    <row r="178" spans="8:14" x14ac:dyDescent="0.35">
      <c r="H178" s="9"/>
      <c r="J178" s="10"/>
      <c r="N178" s="11"/>
    </row>
    <row r="179" spans="8:14" x14ac:dyDescent="0.35">
      <c r="H179" s="9"/>
      <c r="J179" s="10"/>
      <c r="N179" s="11"/>
    </row>
    <row r="180" spans="8:14" x14ac:dyDescent="0.35">
      <c r="H180" s="9"/>
      <c r="J180" s="10"/>
      <c r="N180" s="11"/>
    </row>
    <row r="181" spans="8:14" x14ac:dyDescent="0.35">
      <c r="H181" s="9"/>
      <c r="J181" s="10"/>
      <c r="N181" s="11"/>
    </row>
    <row r="182" spans="8:14" x14ac:dyDescent="0.35">
      <c r="H182" s="9"/>
      <c r="J182" s="10"/>
      <c r="N182" s="11"/>
    </row>
    <row r="183" spans="8:14" x14ac:dyDescent="0.35">
      <c r="H183" s="9"/>
      <c r="J183" s="10"/>
      <c r="N183" s="11"/>
    </row>
    <row r="184" spans="8:14" x14ac:dyDescent="0.35">
      <c r="H184" s="9"/>
      <c r="J184" s="10"/>
      <c r="N184" s="11"/>
    </row>
    <row r="185" spans="8:14" x14ac:dyDescent="0.35">
      <c r="H185" s="9"/>
      <c r="J185" s="10"/>
      <c r="N185" s="11"/>
    </row>
    <row r="186" spans="8:14" x14ac:dyDescent="0.35">
      <c r="H186" s="9"/>
      <c r="J186" s="10"/>
      <c r="N186" s="11"/>
    </row>
    <row r="187" spans="8:14" x14ac:dyDescent="0.35">
      <c r="H187" s="9"/>
      <c r="J187" s="10"/>
      <c r="N187" s="11"/>
    </row>
    <row r="188" spans="8:14" x14ac:dyDescent="0.35">
      <c r="H188" s="9"/>
      <c r="J188" s="10"/>
      <c r="N188" s="11"/>
    </row>
    <row r="189" spans="8:14" x14ac:dyDescent="0.35">
      <c r="H189" s="9"/>
      <c r="J189" s="10"/>
      <c r="N189" s="11"/>
    </row>
    <row r="190" spans="8:14" x14ac:dyDescent="0.35">
      <c r="H190" s="9"/>
      <c r="J190" s="10"/>
      <c r="N190" s="11"/>
    </row>
    <row r="191" spans="8:14" x14ac:dyDescent="0.35">
      <c r="H191" s="9"/>
      <c r="J191" s="10"/>
      <c r="N191" s="11"/>
    </row>
    <row r="192" spans="8:14" x14ac:dyDescent="0.35">
      <c r="H192" s="9"/>
      <c r="J192" s="10"/>
      <c r="N192" s="11"/>
    </row>
    <row r="193" spans="8:14" x14ac:dyDescent="0.35">
      <c r="H193" s="9"/>
      <c r="J193" s="10"/>
      <c r="N193" s="11"/>
    </row>
    <row r="194" spans="8:14" x14ac:dyDescent="0.35">
      <c r="H194" s="9"/>
      <c r="J194" s="10"/>
      <c r="N194" s="11"/>
    </row>
    <row r="195" spans="8:14" x14ac:dyDescent="0.35">
      <c r="H195" s="9"/>
      <c r="J195" s="10"/>
      <c r="N195" s="11"/>
    </row>
    <row r="196" spans="8:14" x14ac:dyDescent="0.35">
      <c r="H196" s="9"/>
      <c r="J196" s="10"/>
      <c r="N196" s="11"/>
    </row>
    <row r="197" spans="8:14" x14ac:dyDescent="0.35">
      <c r="H197" s="9"/>
      <c r="J197" s="10"/>
      <c r="N197" s="11"/>
    </row>
    <row r="198" spans="8:14" x14ac:dyDescent="0.35">
      <c r="H198" s="9"/>
      <c r="J198" s="10"/>
      <c r="N198" s="11"/>
    </row>
    <row r="199" spans="8:14" x14ac:dyDescent="0.35">
      <c r="H199" s="9"/>
      <c r="J199" s="10"/>
      <c r="N199" s="11"/>
    </row>
    <row r="200" spans="8:14" x14ac:dyDescent="0.35">
      <c r="H200" s="9"/>
      <c r="J200" s="10"/>
      <c r="N200" s="11"/>
    </row>
    <row r="201" spans="8:14" x14ac:dyDescent="0.35">
      <c r="H201" s="9"/>
      <c r="J201" s="10"/>
      <c r="N201" s="11"/>
    </row>
    <row r="202" spans="8:14" x14ac:dyDescent="0.35">
      <c r="H202" s="9"/>
      <c r="J202" s="10"/>
      <c r="N202" s="11"/>
    </row>
    <row r="203" spans="8:14" x14ac:dyDescent="0.35">
      <c r="H203" s="9"/>
      <c r="J203" s="10"/>
      <c r="N203" s="11"/>
    </row>
    <row r="204" spans="8:14" x14ac:dyDescent="0.35">
      <c r="H204" s="9"/>
      <c r="J204" s="10"/>
      <c r="N204" s="11"/>
    </row>
    <row r="205" spans="8:14" x14ac:dyDescent="0.35">
      <c r="H205" s="9"/>
      <c r="J205" s="10"/>
      <c r="N205" s="11"/>
    </row>
    <row r="206" spans="8:14" x14ac:dyDescent="0.35">
      <c r="H206" s="9"/>
      <c r="J206" s="10"/>
      <c r="N206" s="11"/>
    </row>
    <row r="207" spans="8:14" x14ac:dyDescent="0.35">
      <c r="H207" s="9"/>
      <c r="J207" s="10"/>
      <c r="N207" s="11"/>
    </row>
    <row r="208" spans="8:14" x14ac:dyDescent="0.35">
      <c r="H208" s="9"/>
      <c r="J208" s="10"/>
      <c r="N208" s="11"/>
    </row>
    <row r="209" spans="8:14" x14ac:dyDescent="0.35">
      <c r="H209" s="9"/>
      <c r="J209" s="10"/>
      <c r="N209" s="11"/>
    </row>
    <row r="210" spans="8:14" x14ac:dyDescent="0.35">
      <c r="H210" s="9"/>
      <c r="J210" s="10"/>
      <c r="N210" s="11"/>
    </row>
    <row r="211" spans="8:14" x14ac:dyDescent="0.35">
      <c r="H211" s="9"/>
      <c r="J211" s="10"/>
      <c r="N211" s="11"/>
    </row>
    <row r="212" spans="8:14" x14ac:dyDescent="0.35">
      <c r="H212" s="9"/>
      <c r="J212" s="10"/>
      <c r="N212" s="11"/>
    </row>
    <row r="213" spans="8:14" x14ac:dyDescent="0.35">
      <c r="H213" s="9"/>
      <c r="J213" s="10"/>
      <c r="N213" s="11"/>
    </row>
    <row r="214" spans="8:14" x14ac:dyDescent="0.35">
      <c r="H214" s="9"/>
      <c r="J214" s="10"/>
      <c r="N214" s="11"/>
    </row>
    <row r="215" spans="8:14" x14ac:dyDescent="0.35">
      <c r="H215" s="9"/>
      <c r="J215" s="10"/>
      <c r="N215" s="11"/>
    </row>
    <row r="216" spans="8:14" x14ac:dyDescent="0.35">
      <c r="H216" s="9"/>
      <c r="J216" s="10"/>
      <c r="N216" s="11"/>
    </row>
    <row r="217" spans="8:14" x14ac:dyDescent="0.35">
      <c r="H217" s="9"/>
      <c r="J217" s="10"/>
      <c r="N217" s="11"/>
    </row>
    <row r="218" spans="8:14" x14ac:dyDescent="0.35">
      <c r="H218" s="9"/>
      <c r="J218" s="10"/>
      <c r="N218" s="11"/>
    </row>
    <row r="219" spans="8:14" x14ac:dyDescent="0.35">
      <c r="H219" s="9"/>
      <c r="J219" s="10"/>
      <c r="N219" s="11"/>
    </row>
    <row r="220" spans="8:14" x14ac:dyDescent="0.35">
      <c r="H220" s="9"/>
      <c r="J220" s="10"/>
      <c r="N220" s="11"/>
    </row>
    <row r="221" spans="8:14" x14ac:dyDescent="0.35">
      <c r="H221" s="9"/>
      <c r="J221" s="10"/>
      <c r="N221" s="11"/>
    </row>
    <row r="222" spans="8:14" x14ac:dyDescent="0.35">
      <c r="H222" s="9"/>
      <c r="J222" s="10"/>
      <c r="N222" s="11"/>
    </row>
    <row r="223" spans="8:14" x14ac:dyDescent="0.35">
      <c r="H223" s="9"/>
      <c r="J223" s="10"/>
      <c r="N223" s="11"/>
    </row>
    <row r="224" spans="8:14" x14ac:dyDescent="0.35">
      <c r="H224" s="9"/>
      <c r="J224" s="10"/>
      <c r="N224" s="11"/>
    </row>
    <row r="225" spans="8:14" x14ac:dyDescent="0.35">
      <c r="H225" s="9"/>
      <c r="J225" s="10"/>
      <c r="N225" s="11"/>
    </row>
    <row r="226" spans="8:14" x14ac:dyDescent="0.35">
      <c r="H226" s="9"/>
      <c r="J226" s="10"/>
      <c r="N226" s="11"/>
    </row>
    <row r="227" spans="8:14" x14ac:dyDescent="0.35">
      <c r="H227" s="9"/>
      <c r="J227" s="10"/>
      <c r="N227" s="11"/>
    </row>
    <row r="228" spans="8:14" x14ac:dyDescent="0.35">
      <c r="H228" s="9"/>
      <c r="J228" s="10"/>
      <c r="N228" s="11"/>
    </row>
    <row r="229" spans="8:14" x14ac:dyDescent="0.35">
      <c r="H229" s="9"/>
      <c r="J229" s="10"/>
      <c r="N229" s="11"/>
    </row>
    <row r="230" spans="8:14" x14ac:dyDescent="0.35">
      <c r="H230" s="9"/>
      <c r="J230" s="10"/>
      <c r="N230" s="11"/>
    </row>
    <row r="231" spans="8:14" x14ac:dyDescent="0.35">
      <c r="H231" s="9"/>
      <c r="J231" s="10"/>
      <c r="N231" s="11"/>
    </row>
    <row r="232" spans="8:14" x14ac:dyDescent="0.35">
      <c r="H232" s="9"/>
      <c r="J232" s="10"/>
      <c r="N232" s="11"/>
    </row>
    <row r="233" spans="8:14" x14ac:dyDescent="0.35">
      <c r="H233" s="9"/>
      <c r="J233" s="10"/>
      <c r="N233" s="11"/>
    </row>
    <row r="234" spans="8:14" x14ac:dyDescent="0.35">
      <c r="H234" s="9"/>
      <c r="J234" s="10"/>
      <c r="N234" s="11"/>
    </row>
    <row r="235" spans="8:14" x14ac:dyDescent="0.35">
      <c r="H235" s="9"/>
      <c r="J235" s="10"/>
      <c r="N235" s="11"/>
    </row>
    <row r="236" spans="8:14" x14ac:dyDescent="0.35">
      <c r="H236" s="9"/>
      <c r="J236" s="10"/>
      <c r="N236" s="11"/>
    </row>
    <row r="237" spans="8:14" x14ac:dyDescent="0.35">
      <c r="H237" s="9"/>
      <c r="J237" s="10"/>
      <c r="N237" s="11"/>
    </row>
    <row r="238" spans="8:14" x14ac:dyDescent="0.35">
      <c r="H238" s="9"/>
      <c r="J238" s="10"/>
      <c r="N238" s="11"/>
    </row>
    <row r="239" spans="8:14" x14ac:dyDescent="0.35">
      <c r="H239" s="9"/>
      <c r="J239" s="10"/>
      <c r="N239" s="11"/>
    </row>
    <row r="240" spans="8:14" x14ac:dyDescent="0.35">
      <c r="H240" s="9"/>
      <c r="J240" s="10"/>
      <c r="N240" s="11"/>
    </row>
    <row r="241" spans="8:14" x14ac:dyDescent="0.35">
      <c r="H241" s="9"/>
      <c r="J241" s="10"/>
      <c r="N241" s="11"/>
    </row>
    <row r="242" spans="8:14" x14ac:dyDescent="0.35">
      <c r="H242" s="9"/>
      <c r="J242" s="10"/>
      <c r="N242" s="11"/>
    </row>
    <row r="243" spans="8:14" x14ac:dyDescent="0.35">
      <c r="H243" s="9"/>
      <c r="J243" s="10"/>
      <c r="N243" s="11"/>
    </row>
    <row r="244" spans="8:14" x14ac:dyDescent="0.35">
      <c r="H244" s="9"/>
      <c r="J244" s="10"/>
      <c r="N244" s="11"/>
    </row>
    <row r="245" spans="8:14" x14ac:dyDescent="0.35">
      <c r="H245" s="9"/>
      <c r="J245" s="10"/>
      <c r="N245" s="11"/>
    </row>
    <row r="246" spans="8:14" x14ac:dyDescent="0.35">
      <c r="H246" s="9"/>
      <c r="J246" s="10"/>
      <c r="N246" s="11"/>
    </row>
    <row r="247" spans="8:14" x14ac:dyDescent="0.35">
      <c r="H247" s="9"/>
      <c r="J247" s="10"/>
      <c r="N247" s="11"/>
    </row>
    <row r="248" spans="8:14" x14ac:dyDescent="0.35">
      <c r="H248" s="9"/>
      <c r="J248" s="10"/>
      <c r="N248" s="11"/>
    </row>
    <row r="249" spans="8:14" x14ac:dyDescent="0.35">
      <c r="H249" s="9"/>
      <c r="J249" s="10"/>
      <c r="N249" s="11"/>
    </row>
    <row r="250" spans="8:14" x14ac:dyDescent="0.35">
      <c r="H250" s="9"/>
      <c r="J250" s="10"/>
      <c r="N250" s="11"/>
    </row>
    <row r="251" spans="8:14" x14ac:dyDescent="0.35">
      <c r="H251" s="9"/>
      <c r="J251" s="10"/>
      <c r="N251" s="11"/>
    </row>
    <row r="252" spans="8:14" x14ac:dyDescent="0.35">
      <c r="H252" s="9"/>
      <c r="J252" s="10"/>
      <c r="N252" s="11"/>
    </row>
    <row r="253" spans="8:14" x14ac:dyDescent="0.35">
      <c r="H253" s="9"/>
      <c r="J253" s="10"/>
      <c r="N253" s="11"/>
    </row>
    <row r="254" spans="8:14" x14ac:dyDescent="0.35">
      <c r="H254" s="9"/>
      <c r="J254" s="10"/>
      <c r="N254" s="11"/>
    </row>
    <row r="255" spans="8:14" x14ac:dyDescent="0.35">
      <c r="H255" s="9"/>
      <c r="J255" s="10"/>
      <c r="N255" s="11"/>
    </row>
    <row r="256" spans="8:14" x14ac:dyDescent="0.35">
      <c r="H256" s="9"/>
      <c r="J256" s="10"/>
      <c r="N256" s="11"/>
    </row>
    <row r="257" spans="8:14" x14ac:dyDescent="0.35">
      <c r="H257" s="9"/>
      <c r="J257" s="10"/>
      <c r="N257" s="11"/>
    </row>
    <row r="258" spans="8:14" x14ac:dyDescent="0.35">
      <c r="H258" s="9"/>
      <c r="J258" s="10"/>
      <c r="N258" s="11"/>
    </row>
    <row r="259" spans="8:14" x14ac:dyDescent="0.35">
      <c r="H259" s="9"/>
      <c r="J259" s="10"/>
      <c r="N259" s="11"/>
    </row>
    <row r="260" spans="8:14" x14ac:dyDescent="0.35">
      <c r="H260" s="9"/>
      <c r="J260" s="10"/>
      <c r="N260" s="11"/>
    </row>
    <row r="261" spans="8:14" x14ac:dyDescent="0.35">
      <c r="H261" s="9"/>
      <c r="J261" s="10"/>
      <c r="N261" s="11"/>
    </row>
    <row r="262" spans="8:14" x14ac:dyDescent="0.35">
      <c r="H262" s="9"/>
      <c r="J262" s="10"/>
      <c r="N262" s="11"/>
    </row>
    <row r="263" spans="8:14" x14ac:dyDescent="0.35">
      <c r="H263" s="9"/>
      <c r="J263" s="10"/>
      <c r="N263" s="11"/>
    </row>
    <row r="264" spans="8:14" x14ac:dyDescent="0.35">
      <c r="H264" s="9"/>
      <c r="J264" s="10"/>
      <c r="N264" s="11"/>
    </row>
    <row r="265" spans="8:14" x14ac:dyDescent="0.35">
      <c r="H265" s="9"/>
      <c r="J265" s="10"/>
      <c r="N265" s="11"/>
    </row>
    <row r="266" spans="8:14" x14ac:dyDescent="0.35">
      <c r="H266" s="9"/>
      <c r="J266" s="10"/>
      <c r="N266" s="11"/>
    </row>
    <row r="267" spans="8:14" x14ac:dyDescent="0.35">
      <c r="H267" s="9"/>
      <c r="J267" s="10"/>
      <c r="N267" s="11"/>
    </row>
    <row r="268" spans="8:14" x14ac:dyDescent="0.35">
      <c r="H268" s="9"/>
      <c r="J268" s="10"/>
      <c r="N268" s="11"/>
    </row>
    <row r="269" spans="8:14" x14ac:dyDescent="0.35">
      <c r="H269" s="9"/>
      <c r="J269" s="10"/>
      <c r="N269" s="11"/>
    </row>
    <row r="270" spans="8:14" x14ac:dyDescent="0.35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N261"/>
  <sheetViews>
    <sheetView workbookViewId="0">
      <selection activeCell="P12" sqref="P12"/>
    </sheetView>
  </sheetViews>
  <sheetFormatPr defaultRowHeight="14.5" x14ac:dyDescent="0.35"/>
  <cols>
    <col min="1" max="1" width="9" bestFit="1" customWidth="1"/>
    <col min="2" max="2" width="12.90625" bestFit="1" customWidth="1"/>
    <col min="3" max="3" width="13.81640625" bestFit="1" customWidth="1"/>
    <col min="4" max="4" width="12.453125" bestFit="1" customWidth="1"/>
    <col min="5" max="5" width="23.1796875" bestFit="1" customWidth="1"/>
    <col min="6" max="6" width="9.08984375" bestFit="1" customWidth="1"/>
    <col min="7" max="7" width="14.453125" bestFit="1" customWidth="1"/>
    <col min="8" max="8" width="11.36328125" bestFit="1" customWidth="1"/>
    <col min="9" max="9" width="4" bestFit="1" customWidth="1"/>
    <col min="10" max="10" width="15.36328125" bestFit="1" customWidth="1"/>
    <col min="11" max="11" width="20.90625" bestFit="1" customWidth="1"/>
    <col min="12" max="12" width="6.54296875" bestFit="1" customWidth="1"/>
    <col min="13" max="13" width="9.54296875" bestFit="1" customWidth="1"/>
  </cols>
  <sheetData>
    <row r="1" spans="1:14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  <c r="N1" t="s">
        <v>816</v>
      </c>
    </row>
    <row r="2" spans="1:14" x14ac:dyDescent="0.3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</row>
    <row r="3" spans="1:14" x14ac:dyDescent="0.35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</row>
    <row r="4" spans="1:14" x14ac:dyDescent="0.35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</row>
    <row r="5" spans="1:14" x14ac:dyDescent="0.35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</row>
    <row r="6" spans="1:14" x14ac:dyDescent="0.3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</row>
    <row r="7" spans="1:14" x14ac:dyDescent="0.35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>
        <v>44194</v>
      </c>
      <c r="I7">
        <v>1</v>
      </c>
      <c r="J7" t="s">
        <v>43</v>
      </c>
      <c r="K7" t="s">
        <v>62</v>
      </c>
      <c r="L7" s="23">
        <v>3.4794520547945207</v>
      </c>
      <c r="M7" t="s">
        <v>51</v>
      </c>
    </row>
    <row r="8" spans="1:14" x14ac:dyDescent="0.35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</row>
    <row r="9" spans="1:14" x14ac:dyDescent="0.35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</row>
    <row r="10" spans="1:14" x14ac:dyDescent="0.35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</row>
    <row r="11" spans="1:14" x14ac:dyDescent="0.35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</row>
    <row r="12" spans="1:14" x14ac:dyDescent="0.35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</row>
    <row r="13" spans="1:14" x14ac:dyDescent="0.35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</row>
    <row r="14" spans="1:14" x14ac:dyDescent="0.35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</row>
    <row r="15" spans="1:14" x14ac:dyDescent="0.35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</row>
    <row r="16" spans="1:14" x14ac:dyDescent="0.35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</row>
    <row r="17" spans="1:13" x14ac:dyDescent="0.35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</row>
    <row r="18" spans="1:13" x14ac:dyDescent="0.35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</row>
    <row r="19" spans="1:13" x14ac:dyDescent="0.35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</row>
    <row r="20" spans="1:13" x14ac:dyDescent="0.35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</row>
    <row r="21" spans="1:13" x14ac:dyDescent="0.35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</row>
    <row r="22" spans="1:13" x14ac:dyDescent="0.35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</row>
    <row r="23" spans="1:13" x14ac:dyDescent="0.35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</row>
    <row r="24" spans="1:13" x14ac:dyDescent="0.35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</row>
    <row r="25" spans="1:13" x14ac:dyDescent="0.35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</row>
    <row r="26" spans="1:13" x14ac:dyDescent="0.35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</row>
    <row r="27" spans="1:13" x14ac:dyDescent="0.35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</row>
    <row r="28" spans="1:13" x14ac:dyDescent="0.35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</row>
    <row r="29" spans="1:13" x14ac:dyDescent="0.35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</row>
    <row r="30" spans="1:13" x14ac:dyDescent="0.35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</row>
    <row r="31" spans="1:13" x14ac:dyDescent="0.35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</row>
    <row r="32" spans="1:13" x14ac:dyDescent="0.35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</row>
    <row r="33" spans="1:13" x14ac:dyDescent="0.35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</row>
    <row r="34" spans="1:13" x14ac:dyDescent="0.35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</row>
    <row r="35" spans="1:13" x14ac:dyDescent="0.35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</row>
    <row r="36" spans="1:13" x14ac:dyDescent="0.35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</row>
    <row r="37" spans="1:13" x14ac:dyDescent="0.35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</row>
    <row r="38" spans="1:13" x14ac:dyDescent="0.35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</row>
    <row r="39" spans="1:13" x14ac:dyDescent="0.35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</row>
    <row r="40" spans="1:13" x14ac:dyDescent="0.35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</row>
    <row r="41" spans="1:13" x14ac:dyDescent="0.35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</row>
    <row r="42" spans="1:13" x14ac:dyDescent="0.35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</row>
    <row r="43" spans="1:13" x14ac:dyDescent="0.35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</row>
    <row r="44" spans="1:13" x14ac:dyDescent="0.35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</row>
    <row r="45" spans="1:13" x14ac:dyDescent="0.35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</row>
    <row r="46" spans="1:13" x14ac:dyDescent="0.35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</row>
    <row r="47" spans="1:13" x14ac:dyDescent="0.35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</row>
    <row r="48" spans="1:13" x14ac:dyDescent="0.35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</row>
    <row r="49" spans="1:13" x14ac:dyDescent="0.35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</row>
    <row r="50" spans="1:13" x14ac:dyDescent="0.35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</row>
    <row r="51" spans="1:13" x14ac:dyDescent="0.35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</row>
    <row r="52" spans="1:13" x14ac:dyDescent="0.35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</row>
    <row r="53" spans="1:13" x14ac:dyDescent="0.35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</row>
    <row r="54" spans="1:13" x14ac:dyDescent="0.35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</row>
    <row r="55" spans="1:13" x14ac:dyDescent="0.35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</row>
    <row r="56" spans="1:13" x14ac:dyDescent="0.35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</row>
    <row r="57" spans="1:13" x14ac:dyDescent="0.35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</row>
    <row r="58" spans="1:13" x14ac:dyDescent="0.35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</row>
    <row r="59" spans="1:13" x14ac:dyDescent="0.35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</row>
    <row r="60" spans="1:13" x14ac:dyDescent="0.35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</row>
    <row r="61" spans="1:13" x14ac:dyDescent="0.35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</row>
    <row r="62" spans="1:13" x14ac:dyDescent="0.35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</row>
    <row r="63" spans="1:13" x14ac:dyDescent="0.35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</row>
    <row r="64" spans="1:13" x14ac:dyDescent="0.35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</row>
    <row r="65" spans="1:13" x14ac:dyDescent="0.35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</row>
    <row r="66" spans="1:13" x14ac:dyDescent="0.35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</row>
    <row r="67" spans="1:13" x14ac:dyDescent="0.35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</row>
    <row r="68" spans="1:13" x14ac:dyDescent="0.35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</row>
    <row r="69" spans="1:13" x14ac:dyDescent="0.35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</row>
    <row r="70" spans="1:13" x14ac:dyDescent="0.35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</row>
    <row r="71" spans="1:13" x14ac:dyDescent="0.35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</row>
    <row r="72" spans="1:13" x14ac:dyDescent="0.35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</row>
    <row r="73" spans="1:13" x14ac:dyDescent="0.35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</row>
    <row r="74" spans="1:13" x14ac:dyDescent="0.35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</row>
    <row r="75" spans="1:13" x14ac:dyDescent="0.35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</row>
    <row r="76" spans="1:13" x14ac:dyDescent="0.35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</row>
    <row r="77" spans="1:13" x14ac:dyDescent="0.35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</row>
    <row r="78" spans="1:13" x14ac:dyDescent="0.35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</row>
    <row r="79" spans="1:13" x14ac:dyDescent="0.35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</row>
    <row r="80" spans="1:13" x14ac:dyDescent="0.35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</row>
    <row r="81" spans="1:13" x14ac:dyDescent="0.35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</row>
    <row r="82" spans="1:13" x14ac:dyDescent="0.35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</row>
    <row r="83" spans="1:13" x14ac:dyDescent="0.35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</row>
    <row r="84" spans="1:13" x14ac:dyDescent="0.35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</row>
    <row r="85" spans="1:13" x14ac:dyDescent="0.35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</row>
    <row r="86" spans="1:13" x14ac:dyDescent="0.35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</row>
    <row r="87" spans="1:13" x14ac:dyDescent="0.35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</row>
    <row r="88" spans="1:13" x14ac:dyDescent="0.35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</row>
    <row r="89" spans="1:13" x14ac:dyDescent="0.35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</row>
    <row r="90" spans="1:13" x14ac:dyDescent="0.35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</row>
    <row r="91" spans="1:13" x14ac:dyDescent="0.35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</row>
    <row r="92" spans="1:13" x14ac:dyDescent="0.35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</row>
    <row r="93" spans="1:13" x14ac:dyDescent="0.35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</row>
    <row r="94" spans="1:13" x14ac:dyDescent="0.35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</row>
    <row r="95" spans="1:13" x14ac:dyDescent="0.35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</row>
    <row r="96" spans="1:13" x14ac:dyDescent="0.35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</row>
    <row r="97" spans="1:13" x14ac:dyDescent="0.35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</row>
    <row r="98" spans="1:13" x14ac:dyDescent="0.35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</row>
    <row r="99" spans="1:13" x14ac:dyDescent="0.35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</row>
    <row r="100" spans="1:13" x14ac:dyDescent="0.35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</row>
    <row r="101" spans="1:13" x14ac:dyDescent="0.35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</row>
    <row r="102" spans="1:13" x14ac:dyDescent="0.35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</row>
    <row r="103" spans="1:13" x14ac:dyDescent="0.35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</row>
    <row r="104" spans="1:13" x14ac:dyDescent="0.35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</row>
    <row r="105" spans="1:13" x14ac:dyDescent="0.35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</row>
    <row r="106" spans="1:13" x14ac:dyDescent="0.35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</row>
    <row r="107" spans="1:13" x14ac:dyDescent="0.35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</row>
    <row r="108" spans="1:13" x14ac:dyDescent="0.35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</row>
    <row r="109" spans="1:13" x14ac:dyDescent="0.35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</row>
    <row r="110" spans="1:13" x14ac:dyDescent="0.35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</row>
    <row r="111" spans="1:13" x14ac:dyDescent="0.35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</row>
    <row r="112" spans="1:13" x14ac:dyDescent="0.35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</row>
    <row r="113" spans="1:13" x14ac:dyDescent="0.35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</row>
    <row r="114" spans="1:13" x14ac:dyDescent="0.35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</row>
    <row r="115" spans="1:13" x14ac:dyDescent="0.35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</row>
    <row r="116" spans="1:13" x14ac:dyDescent="0.35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</row>
    <row r="117" spans="1:13" x14ac:dyDescent="0.35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</row>
    <row r="118" spans="1:13" x14ac:dyDescent="0.35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</row>
    <row r="119" spans="1:13" x14ac:dyDescent="0.35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</row>
    <row r="120" spans="1:13" x14ac:dyDescent="0.35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</row>
    <row r="121" spans="1:13" x14ac:dyDescent="0.35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</row>
    <row r="122" spans="1:13" x14ac:dyDescent="0.35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</row>
    <row r="123" spans="1:13" x14ac:dyDescent="0.35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</row>
    <row r="124" spans="1:13" x14ac:dyDescent="0.35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</row>
    <row r="125" spans="1:13" x14ac:dyDescent="0.35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</row>
    <row r="126" spans="1:13" x14ac:dyDescent="0.35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</row>
    <row r="127" spans="1:13" x14ac:dyDescent="0.35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</row>
    <row r="128" spans="1:13" x14ac:dyDescent="0.35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</row>
    <row r="129" spans="1:13" x14ac:dyDescent="0.35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</row>
    <row r="130" spans="1:13" x14ac:dyDescent="0.35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</row>
    <row r="131" spans="1:13" x14ac:dyDescent="0.35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</row>
    <row r="132" spans="1:13" x14ac:dyDescent="0.35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</row>
    <row r="133" spans="1:13" x14ac:dyDescent="0.35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</row>
    <row r="134" spans="1:13" x14ac:dyDescent="0.35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</row>
    <row r="135" spans="1:13" x14ac:dyDescent="0.35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</row>
    <row r="136" spans="1:13" x14ac:dyDescent="0.35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</row>
    <row r="137" spans="1:13" x14ac:dyDescent="0.35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</row>
    <row r="138" spans="1:13" x14ac:dyDescent="0.35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</row>
    <row r="139" spans="1:13" x14ac:dyDescent="0.35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</row>
    <row r="140" spans="1:13" x14ac:dyDescent="0.35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</row>
    <row r="141" spans="1:13" x14ac:dyDescent="0.35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</row>
    <row r="142" spans="1:13" x14ac:dyDescent="0.35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</row>
    <row r="143" spans="1:13" x14ac:dyDescent="0.35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</row>
    <row r="144" spans="1:13" x14ac:dyDescent="0.35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</row>
    <row r="145" spans="1:13" x14ac:dyDescent="0.35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</row>
    <row r="146" spans="1:13" x14ac:dyDescent="0.35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</row>
    <row r="147" spans="1:13" x14ac:dyDescent="0.35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</row>
    <row r="148" spans="1:13" x14ac:dyDescent="0.35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</row>
    <row r="149" spans="1:13" x14ac:dyDescent="0.35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</row>
    <row r="150" spans="1:13" x14ac:dyDescent="0.35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</row>
    <row r="151" spans="1:13" x14ac:dyDescent="0.35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</row>
    <row r="152" spans="1:13" x14ac:dyDescent="0.35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</row>
    <row r="153" spans="1:13" x14ac:dyDescent="0.35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</row>
    <row r="154" spans="1:13" x14ac:dyDescent="0.35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</row>
    <row r="155" spans="1:13" x14ac:dyDescent="0.35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</row>
    <row r="156" spans="1:13" x14ac:dyDescent="0.35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</row>
    <row r="157" spans="1:13" x14ac:dyDescent="0.35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</row>
    <row r="158" spans="1:13" x14ac:dyDescent="0.35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</row>
    <row r="159" spans="1:13" x14ac:dyDescent="0.35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</row>
    <row r="160" spans="1:13" x14ac:dyDescent="0.35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</row>
    <row r="161" spans="1:13" x14ac:dyDescent="0.35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</row>
    <row r="162" spans="1:13" x14ac:dyDescent="0.35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</row>
    <row r="163" spans="1:13" x14ac:dyDescent="0.35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</row>
    <row r="164" spans="1:13" x14ac:dyDescent="0.35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</row>
    <row r="165" spans="1:13" x14ac:dyDescent="0.35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</row>
    <row r="166" spans="1:13" x14ac:dyDescent="0.35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</row>
    <row r="167" spans="1:13" x14ac:dyDescent="0.35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</row>
    <row r="168" spans="1:13" x14ac:dyDescent="0.35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</row>
    <row r="169" spans="1:13" x14ac:dyDescent="0.35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</row>
    <row r="170" spans="1:13" x14ac:dyDescent="0.35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</row>
    <row r="171" spans="1:13" x14ac:dyDescent="0.35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</row>
    <row r="172" spans="1:13" x14ac:dyDescent="0.35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</row>
    <row r="173" spans="1:13" x14ac:dyDescent="0.35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</row>
    <row r="174" spans="1:13" x14ac:dyDescent="0.35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</row>
    <row r="175" spans="1:13" x14ac:dyDescent="0.35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</row>
    <row r="176" spans="1:13" x14ac:dyDescent="0.35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</row>
    <row r="177" spans="1:13" x14ac:dyDescent="0.35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</row>
    <row r="178" spans="1:13" x14ac:dyDescent="0.35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</row>
    <row r="179" spans="1:13" x14ac:dyDescent="0.35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</row>
    <row r="180" spans="1:13" x14ac:dyDescent="0.35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</row>
    <row r="181" spans="1:13" x14ac:dyDescent="0.35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</row>
    <row r="182" spans="1:13" x14ac:dyDescent="0.35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</row>
    <row r="183" spans="1:13" x14ac:dyDescent="0.35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</row>
    <row r="184" spans="1:13" x14ac:dyDescent="0.35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</row>
    <row r="185" spans="1:13" x14ac:dyDescent="0.35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</row>
    <row r="186" spans="1:13" x14ac:dyDescent="0.35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</row>
    <row r="187" spans="1:13" x14ac:dyDescent="0.35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</row>
    <row r="188" spans="1:13" x14ac:dyDescent="0.35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</row>
    <row r="189" spans="1:13" x14ac:dyDescent="0.35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</row>
    <row r="190" spans="1:13" x14ac:dyDescent="0.35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</row>
    <row r="191" spans="1:13" x14ac:dyDescent="0.35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</row>
    <row r="192" spans="1:13" x14ac:dyDescent="0.35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</row>
    <row r="193" spans="1:13" x14ac:dyDescent="0.35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</row>
    <row r="194" spans="1:13" x14ac:dyDescent="0.35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</row>
    <row r="195" spans="1:13" x14ac:dyDescent="0.35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</row>
    <row r="196" spans="1:13" x14ac:dyDescent="0.35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</row>
    <row r="197" spans="1:13" x14ac:dyDescent="0.35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</row>
    <row r="198" spans="1:13" x14ac:dyDescent="0.35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</row>
    <row r="199" spans="1:13" x14ac:dyDescent="0.35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</row>
    <row r="200" spans="1:13" x14ac:dyDescent="0.35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</row>
    <row r="201" spans="1:13" x14ac:dyDescent="0.35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</row>
    <row r="202" spans="1:13" x14ac:dyDescent="0.35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</row>
    <row r="203" spans="1:13" x14ac:dyDescent="0.35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</row>
    <row r="204" spans="1:13" x14ac:dyDescent="0.35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</row>
    <row r="205" spans="1:13" x14ac:dyDescent="0.35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</row>
    <row r="206" spans="1:13" x14ac:dyDescent="0.35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</row>
    <row r="207" spans="1:13" x14ac:dyDescent="0.35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</row>
    <row r="208" spans="1:13" x14ac:dyDescent="0.35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</row>
    <row r="209" spans="1:13" x14ac:dyDescent="0.35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</row>
    <row r="210" spans="1:13" x14ac:dyDescent="0.35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</row>
    <row r="211" spans="1:13" x14ac:dyDescent="0.35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</row>
    <row r="212" spans="1:13" x14ac:dyDescent="0.35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</row>
    <row r="213" spans="1:13" x14ac:dyDescent="0.35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</row>
    <row r="214" spans="1:13" x14ac:dyDescent="0.35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</row>
    <row r="215" spans="1:13" x14ac:dyDescent="0.35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</row>
    <row r="216" spans="1:13" x14ac:dyDescent="0.35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</row>
    <row r="217" spans="1:13" x14ac:dyDescent="0.35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</row>
    <row r="218" spans="1:13" x14ac:dyDescent="0.35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</row>
    <row r="219" spans="1:13" x14ac:dyDescent="0.35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</row>
    <row r="220" spans="1:13" x14ac:dyDescent="0.35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</row>
    <row r="221" spans="1:13" x14ac:dyDescent="0.35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</row>
    <row r="222" spans="1:13" x14ac:dyDescent="0.35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</row>
    <row r="223" spans="1:13" x14ac:dyDescent="0.35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</row>
    <row r="224" spans="1:13" x14ac:dyDescent="0.35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</row>
    <row r="225" spans="1:13" x14ac:dyDescent="0.35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</row>
    <row r="226" spans="1:13" x14ac:dyDescent="0.35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</row>
    <row r="227" spans="1:13" x14ac:dyDescent="0.35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</row>
    <row r="228" spans="1:13" x14ac:dyDescent="0.35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</row>
    <row r="229" spans="1:13" x14ac:dyDescent="0.35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</row>
    <row r="230" spans="1:13" x14ac:dyDescent="0.35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</row>
    <row r="231" spans="1:13" x14ac:dyDescent="0.35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</row>
    <row r="232" spans="1:13" x14ac:dyDescent="0.35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</row>
    <row r="233" spans="1:13" x14ac:dyDescent="0.35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</row>
    <row r="234" spans="1:13" x14ac:dyDescent="0.35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</row>
    <row r="235" spans="1:13" x14ac:dyDescent="0.35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</row>
    <row r="236" spans="1:13" x14ac:dyDescent="0.35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</row>
    <row r="237" spans="1:13" x14ac:dyDescent="0.35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</row>
    <row r="238" spans="1:13" x14ac:dyDescent="0.35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</row>
    <row r="239" spans="1:13" x14ac:dyDescent="0.35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</row>
    <row r="240" spans="1:13" x14ac:dyDescent="0.35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</row>
    <row r="241" spans="1:13" x14ac:dyDescent="0.35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</row>
    <row r="242" spans="1:13" x14ac:dyDescent="0.35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</row>
    <row r="243" spans="1:13" x14ac:dyDescent="0.35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</row>
    <row r="244" spans="1:13" x14ac:dyDescent="0.35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</row>
    <row r="245" spans="1:13" x14ac:dyDescent="0.35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</row>
    <row r="246" spans="1:13" x14ac:dyDescent="0.35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</row>
    <row r="247" spans="1:13" x14ac:dyDescent="0.35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</row>
    <row r="248" spans="1:13" x14ac:dyDescent="0.35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</row>
    <row r="249" spans="1:13" x14ac:dyDescent="0.35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</row>
    <row r="250" spans="1:13" x14ac:dyDescent="0.35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</row>
    <row r="251" spans="1:13" x14ac:dyDescent="0.35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</row>
    <row r="252" spans="1:13" x14ac:dyDescent="0.35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</row>
    <row r="253" spans="1:13" x14ac:dyDescent="0.35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</row>
    <row r="254" spans="1:13" x14ac:dyDescent="0.35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</row>
    <row r="255" spans="1:13" x14ac:dyDescent="0.35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</row>
    <row r="256" spans="1:13" x14ac:dyDescent="0.35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</row>
    <row r="257" spans="1:13" x14ac:dyDescent="0.35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</row>
    <row r="258" spans="1:13" x14ac:dyDescent="0.35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</row>
    <row r="259" spans="1:13" x14ac:dyDescent="0.35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</row>
    <row r="260" spans="1:13" x14ac:dyDescent="0.35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</row>
    <row r="261" spans="1:13" x14ac:dyDescent="0.35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9B2B-7167-43A2-9915-2EA54DCFA6FB}">
  <dimension ref="A1:B4"/>
  <sheetViews>
    <sheetView workbookViewId="0">
      <selection activeCell="D5" sqref="D5"/>
    </sheetView>
  </sheetViews>
  <sheetFormatPr defaultRowHeight="14.5" x14ac:dyDescent="0.35"/>
  <cols>
    <col min="6" max="6" width="12.7265625" bestFit="1" customWidth="1"/>
    <col min="7" max="7" width="22.7265625" bestFit="1" customWidth="1"/>
  </cols>
  <sheetData>
    <row r="1" spans="1:2" x14ac:dyDescent="0.35">
      <c r="A1" t="s">
        <v>811</v>
      </c>
      <c r="B1" t="s">
        <v>815</v>
      </c>
    </row>
    <row r="2" spans="1:2" x14ac:dyDescent="0.35">
      <c r="A2" t="s">
        <v>43</v>
      </c>
      <c r="B2" t="s">
        <v>814</v>
      </c>
    </row>
    <row r="3" spans="1:2" x14ac:dyDescent="0.35">
      <c r="A3" t="s">
        <v>526</v>
      </c>
      <c r="B3" t="s">
        <v>812</v>
      </c>
    </row>
    <row r="4" spans="1:2" x14ac:dyDescent="0.35">
      <c r="A4" t="s">
        <v>656</v>
      </c>
      <c r="B4" t="s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K17"/>
  <sheetViews>
    <sheetView tabSelected="1" workbookViewId="0">
      <selection activeCell="D28" sqref="D28"/>
    </sheetView>
  </sheetViews>
  <sheetFormatPr defaultColWidth="18.08984375" defaultRowHeight="14.5" x14ac:dyDescent="0.35"/>
  <cols>
    <col min="2" max="2" width="23.90625" customWidth="1"/>
    <col min="5" max="5" width="11.1796875" bestFit="1" customWidth="1"/>
    <col min="6" max="6" width="13" customWidth="1"/>
  </cols>
  <sheetData>
    <row r="1" spans="2:11" x14ac:dyDescent="0.35">
      <c r="B1" t="s">
        <v>804</v>
      </c>
    </row>
    <row r="3" spans="2:11" x14ac:dyDescent="0.35">
      <c r="B3" s="29" t="s">
        <v>808</v>
      </c>
      <c r="D3" s="9">
        <f>AVERAGE(staff[Salary])</f>
        <v>73861.325230769246</v>
      </c>
    </row>
    <row r="4" spans="2:11" x14ac:dyDescent="0.35">
      <c r="B4" s="29" t="s">
        <v>28</v>
      </c>
      <c r="C4" s="29" t="s">
        <v>805</v>
      </c>
      <c r="D4" s="29" t="s">
        <v>806</v>
      </c>
      <c r="E4" s="45" t="s">
        <v>807</v>
      </c>
      <c r="F4" s="45"/>
      <c r="G4" s="29" t="s">
        <v>780</v>
      </c>
      <c r="H4" s="29" t="s">
        <v>779</v>
      </c>
      <c r="I4" s="29" t="s">
        <v>809</v>
      </c>
      <c r="J4" s="29" t="s">
        <v>823</v>
      </c>
      <c r="K4" s="29" t="s">
        <v>810</v>
      </c>
    </row>
    <row r="5" spans="2:11" x14ac:dyDescent="0.35">
      <c r="B5" t="str" cm="1">
        <f t="array" ref="B5:B16">_xlfn.UNIQUE(staff[Department])</f>
        <v>Training</v>
      </c>
      <c r="C5">
        <f>COUNTIF(staff[Department],B5)</f>
        <v>24</v>
      </c>
      <c r="D5" s="28">
        <f>AVERAGEIF(staff[Department],B5,staff[Salary])</f>
        <v>83883.965000000011</v>
      </c>
      <c r="E5" s="28">
        <f>D5-$D$3</f>
        <v>10022.639769230766</v>
      </c>
      <c r="F5" s="40">
        <f>E5/$D$3</f>
        <v>0.1356953688268718</v>
      </c>
      <c r="G5" s="28">
        <f>_xlfn.MAXIFS(staff[Salary],staff[Department],B5)</f>
        <v>116767.63</v>
      </c>
      <c r="H5" s="28">
        <f>_xlfn.MINIFS(staff[Salary],staff[Department],B5)</f>
        <v>37902.35</v>
      </c>
      <c r="I5" cm="1">
        <f t="array" ref="I5">MEDIAN(_xlfn._xlws.FILTER(staff[Salary],staff[Department]=B5))</f>
        <v>89569.44</v>
      </c>
      <c r="J5">
        <f>COUNTIFS(staff[Department], B5, staff[Gender], "Female")</f>
        <v>17</v>
      </c>
      <c r="K5" s="48">
        <f>(J5/C5)</f>
        <v>0.70833333333333337</v>
      </c>
    </row>
    <row r="6" spans="2:11" x14ac:dyDescent="0.35">
      <c r="B6" t="str">
        <v>Business Development</v>
      </c>
      <c r="C6">
        <f>COUNTIF(staff[Department],B6)</f>
        <v>26</v>
      </c>
      <c r="D6" s="28">
        <f>AVERAGEIF(staff[Department],B6,staff[Salary])</f>
        <v>79781.805769230778</v>
      </c>
      <c r="E6" s="28">
        <f t="shared" ref="E6:E16" si="0">D6-$D$3</f>
        <v>5920.480538461532</v>
      </c>
      <c r="F6" s="40">
        <f t="shared" ref="F6:F16" si="1">E6/$D$3</f>
        <v>8.0156706097051861E-2</v>
      </c>
      <c r="G6" s="28">
        <f>_xlfn.MAXIFS(staff[Salary],staff[Department],B6)</f>
        <v>110042.37</v>
      </c>
      <c r="H6" s="28">
        <f>_xlfn.MINIFS(staff[Salary],staff[Department],B6)</f>
        <v>33031.26</v>
      </c>
      <c r="I6" cm="1">
        <f t="array" ref="I6">MEDIAN(_xlfn._xlws.FILTER(staff[Salary],staff[Department]=B6))</f>
        <v>80695.740000000005</v>
      </c>
      <c r="J6">
        <f>COUNTIFS(staff[Department], B6, staff[Gender], "Female")</f>
        <v>11</v>
      </c>
      <c r="K6" s="48">
        <f t="shared" ref="K6:K16" si="2">(J6/C6)</f>
        <v>0.42307692307692307</v>
      </c>
    </row>
    <row r="7" spans="2:11" x14ac:dyDescent="0.35">
      <c r="B7" t="str">
        <v>Engineering</v>
      </c>
      <c r="C7">
        <f>COUNTIF(staff[Department],B7)</f>
        <v>26</v>
      </c>
      <c r="D7" s="28">
        <f>AVERAGEIF(staff[Department],B7,staff[Salary])</f>
        <v>81976.441923076913</v>
      </c>
      <c r="E7" s="28">
        <f t="shared" si="0"/>
        <v>8115.1166923076671</v>
      </c>
      <c r="F7" s="40">
        <f t="shared" si="1"/>
        <v>0.10986963295003352</v>
      </c>
      <c r="G7" s="28">
        <f>_xlfn.MAXIFS(staff[Salary],staff[Department],B7)</f>
        <v>120000</v>
      </c>
      <c r="H7" s="28">
        <f>_xlfn.MINIFS(staff[Salary],staff[Department],B7)</f>
        <v>36536.26</v>
      </c>
      <c r="I7" cm="1">
        <f t="array" ref="I7">MEDIAN(_xlfn._xlws.FILTER(staff[Salary],staff[Department]=B7))</f>
        <v>85332.304999999993</v>
      </c>
      <c r="J7">
        <f>COUNTIFS(staff[Department], B7, staff[Gender], "Female")</f>
        <v>10</v>
      </c>
      <c r="K7" s="48">
        <f t="shared" si="2"/>
        <v>0.38461538461538464</v>
      </c>
    </row>
    <row r="8" spans="2:11" x14ac:dyDescent="0.35">
      <c r="B8" t="str">
        <v>Marketing</v>
      </c>
      <c r="C8">
        <f>COUNTIF(staff[Department],B8)</f>
        <v>12</v>
      </c>
      <c r="D8" s="28">
        <f>AVERAGEIF(staff[Department],B8,staff[Salary])</f>
        <v>64441.299999999996</v>
      </c>
      <c r="E8" s="28">
        <f t="shared" si="0"/>
        <v>-9420.0252307692499</v>
      </c>
      <c r="F8" s="40">
        <f t="shared" si="1"/>
        <v>-0.1275366397954236</v>
      </c>
      <c r="G8" s="28">
        <f>_xlfn.MAXIFS(staff[Salary],staff[Department],B8)</f>
        <v>104903.79</v>
      </c>
      <c r="H8" s="28">
        <f>_xlfn.MINIFS(staff[Salary],staff[Department],B8)</f>
        <v>31816.57</v>
      </c>
      <c r="I8" cm="1">
        <f t="array" ref="I8">MEDIAN(_xlfn._xlws.FILTER(staff[Salary],staff[Department]=B8))</f>
        <v>66961.489999999991</v>
      </c>
      <c r="J8">
        <f>COUNTIFS(staff[Department], B8, staff[Gender], "Female")</f>
        <v>5</v>
      </c>
      <c r="K8" s="48">
        <f t="shared" si="2"/>
        <v>0.41666666666666669</v>
      </c>
    </row>
    <row r="9" spans="2:11" x14ac:dyDescent="0.35">
      <c r="B9" t="str">
        <v>Legal</v>
      </c>
      <c r="C9">
        <f>COUNTIF(staff[Department],B9)</f>
        <v>21</v>
      </c>
      <c r="D9" s="28">
        <f>AVERAGEIF(staff[Department],B9,staff[Salary])</f>
        <v>67242.51761904762</v>
      </c>
      <c r="E9" s="28">
        <f t="shared" si="0"/>
        <v>-6618.807611721626</v>
      </c>
      <c r="F9" s="40">
        <f t="shared" si="1"/>
        <v>-8.9611276145426577E-2</v>
      </c>
      <c r="G9" s="28">
        <f>_xlfn.MAXIFS(staff[Salary],staff[Department],B9)</f>
        <v>113747.56</v>
      </c>
      <c r="H9" s="28">
        <f>_xlfn.MINIFS(staff[Salary],staff[Department],B9)</f>
        <v>28481.16</v>
      </c>
      <c r="I9" cm="1">
        <f t="array" ref="I9">MEDIAN(_xlfn._xlws.FILTER(staff[Salary],staff[Department]=B9))</f>
        <v>66572.58</v>
      </c>
      <c r="J9">
        <f>COUNTIFS(staff[Department], B9, staff[Gender], "Female")</f>
        <v>7</v>
      </c>
      <c r="K9" s="48">
        <f t="shared" si="2"/>
        <v>0.33333333333333331</v>
      </c>
    </row>
    <row r="10" spans="2:11" x14ac:dyDescent="0.35">
      <c r="B10" t="str">
        <v>Accounting</v>
      </c>
      <c r="C10">
        <f>COUNTIF(staff[Department],B10)</f>
        <v>26</v>
      </c>
      <c r="D10" s="28">
        <f>AVERAGEIF(staff[Department],B10,staff[Salary])</f>
        <v>69806.945769230777</v>
      </c>
      <c r="E10" s="28">
        <f t="shared" si="0"/>
        <v>-4054.3794615384686</v>
      </c>
      <c r="F10" s="40">
        <f t="shared" si="1"/>
        <v>-5.4891777921275232E-2</v>
      </c>
      <c r="G10" s="28">
        <f>_xlfn.MAXIFS(staff[Salary],staff[Department],B10)</f>
        <v>119022.49</v>
      </c>
      <c r="H10" s="28">
        <f>_xlfn.MINIFS(staff[Salary],staff[Department],B10)</f>
        <v>35936.31</v>
      </c>
      <c r="I10" cm="1">
        <f t="array" ref="I10">MEDIAN(_xlfn._xlws.FILTER(staff[Salary],staff[Department]=B10))</f>
        <v>69025.614999999991</v>
      </c>
      <c r="J10">
        <f>COUNTIFS(staff[Department], B10, staff[Gender], "Female")</f>
        <v>9</v>
      </c>
      <c r="K10" s="48">
        <f t="shared" si="2"/>
        <v>0.34615384615384615</v>
      </c>
    </row>
    <row r="11" spans="2:11" x14ac:dyDescent="0.35">
      <c r="B11" t="str">
        <v>Human Resources</v>
      </c>
      <c r="C11">
        <f>COUNTIF(staff[Department],B11)</f>
        <v>22</v>
      </c>
      <c r="D11" s="28">
        <f>AVERAGEIF(staff[Department],B11,staff[Salary])</f>
        <v>73109.377727272746</v>
      </c>
      <c r="E11" s="28">
        <f t="shared" si="0"/>
        <v>-751.94750349649985</v>
      </c>
      <c r="F11" s="40">
        <f t="shared" si="1"/>
        <v>-1.0180530895528159E-2</v>
      </c>
      <c r="G11" s="28">
        <f>_xlfn.MAXIFS(staff[Salary],staff[Department],B11)</f>
        <v>103494.94</v>
      </c>
      <c r="H11" s="28">
        <f>_xlfn.MINIFS(staff[Salary],staff[Department],B11)</f>
        <v>28329.77</v>
      </c>
      <c r="I11" cm="1">
        <f t="array" ref="I11">MEDIAN(_xlfn._xlws.FILTER(staff[Salary],staff[Department]=B11))</f>
        <v>73182.794999999998</v>
      </c>
      <c r="J11">
        <f>COUNTIFS(staff[Department], B11, staff[Gender], "Female")</f>
        <v>7</v>
      </c>
      <c r="K11" s="48">
        <f t="shared" si="2"/>
        <v>0.31818181818181818</v>
      </c>
    </row>
    <row r="12" spans="2:11" x14ac:dyDescent="0.35">
      <c r="B12" t="str">
        <v>Research and Development</v>
      </c>
      <c r="C12">
        <f>COUNTIF(staff[Department],B12)</f>
        <v>18</v>
      </c>
      <c r="D12" s="28">
        <f>AVERAGEIF(staff[Department],B12,staff[Salary])</f>
        <v>66910.765555555554</v>
      </c>
      <c r="E12" s="28">
        <f t="shared" si="0"/>
        <v>-6950.5596752136917</v>
      </c>
      <c r="F12" s="40">
        <f t="shared" si="1"/>
        <v>-9.4102829234347651E-2</v>
      </c>
      <c r="G12" s="28">
        <f>_xlfn.MAXIFS(staff[Salary],staff[Department],B12)</f>
        <v>99683.67</v>
      </c>
      <c r="H12" s="28">
        <f>_xlfn.MINIFS(staff[Salary],staff[Department],B12)</f>
        <v>28160.79</v>
      </c>
      <c r="I12" cm="1">
        <f t="array" ref="I12">MEDIAN(_xlfn._xlws.FILTER(staff[Salary],staff[Department]=B12))</f>
        <v>65995.375</v>
      </c>
      <c r="J12">
        <f>COUNTIFS(staff[Department], B12, staff[Gender], "Female")</f>
        <v>11</v>
      </c>
      <c r="K12" s="48">
        <f t="shared" si="2"/>
        <v>0.61111111111111116</v>
      </c>
    </row>
    <row r="13" spans="2:11" x14ac:dyDescent="0.35">
      <c r="B13" t="str">
        <v>Services</v>
      </c>
      <c r="C13">
        <f>COUNTIF(staff[Department],B13)</f>
        <v>21</v>
      </c>
      <c r="D13" s="28">
        <f>AVERAGEIF(staff[Department],B13,staff[Salary])</f>
        <v>74673.974761904756</v>
      </c>
      <c r="E13" s="28">
        <f t="shared" si="0"/>
        <v>812.64953113551019</v>
      </c>
      <c r="F13" s="40">
        <f t="shared" si="1"/>
        <v>1.1002368676658615E-2</v>
      </c>
      <c r="G13" s="28">
        <f>_xlfn.MAXIFS(staff[Salary],staff[Department],B13)</f>
        <v>120000</v>
      </c>
      <c r="H13" s="28">
        <f>_xlfn.MINIFS(staff[Salary],staff[Department],B13)</f>
        <v>28305.08</v>
      </c>
      <c r="I13" cm="1">
        <f t="array" ref="I13">MEDIAN(_xlfn._xlws.FILTER(staff[Salary],staff[Department]=B13))</f>
        <v>77096.05</v>
      </c>
      <c r="J13">
        <f>COUNTIFS(staff[Department], B13, staff[Gender], "Female")</f>
        <v>13</v>
      </c>
      <c r="K13" s="48">
        <f t="shared" si="2"/>
        <v>0.61904761904761907</v>
      </c>
    </row>
    <row r="14" spans="2:11" x14ac:dyDescent="0.35">
      <c r="B14" t="str">
        <v>Product Management</v>
      </c>
      <c r="C14">
        <f>COUNTIF(staff[Department],B14)</f>
        <v>29</v>
      </c>
      <c r="D14" s="28">
        <f>AVERAGEIF(staff[Department],B14,staff[Salary])</f>
        <v>75179.064482758593</v>
      </c>
      <c r="E14" s="28">
        <f t="shared" si="0"/>
        <v>1317.7392519893474</v>
      </c>
      <c r="F14" s="40">
        <f t="shared" si="1"/>
        <v>1.784072040235208E-2</v>
      </c>
      <c r="G14" s="28">
        <f>_xlfn.MAXIFS(staff[Salary],staff[Department],B14)</f>
        <v>115191.38</v>
      </c>
      <c r="H14" s="28">
        <f>_xlfn.MINIFS(staff[Salary],staff[Department],B14)</f>
        <v>31241.24</v>
      </c>
      <c r="I14" cm="1">
        <f t="array" ref="I14">MEDIAN(_xlfn._xlws.FILTER(staff[Salary],staff[Department]=B14))</f>
        <v>72502.61</v>
      </c>
      <c r="J14">
        <f>COUNTIFS(staff[Department], B14, staff[Gender], "Female")</f>
        <v>17</v>
      </c>
      <c r="K14" s="48">
        <f t="shared" si="2"/>
        <v>0.58620689655172409</v>
      </c>
    </row>
    <row r="15" spans="2:11" x14ac:dyDescent="0.35">
      <c r="B15" t="str">
        <v>Support</v>
      </c>
      <c r="C15">
        <f>COUNTIF(staff[Department],B15)</f>
        <v>17</v>
      </c>
      <c r="D15" s="28">
        <f>AVERAGEIF(staff[Department],B15,staff[Salary])</f>
        <v>66432.455882352937</v>
      </c>
      <c r="E15" s="28">
        <f t="shared" si="0"/>
        <v>-7428.8693484163086</v>
      </c>
      <c r="F15" s="40">
        <f t="shared" si="1"/>
        <v>-0.10057860897033541</v>
      </c>
      <c r="G15" s="28">
        <f>_xlfn.MAXIFS(staff[Salary],staff[Department],B15)</f>
        <v>104802.63</v>
      </c>
      <c r="H15" s="28">
        <f>_xlfn.MINIFS(staff[Salary],staff[Department],B15)</f>
        <v>28974.03</v>
      </c>
      <c r="I15" cm="1">
        <f t="array" ref="I15">MEDIAN(_xlfn._xlws.FILTER(staff[Salary],staff[Department]=B15))</f>
        <v>61214.26</v>
      </c>
      <c r="J15">
        <f>COUNTIFS(staff[Department], B15, staff[Gender], "Female")</f>
        <v>8</v>
      </c>
      <c r="K15" s="48">
        <f t="shared" si="2"/>
        <v>0.47058823529411764</v>
      </c>
    </row>
    <row r="16" spans="2:11" x14ac:dyDescent="0.35">
      <c r="B16" t="str">
        <v>Sales</v>
      </c>
      <c r="C16">
        <f>COUNTIF(staff[Department],B16)</f>
        <v>18</v>
      </c>
      <c r="D16" s="28">
        <f>AVERAGEIF(staff[Department],B16,staff[Salary])</f>
        <v>71897.095555555556</v>
      </c>
      <c r="E16" s="28">
        <f t="shared" si="0"/>
        <v>-1964.2296752136899</v>
      </c>
      <c r="F16" s="40">
        <f t="shared" si="1"/>
        <v>-2.6593479998859113E-2</v>
      </c>
      <c r="G16" s="28">
        <f>_xlfn.MAXIFS(staff[Salary],staff[Department],B16)</f>
        <v>102129.37</v>
      </c>
      <c r="H16" s="28">
        <f>_xlfn.MINIFS(staff[Salary],staff[Department],B16)</f>
        <v>32192.15</v>
      </c>
      <c r="I16" cm="1">
        <f t="array" ref="I16">MEDIAN(_xlfn._xlws.FILTER(staff[Salary],staff[Department]=B16))</f>
        <v>79396.654999999999</v>
      </c>
      <c r="J16">
        <f>COUNTIFS(staff[Department], B16, staff[Gender], "Female")</f>
        <v>10</v>
      </c>
      <c r="K16" s="48">
        <f t="shared" si="2"/>
        <v>0.55555555555555558</v>
      </c>
    </row>
    <row r="17" spans="4:4" x14ac:dyDescent="0.35">
      <c r="D17" s="28"/>
    </row>
  </sheetData>
  <mergeCells count="1">
    <mergeCell ref="E4:F4"/>
  </mergeCells>
  <conditionalFormatting sqref="F5:F16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L64"/>
  <sheetViews>
    <sheetView workbookViewId="0">
      <selection activeCell="G2" sqref="G2"/>
    </sheetView>
  </sheetViews>
  <sheetFormatPr defaultRowHeight="14.5" x14ac:dyDescent="0.35"/>
  <cols>
    <col min="12" max="12" width="12.1796875" style="28" bestFit="1" customWidth="1"/>
  </cols>
  <sheetData>
    <row r="1" spans="2:12" x14ac:dyDescent="0.35">
      <c r="B1" s="29" t="s">
        <v>18</v>
      </c>
    </row>
    <row r="2" spans="2:12" x14ac:dyDescent="0.35">
      <c r="G2" t="str" cm="1">
        <f t="array" ref="G2:L2">_xlfn.CHOOSECOLS(staff[#Headers],1,2,3,4,5,6)</f>
        <v>Emp ID</v>
      </c>
      <c r="H2" t="str">
        <v>First Name</v>
      </c>
      <c r="I2" t="str">
        <v>Last Name</v>
      </c>
      <c r="J2" t="str">
        <v>Gender</v>
      </c>
      <c r="K2" t="str">
        <v>Department</v>
      </c>
      <c r="L2" s="28" t="str">
        <v>Salary</v>
      </c>
    </row>
    <row r="3" spans="2:12" x14ac:dyDescent="0.35">
      <c r="B3" t="s">
        <v>24</v>
      </c>
      <c r="C3" t="s">
        <v>25</v>
      </c>
      <c r="D3" t="s">
        <v>26</v>
      </c>
      <c r="G3" t="str" cm="1">
        <f t="array" ref="G3:L64">_xlfn.CHOOSECOLS(_xlfn._xlws.FILTER(staff[],(staff[Gender]="Female") * (WEEKDAY(staff[Start Date],2)=1)),1,2,3,4,5,6)</f>
        <v>PR00007</v>
      </c>
      <c r="H3" t="str">
        <v>Torrance</v>
      </c>
      <c r="I3" t="str">
        <v>Collier</v>
      </c>
      <c r="J3" t="str">
        <v>Female</v>
      </c>
      <c r="K3" t="str">
        <v>Training</v>
      </c>
      <c r="L3" s="28">
        <v>96135.75</v>
      </c>
    </row>
    <row r="4" spans="2:12" x14ac:dyDescent="0.35">
      <c r="B4" t="str" cm="1">
        <f t="array" ref="B4:D25">_xlfn.CHOOSECOLS(_xlfn._xlws.FILTER(staff[],MONTH(staff[Start Date])=3),1,2,3)</f>
        <v>PR00746</v>
      </c>
      <c r="C4" t="str">
        <v>Hogan</v>
      </c>
      <c r="D4" t="str">
        <v>Iles</v>
      </c>
      <c r="G4" t="str">
        <v>PR00095</v>
      </c>
      <c r="H4" t="str">
        <v>Devrat</v>
      </c>
      <c r="I4" t="str">
        <v>Damarsingh</v>
      </c>
      <c r="J4" t="str">
        <v>Female</v>
      </c>
      <c r="K4" t="str">
        <v>Business Development</v>
      </c>
      <c r="L4" s="28">
        <v>70649.460000000006</v>
      </c>
    </row>
    <row r="5" spans="2:12" x14ac:dyDescent="0.35">
      <c r="B5" t="str">
        <v>PR00893</v>
      </c>
      <c r="C5" t="str">
        <v>Vasavi</v>
      </c>
      <c r="D5" t="str">
        <v>Veeravasarapu</v>
      </c>
      <c r="G5" t="str">
        <v>PR00113</v>
      </c>
      <c r="H5" t="str">
        <v>Van</v>
      </c>
      <c r="I5" t="str">
        <v>Tuxwell</v>
      </c>
      <c r="J5" t="str">
        <v>Female</v>
      </c>
      <c r="K5" t="str">
        <v>Business Development</v>
      </c>
      <c r="L5" s="28">
        <v>80695.740000000005</v>
      </c>
    </row>
    <row r="6" spans="2:12" x14ac:dyDescent="0.35">
      <c r="B6" t="str">
        <v>SQ00022</v>
      </c>
      <c r="C6" t="str">
        <v>Carlin</v>
      </c>
      <c r="D6" t="str">
        <v>Demke</v>
      </c>
      <c r="G6" t="str">
        <v>PR00113</v>
      </c>
      <c r="H6" t="str">
        <v>Van</v>
      </c>
      <c r="I6" t="str">
        <v>Tuxwell</v>
      </c>
      <c r="J6" t="str">
        <v>Female</v>
      </c>
      <c r="K6" t="str">
        <v>Business Development</v>
      </c>
      <c r="L6" s="28">
        <v>80695.740000000005</v>
      </c>
    </row>
    <row r="7" spans="2:12" x14ac:dyDescent="0.35">
      <c r="B7" t="str">
        <v>SQ00105</v>
      </c>
      <c r="C7" t="str">
        <v>Sarayu</v>
      </c>
      <c r="D7" t="str">
        <v>Ragunathan</v>
      </c>
      <c r="G7" t="str">
        <v>PR00576</v>
      </c>
      <c r="H7" t="str">
        <v>Lalitchandra</v>
      </c>
      <c r="I7" t="str">
        <v>Vadali</v>
      </c>
      <c r="J7" t="str">
        <v>Female</v>
      </c>
      <c r="K7" t="str">
        <v>Legal</v>
      </c>
      <c r="L7" s="28">
        <v>63705.4</v>
      </c>
    </row>
    <row r="8" spans="2:12" x14ac:dyDescent="0.35">
      <c r="B8" t="str">
        <v>SQ01519</v>
      </c>
      <c r="C8" t="str">
        <v>Caron</v>
      </c>
      <c r="D8" t="str">
        <v>Kolakovic</v>
      </c>
      <c r="G8" t="str">
        <v>PR00916</v>
      </c>
      <c r="H8" t="str">
        <v>Inger</v>
      </c>
      <c r="I8" t="str">
        <v>Chapelhow</v>
      </c>
      <c r="J8" t="str">
        <v>Female</v>
      </c>
      <c r="K8" t="str">
        <v>Research and Development</v>
      </c>
      <c r="L8" s="28">
        <v>84309.95</v>
      </c>
    </row>
    <row r="9" spans="2:12" x14ac:dyDescent="0.35">
      <c r="B9" t="str">
        <v>SQ03112</v>
      </c>
      <c r="C9" t="str">
        <v>Kantimoy</v>
      </c>
      <c r="D9" t="str">
        <v>Pritish</v>
      </c>
      <c r="G9" t="str">
        <v>PR01383</v>
      </c>
      <c r="H9" t="str">
        <v>Addi</v>
      </c>
      <c r="I9" t="str">
        <v>Studdeard</v>
      </c>
      <c r="J9" t="str">
        <v>Female</v>
      </c>
      <c r="K9" t="str">
        <v>Product Management</v>
      </c>
      <c r="L9" s="28">
        <v>72502.61</v>
      </c>
    </row>
    <row r="10" spans="2:12" x14ac:dyDescent="0.35">
      <c r="B10" t="str">
        <v>SQ03625</v>
      </c>
      <c r="C10" t="str">
        <v>Fidela</v>
      </c>
      <c r="D10" t="str">
        <v>Artis</v>
      </c>
      <c r="G10" t="str">
        <v>PR02016</v>
      </c>
      <c r="H10" t="str">
        <v>Iris</v>
      </c>
      <c r="I10" t="str">
        <v>Wagg</v>
      </c>
      <c r="J10" t="str">
        <v>Female</v>
      </c>
      <c r="K10" t="str">
        <v>Engineering</v>
      </c>
      <c r="L10" s="28">
        <v>58861.19</v>
      </c>
    </row>
    <row r="11" spans="2:12" x14ac:dyDescent="0.35">
      <c r="B11" t="str">
        <v>SQ04612</v>
      </c>
      <c r="C11" t="str">
        <v>Mick</v>
      </c>
      <c r="D11" t="str">
        <v>Spraberry</v>
      </c>
      <c r="G11" t="str">
        <v>PR02113</v>
      </c>
      <c r="H11" t="str">
        <v>Beverie</v>
      </c>
      <c r="I11" t="str">
        <v>Moffet</v>
      </c>
      <c r="J11" t="str">
        <v>Female</v>
      </c>
      <c r="K11" t="str">
        <v>Support</v>
      </c>
      <c r="L11" s="28">
        <v>75974.990000000005</v>
      </c>
    </row>
    <row r="12" spans="2:12" x14ac:dyDescent="0.35">
      <c r="B12" t="str">
        <v>TN01256</v>
      </c>
      <c r="C12" t="str">
        <v>Shattesh</v>
      </c>
      <c r="D12" t="str">
        <v>Utpat</v>
      </c>
      <c r="G12" t="str">
        <v>PR02275</v>
      </c>
      <c r="H12" t="str">
        <v>Louise</v>
      </c>
      <c r="I12" t="str">
        <v>Lamming</v>
      </c>
      <c r="J12" t="str">
        <v>Female</v>
      </c>
      <c r="K12" t="str">
        <v>Sales</v>
      </c>
      <c r="L12" s="28">
        <v>41934.71</v>
      </c>
    </row>
    <row r="13" spans="2:12" x14ac:dyDescent="0.35">
      <c r="B13" t="str">
        <v>TN01256</v>
      </c>
      <c r="C13" t="str">
        <v>Sawini</v>
      </c>
      <c r="D13" t="str">
        <v>Chandan</v>
      </c>
      <c r="G13" t="str">
        <v>PR02436</v>
      </c>
      <c r="H13" t="str">
        <v>Marmaduke</v>
      </c>
      <c r="I13" t="str">
        <v>Worssam</v>
      </c>
      <c r="J13" t="str">
        <v>Female</v>
      </c>
      <c r="K13" t="str">
        <v>Engineering</v>
      </c>
      <c r="L13" s="28">
        <v>78378.2</v>
      </c>
    </row>
    <row r="14" spans="2:12" x14ac:dyDescent="0.35">
      <c r="B14" t="str">
        <v>TN01601</v>
      </c>
      <c r="C14" t="str">
        <v>Melva</v>
      </c>
      <c r="D14" t="str">
        <v>Jickells</v>
      </c>
      <c r="G14" t="str">
        <v>PR02603</v>
      </c>
      <c r="H14" t="str">
        <v>Dinanath</v>
      </c>
      <c r="I14" t="str">
        <v>Simhambhatla</v>
      </c>
      <c r="J14" t="str">
        <v>Female</v>
      </c>
      <c r="K14" t="str">
        <v>Human Resources</v>
      </c>
      <c r="L14" s="28">
        <v>61994.76</v>
      </c>
    </row>
    <row r="15" spans="2:12" x14ac:dyDescent="0.35">
      <c r="B15" t="str">
        <v>TN01601</v>
      </c>
      <c r="C15" t="str">
        <v>Melva</v>
      </c>
      <c r="D15" t="str">
        <v>Jickells</v>
      </c>
      <c r="G15" t="str">
        <v>PR03158</v>
      </c>
      <c r="H15" t="str">
        <v>Danica</v>
      </c>
      <c r="I15" t="str">
        <v>Nayshe</v>
      </c>
      <c r="J15" t="str">
        <v>Female</v>
      </c>
      <c r="K15" t="str">
        <v>Services</v>
      </c>
      <c r="L15" s="28">
        <v>89690.38</v>
      </c>
    </row>
    <row r="16" spans="2:12" x14ac:dyDescent="0.35">
      <c r="B16" t="str">
        <v>TN04892</v>
      </c>
      <c r="C16" t="str">
        <v>Luca</v>
      </c>
      <c r="D16" t="str">
        <v>Wolstenholme</v>
      </c>
      <c r="G16" t="str">
        <v>PR04380</v>
      </c>
      <c r="H16" t="str">
        <v>Van</v>
      </c>
      <c r="I16" t="str">
        <v>Tuxwell</v>
      </c>
      <c r="J16" t="str">
        <v>Female</v>
      </c>
      <c r="K16" t="str">
        <v>Business Development</v>
      </c>
      <c r="L16" s="28">
        <v>80695.740000000005</v>
      </c>
    </row>
    <row r="17" spans="2:12" x14ac:dyDescent="0.35">
      <c r="B17" t="str">
        <v>VT01762</v>
      </c>
      <c r="C17" t="str">
        <v>Geena</v>
      </c>
      <c r="D17" t="str">
        <v>Raghavanpillai</v>
      </c>
      <c r="G17" t="str">
        <v>PR04446</v>
      </c>
      <c r="H17" t="str">
        <v>Sameer</v>
      </c>
      <c r="I17" t="str">
        <v>Shashank</v>
      </c>
      <c r="J17" t="str">
        <v>Female</v>
      </c>
      <c r="K17" t="str">
        <v>Research and Development</v>
      </c>
      <c r="L17" s="28">
        <v>92336.08</v>
      </c>
    </row>
    <row r="18" spans="2:12" x14ac:dyDescent="0.35">
      <c r="B18" t="str">
        <v>VT01803</v>
      </c>
      <c r="C18" t="str">
        <v>Freddy</v>
      </c>
      <c r="D18" t="str">
        <v>Linford</v>
      </c>
      <c r="G18" t="str">
        <v>PR04473</v>
      </c>
      <c r="H18" t="str">
        <v>Wyn</v>
      </c>
      <c r="I18" t="str">
        <v>Treadger</v>
      </c>
      <c r="J18" t="str">
        <v>Female</v>
      </c>
      <c r="K18" t="str">
        <v>Business Development</v>
      </c>
      <c r="L18" s="28">
        <v>69192.850000000006</v>
      </c>
    </row>
    <row r="19" spans="2:12" x14ac:dyDescent="0.35">
      <c r="B19" t="str">
        <v>VT02417</v>
      </c>
      <c r="C19" t="str">
        <v>Evangelina</v>
      </c>
      <c r="D19" t="str">
        <v>Lergan</v>
      </c>
      <c r="G19" t="str">
        <v>PR04686</v>
      </c>
      <c r="H19" t="str">
        <v>Oona</v>
      </c>
      <c r="I19" t="str">
        <v>Donan</v>
      </c>
      <c r="J19" t="str">
        <v>Female</v>
      </c>
      <c r="K19" t="str">
        <v>Business Development</v>
      </c>
      <c r="L19" s="28">
        <v>98000</v>
      </c>
    </row>
    <row r="20" spans="2:12" x14ac:dyDescent="0.35">
      <c r="B20" t="str">
        <v>VT03421</v>
      </c>
      <c r="C20" t="str">
        <v>Alic</v>
      </c>
      <c r="D20" t="str">
        <v>Bagg</v>
      </c>
      <c r="G20" t="str">
        <v>SQ00105</v>
      </c>
      <c r="H20" t="str">
        <v>Sarayu</v>
      </c>
      <c r="I20" t="str">
        <v>Ragunathan</v>
      </c>
      <c r="J20" t="str">
        <v>Female</v>
      </c>
      <c r="K20" t="str">
        <v>Training</v>
      </c>
      <c r="L20" s="28">
        <v>86010.54</v>
      </c>
    </row>
    <row r="21" spans="2:12" x14ac:dyDescent="0.35">
      <c r="B21" t="str">
        <v>VT03421</v>
      </c>
      <c r="C21" t="str">
        <v>Alic</v>
      </c>
      <c r="D21" t="str">
        <v>Bagg</v>
      </c>
      <c r="G21" t="str">
        <v>SQ00841</v>
      </c>
      <c r="H21" t="str">
        <v>Bhuvan</v>
      </c>
      <c r="I21" t="str">
        <v>Pals</v>
      </c>
      <c r="J21" t="str">
        <v>Female</v>
      </c>
      <c r="K21" t="str">
        <v>Services</v>
      </c>
      <c r="L21" s="28">
        <v>89690.38</v>
      </c>
    </row>
    <row r="22" spans="2:12" x14ac:dyDescent="0.35">
      <c r="B22" t="str">
        <v>VT03993</v>
      </c>
      <c r="C22" t="str">
        <v>Dulce</v>
      </c>
      <c r="D22" t="str">
        <v>Colbeck</v>
      </c>
      <c r="G22" t="str">
        <v>SQ00914</v>
      </c>
      <c r="H22" t="str">
        <v>Duran</v>
      </c>
      <c r="I22" t="str">
        <v>Appala</v>
      </c>
      <c r="J22" t="str">
        <v>Female</v>
      </c>
      <c r="K22" t="str">
        <v>Product Management</v>
      </c>
      <c r="L22" s="28">
        <v>38438.239999999998</v>
      </c>
    </row>
    <row r="23" spans="2:12" x14ac:dyDescent="0.35">
      <c r="B23" t="str">
        <v>VT04028</v>
      </c>
      <c r="C23" t="str">
        <v>Michale</v>
      </c>
      <c r="D23" t="str">
        <v>Rolf</v>
      </c>
      <c r="G23" t="str">
        <v>SQ00914</v>
      </c>
      <c r="H23" t="str">
        <v>Karuna</v>
      </c>
      <c r="I23" t="str">
        <v>Pashupathy</v>
      </c>
      <c r="J23" t="str">
        <v>Female</v>
      </c>
      <c r="K23" t="str">
        <v>Product Management</v>
      </c>
      <c r="L23" s="28">
        <v>38438.239999999998</v>
      </c>
    </row>
    <row r="24" spans="2:12" x14ac:dyDescent="0.35">
      <c r="B24" t="str">
        <v>VT04028</v>
      </c>
      <c r="C24" t="str">
        <v>Michale</v>
      </c>
      <c r="D24" t="str">
        <v>Rolf</v>
      </c>
      <c r="G24" t="str">
        <v>SQ01402</v>
      </c>
      <c r="H24" t="str">
        <v>Sahaj</v>
      </c>
      <c r="I24" t="str">
        <v>Jonnalagadda</v>
      </c>
      <c r="J24" t="str">
        <v>Female</v>
      </c>
      <c r="K24" t="str">
        <v>Engineering</v>
      </c>
      <c r="L24" s="28">
        <v>44403.77</v>
      </c>
    </row>
    <row r="25" spans="2:12" x14ac:dyDescent="0.35">
      <c r="B25" t="str">
        <v>VT04415</v>
      </c>
      <c r="C25" t="str">
        <v>Malory</v>
      </c>
      <c r="D25" t="str">
        <v>Biles</v>
      </c>
      <c r="G25" t="str">
        <v>SQ01730</v>
      </c>
      <c r="H25" t="str">
        <v>Austine</v>
      </c>
      <c r="I25" t="str">
        <v>Littlewood</v>
      </c>
      <c r="J25" t="str">
        <v>Female</v>
      </c>
      <c r="K25" t="str">
        <v>Services</v>
      </c>
      <c r="L25" s="28">
        <v>32269.91</v>
      </c>
    </row>
    <row r="26" spans="2:12" x14ac:dyDescent="0.35">
      <c r="G26" t="str">
        <v>SQ02174</v>
      </c>
      <c r="H26" t="str">
        <v>Sidoney</v>
      </c>
      <c r="I26" t="str">
        <v>Yitzhok</v>
      </c>
      <c r="J26" t="str">
        <v>Female</v>
      </c>
      <c r="K26" t="str">
        <v>Engineering</v>
      </c>
      <c r="L26" s="28">
        <v>118442.54</v>
      </c>
    </row>
    <row r="27" spans="2:12" x14ac:dyDescent="0.35">
      <c r="G27" t="str">
        <v>SQ03321</v>
      </c>
      <c r="H27" t="str">
        <v>Gradey</v>
      </c>
      <c r="I27" t="str">
        <v>Litton</v>
      </c>
      <c r="J27" t="str">
        <v>Female</v>
      </c>
      <c r="K27" t="str">
        <v>Accounting</v>
      </c>
      <c r="L27" s="28">
        <v>68887.839999999997</v>
      </c>
    </row>
    <row r="28" spans="2:12" x14ac:dyDescent="0.35">
      <c r="G28" t="str">
        <v>SQ03350</v>
      </c>
      <c r="H28" t="str">
        <v>Felice</v>
      </c>
      <c r="I28" t="str">
        <v>McMurty</v>
      </c>
      <c r="J28" t="str">
        <v>Female</v>
      </c>
      <c r="K28" t="str">
        <v>Product Management</v>
      </c>
      <c r="L28" s="28">
        <v>66865.490000000005</v>
      </c>
    </row>
    <row r="29" spans="2:12" x14ac:dyDescent="0.35">
      <c r="G29" t="str">
        <v>SQ03350</v>
      </c>
      <c r="H29" t="str">
        <v>Felice</v>
      </c>
      <c r="I29" t="str">
        <v>McMurty</v>
      </c>
      <c r="J29" t="str">
        <v>Female</v>
      </c>
      <c r="K29" t="str">
        <v>Product Management</v>
      </c>
      <c r="L29" s="28">
        <v>66865.490000000005</v>
      </c>
    </row>
    <row r="30" spans="2:12" x14ac:dyDescent="0.35">
      <c r="G30" t="str">
        <v>SQ03491</v>
      </c>
      <c r="H30" t="str">
        <v>Freda</v>
      </c>
      <c r="I30" t="str">
        <v>Legan</v>
      </c>
      <c r="J30" t="str">
        <v>Female</v>
      </c>
      <c r="K30" t="str">
        <v>Sales</v>
      </c>
      <c r="L30" s="28">
        <v>102129.37</v>
      </c>
    </row>
    <row r="31" spans="2:12" x14ac:dyDescent="0.35">
      <c r="G31" t="str">
        <v>SQ03546</v>
      </c>
      <c r="H31" t="str">
        <v>Amlankusum</v>
      </c>
      <c r="I31" t="str">
        <v>Rajabhushan</v>
      </c>
      <c r="J31" t="str">
        <v>Female</v>
      </c>
      <c r="K31" t="str">
        <v>Legal</v>
      </c>
      <c r="L31" s="28">
        <v>75733.740000000005</v>
      </c>
    </row>
    <row r="32" spans="2:12" x14ac:dyDescent="0.35">
      <c r="G32" t="str">
        <v>SQ03625</v>
      </c>
      <c r="H32" t="str">
        <v>Fidela</v>
      </c>
      <c r="I32" t="str">
        <v>Artis</v>
      </c>
      <c r="J32" t="str">
        <v>Female</v>
      </c>
      <c r="K32" t="str">
        <v>Sales</v>
      </c>
      <c r="L32" s="28">
        <v>78020.39</v>
      </c>
    </row>
    <row r="33" spans="7:12" x14ac:dyDescent="0.35">
      <c r="G33" t="str">
        <v>SQ03626</v>
      </c>
      <c r="H33" t="str">
        <v>Krishnakanta</v>
      </c>
      <c r="I33" t="str">
        <v>Vellanki</v>
      </c>
      <c r="J33" t="str">
        <v>Female</v>
      </c>
      <c r="K33" t="str">
        <v>Training</v>
      </c>
      <c r="L33" s="28">
        <v>95677.9</v>
      </c>
    </row>
    <row r="34" spans="7:12" x14ac:dyDescent="0.35">
      <c r="G34" t="str">
        <v>SQ04613</v>
      </c>
      <c r="H34" t="str">
        <v>Sarojini</v>
      </c>
      <c r="I34" t="str">
        <v>Naueshwara</v>
      </c>
      <c r="J34" t="str">
        <v>Female</v>
      </c>
      <c r="K34" t="str">
        <v>Human Resources</v>
      </c>
      <c r="L34" s="28">
        <v>85264.38</v>
      </c>
    </row>
    <row r="35" spans="7:12" x14ac:dyDescent="0.35">
      <c r="G35" t="str">
        <v>SQ04960</v>
      </c>
      <c r="H35" t="str">
        <v>Shubhra</v>
      </c>
      <c r="I35" t="str">
        <v>Potla</v>
      </c>
      <c r="J35" t="str">
        <v>Female</v>
      </c>
      <c r="K35" t="str">
        <v>Support</v>
      </c>
      <c r="L35" s="28">
        <v>71924.850000000006</v>
      </c>
    </row>
    <row r="36" spans="7:12" x14ac:dyDescent="0.35">
      <c r="G36" t="str">
        <v>TN00083</v>
      </c>
      <c r="H36" t="str">
        <v>Chandana</v>
      </c>
      <c r="I36" t="str">
        <v>Sannidhi</v>
      </c>
      <c r="J36" t="str">
        <v>Female</v>
      </c>
      <c r="K36" t="str">
        <v>Business Development</v>
      </c>
      <c r="L36" s="28">
        <v>61688.77</v>
      </c>
    </row>
    <row r="37" spans="7:12" x14ac:dyDescent="0.35">
      <c r="G37" t="str">
        <v>TN00182</v>
      </c>
      <c r="H37" t="str">
        <v>Camilla</v>
      </c>
      <c r="I37" t="str">
        <v>Castle</v>
      </c>
      <c r="J37" t="str">
        <v>Female</v>
      </c>
      <c r="K37" t="str">
        <v>Product Management</v>
      </c>
      <c r="L37" s="28">
        <v>75475.929999999993</v>
      </c>
    </row>
    <row r="38" spans="7:12" x14ac:dyDescent="0.35">
      <c r="G38" t="str">
        <v>TN00890</v>
      </c>
      <c r="H38" t="str">
        <v>Mayur</v>
      </c>
      <c r="I38" t="str">
        <v>Kousika</v>
      </c>
      <c r="J38" t="str">
        <v>Female</v>
      </c>
      <c r="K38" t="str">
        <v>Training</v>
      </c>
      <c r="L38" s="28">
        <v>71570.990000000005</v>
      </c>
    </row>
    <row r="39" spans="7:12" x14ac:dyDescent="0.35">
      <c r="G39" t="str">
        <v>TN01281</v>
      </c>
      <c r="H39" t="str">
        <v>Cletus</v>
      </c>
      <c r="I39" t="str">
        <v>McGarahan</v>
      </c>
      <c r="J39" t="str">
        <v>Female</v>
      </c>
      <c r="K39" t="str">
        <v>Engineering</v>
      </c>
      <c r="L39" s="28">
        <v>114425.19</v>
      </c>
    </row>
    <row r="40" spans="7:12" x14ac:dyDescent="0.35">
      <c r="G40" t="str">
        <v>TN01601</v>
      </c>
      <c r="H40" t="str">
        <v>Melva</v>
      </c>
      <c r="I40" t="str">
        <v>Jickells</v>
      </c>
      <c r="J40" t="str">
        <v>Female</v>
      </c>
      <c r="K40" t="str">
        <v>Product Management</v>
      </c>
      <c r="L40" s="28">
        <v>68795.48</v>
      </c>
    </row>
    <row r="41" spans="7:12" x14ac:dyDescent="0.35">
      <c r="G41" t="str">
        <v>TN01601</v>
      </c>
      <c r="H41" t="str">
        <v>Melva</v>
      </c>
      <c r="I41" t="str">
        <v>Jickells</v>
      </c>
      <c r="J41" t="str">
        <v>Female</v>
      </c>
      <c r="K41" t="str">
        <v>Product Management</v>
      </c>
      <c r="L41" s="28">
        <v>68795.48</v>
      </c>
    </row>
    <row r="42" spans="7:12" x14ac:dyDescent="0.35">
      <c r="G42" t="str">
        <v>TN02749</v>
      </c>
      <c r="H42" t="str">
        <v>Parasuramudu</v>
      </c>
      <c r="I42" t="str">
        <v>Jamakayala</v>
      </c>
      <c r="J42" t="str">
        <v>Female</v>
      </c>
      <c r="K42" t="str">
        <v>Training</v>
      </c>
      <c r="L42" s="28">
        <v>57002.02</v>
      </c>
    </row>
    <row r="43" spans="7:12" x14ac:dyDescent="0.35">
      <c r="G43" t="str">
        <v>TN02883</v>
      </c>
      <c r="H43" t="str">
        <v>John</v>
      </c>
      <c r="I43" t="str">
        <v>Joseph</v>
      </c>
      <c r="J43" t="str">
        <v>Female</v>
      </c>
      <c r="K43" t="str">
        <v>Sales</v>
      </c>
      <c r="L43" s="28">
        <v>84762.76</v>
      </c>
    </row>
    <row r="44" spans="7:12" x14ac:dyDescent="0.35">
      <c r="G44" t="str">
        <v>TN03575</v>
      </c>
      <c r="H44" t="str">
        <v>Janina</v>
      </c>
      <c r="I44" t="str">
        <v>Wolverson</v>
      </c>
      <c r="J44" t="str">
        <v>Female</v>
      </c>
      <c r="K44" t="str">
        <v>Research and Development</v>
      </c>
      <c r="L44" s="28">
        <v>99683.67</v>
      </c>
    </row>
    <row r="45" spans="7:12" x14ac:dyDescent="0.35">
      <c r="G45" t="str">
        <v>TN03575</v>
      </c>
      <c r="H45" t="str">
        <v>Janina</v>
      </c>
      <c r="I45" t="str">
        <v>Wolverson</v>
      </c>
      <c r="J45" t="str">
        <v>Female</v>
      </c>
      <c r="K45" t="str">
        <v>Research and Development</v>
      </c>
      <c r="L45" s="28">
        <v>99683.67</v>
      </c>
    </row>
    <row r="46" spans="7:12" x14ac:dyDescent="0.35">
      <c r="G46" t="str">
        <v>TN04067</v>
      </c>
      <c r="H46" t="str">
        <v>Lea</v>
      </c>
      <c r="I46" t="str">
        <v>Chaplin</v>
      </c>
      <c r="J46" t="str">
        <v>Female</v>
      </c>
      <c r="K46" t="str">
        <v>Human Resources</v>
      </c>
      <c r="L46" s="28">
        <v>73488.679999999993</v>
      </c>
    </row>
    <row r="47" spans="7:12" x14ac:dyDescent="0.35">
      <c r="G47" t="str">
        <v>TN04175</v>
      </c>
      <c r="H47" t="str">
        <v>Hinda</v>
      </c>
      <c r="I47" t="str">
        <v>Label</v>
      </c>
      <c r="J47" t="str">
        <v>Female</v>
      </c>
      <c r="K47" t="str">
        <v>Human Resources</v>
      </c>
      <c r="L47" s="28">
        <v>92704.48</v>
      </c>
    </row>
    <row r="48" spans="7:12" x14ac:dyDescent="0.35">
      <c r="G48" t="str">
        <v>TN04246</v>
      </c>
      <c r="H48" t="str">
        <v>Shaylyn</v>
      </c>
      <c r="I48" t="str">
        <v>Ransbury</v>
      </c>
      <c r="J48" t="str">
        <v>Female</v>
      </c>
      <c r="K48" t="str">
        <v>Support</v>
      </c>
      <c r="L48" s="28">
        <v>100371.31</v>
      </c>
    </row>
    <row r="49" spans="7:12" x14ac:dyDescent="0.35">
      <c r="G49" t="str">
        <v>TN04740</v>
      </c>
      <c r="H49" t="str">
        <v>Tristam</v>
      </c>
      <c r="I49" t="str">
        <v>Cuming</v>
      </c>
      <c r="J49" t="str">
        <v>Female</v>
      </c>
      <c r="K49" t="str">
        <v>Support</v>
      </c>
      <c r="L49" s="28">
        <v>104038.9</v>
      </c>
    </row>
    <row r="50" spans="7:12" x14ac:dyDescent="0.35">
      <c r="G50" t="str">
        <v>VT00578</v>
      </c>
      <c r="H50" t="str">
        <v>Magnum</v>
      </c>
      <c r="I50" t="str">
        <v>Locksley</v>
      </c>
      <c r="J50" t="str">
        <v>Female</v>
      </c>
      <c r="K50" t="str">
        <v>Services</v>
      </c>
      <c r="L50" s="28">
        <v>42314.39</v>
      </c>
    </row>
    <row r="51" spans="7:12" x14ac:dyDescent="0.35">
      <c r="G51" t="str">
        <v>VT00596</v>
      </c>
      <c r="H51" t="str">
        <v>Letisha</v>
      </c>
      <c r="I51" t="str">
        <v>Carrett</v>
      </c>
      <c r="J51" t="str">
        <v>Female</v>
      </c>
      <c r="K51" t="str">
        <v>Sales</v>
      </c>
      <c r="L51" s="28">
        <v>84598.88</v>
      </c>
    </row>
    <row r="52" spans="7:12" x14ac:dyDescent="0.35">
      <c r="G52" t="str">
        <v>VT00596</v>
      </c>
      <c r="H52" t="str">
        <v>Letisha</v>
      </c>
      <c r="I52" t="str">
        <v>Carrett</v>
      </c>
      <c r="J52" t="str">
        <v>Female</v>
      </c>
      <c r="K52" t="str">
        <v>Sales</v>
      </c>
      <c r="L52" s="28">
        <v>84598.88</v>
      </c>
    </row>
    <row r="53" spans="7:12" x14ac:dyDescent="0.35">
      <c r="G53" t="str">
        <v>VT00740</v>
      </c>
      <c r="H53" t="str">
        <v>Chitrasen</v>
      </c>
      <c r="I53" t="str">
        <v>Laul</v>
      </c>
      <c r="J53" t="str">
        <v>Female</v>
      </c>
      <c r="K53" t="str">
        <v>Research and Development</v>
      </c>
      <c r="L53" s="28">
        <v>46751.7</v>
      </c>
    </row>
    <row r="54" spans="7:12" x14ac:dyDescent="0.35">
      <c r="G54" t="str">
        <v>VT01249</v>
      </c>
      <c r="H54" t="str">
        <v>Brendan</v>
      </c>
      <c r="I54" t="str">
        <v>Edgeller</v>
      </c>
      <c r="J54" t="str">
        <v>Female</v>
      </c>
      <c r="K54" t="str">
        <v>Legal</v>
      </c>
      <c r="L54" s="28">
        <v>31042.51</v>
      </c>
    </row>
    <row r="55" spans="7:12" x14ac:dyDescent="0.35">
      <c r="G55" t="str">
        <v>VT01610</v>
      </c>
      <c r="H55" t="str">
        <v>Dhruv</v>
      </c>
      <c r="I55" t="str">
        <v>Manjunath</v>
      </c>
      <c r="J55" t="str">
        <v>Female</v>
      </c>
      <c r="K55" t="str">
        <v>Accounting</v>
      </c>
      <c r="L55" s="28">
        <v>76303.820000000007</v>
      </c>
    </row>
    <row r="56" spans="7:12" x14ac:dyDescent="0.35">
      <c r="G56" t="str">
        <v>VT01610</v>
      </c>
      <c r="H56" t="str">
        <v>Kunja</v>
      </c>
      <c r="I56" t="str">
        <v>Prashanta</v>
      </c>
      <c r="J56" t="str">
        <v>Female</v>
      </c>
      <c r="K56" t="str">
        <v>Accounting</v>
      </c>
      <c r="L56" s="28">
        <v>76303.820000000007</v>
      </c>
    </row>
    <row r="57" spans="7:12" x14ac:dyDescent="0.35">
      <c r="G57" t="str">
        <v>VT01803</v>
      </c>
      <c r="H57" t="str">
        <v>Freddy</v>
      </c>
      <c r="I57" t="str">
        <v>Linford</v>
      </c>
      <c r="J57" t="str">
        <v>Female</v>
      </c>
      <c r="K57" t="str">
        <v>Training</v>
      </c>
      <c r="L57" s="28">
        <v>93128.34</v>
      </c>
    </row>
    <row r="58" spans="7:12" x14ac:dyDescent="0.35">
      <c r="G58" t="str">
        <v>VT02374</v>
      </c>
      <c r="H58" t="str">
        <v>Delphine</v>
      </c>
      <c r="I58" t="str">
        <v>Jewis</v>
      </c>
      <c r="J58" t="str">
        <v>Female</v>
      </c>
      <c r="K58" t="str">
        <v>Accounting</v>
      </c>
      <c r="L58" s="28">
        <v>71823.56</v>
      </c>
    </row>
    <row r="59" spans="7:12" x14ac:dyDescent="0.35">
      <c r="G59" t="str">
        <v>VT02374</v>
      </c>
      <c r="H59" t="str">
        <v>Delphine</v>
      </c>
      <c r="I59" t="str">
        <v>Jewis</v>
      </c>
      <c r="J59" t="str">
        <v>Female</v>
      </c>
      <c r="K59" t="str">
        <v>Accounting</v>
      </c>
      <c r="L59" s="28">
        <v>71823.56</v>
      </c>
    </row>
    <row r="60" spans="7:12" x14ac:dyDescent="0.35">
      <c r="G60" t="str">
        <v>VT02532</v>
      </c>
      <c r="H60" t="str">
        <v>Adey</v>
      </c>
      <c r="I60" t="str">
        <v>Ryal</v>
      </c>
      <c r="J60" t="str">
        <v>Female</v>
      </c>
      <c r="K60" t="str">
        <v>Legal</v>
      </c>
      <c r="L60" s="28">
        <v>32496.880000000001</v>
      </c>
    </row>
    <row r="61" spans="7:12" x14ac:dyDescent="0.35">
      <c r="G61" t="str">
        <v>VT03701</v>
      </c>
      <c r="H61" t="str">
        <v>Narois</v>
      </c>
      <c r="I61" t="str">
        <v>Motiwala</v>
      </c>
      <c r="J61" t="str">
        <v>Female</v>
      </c>
      <c r="K61" t="str">
        <v>Product Management</v>
      </c>
      <c r="L61" s="28">
        <v>89829.33</v>
      </c>
    </row>
    <row r="62" spans="7:12" x14ac:dyDescent="0.35">
      <c r="G62" t="str">
        <v>VT03988</v>
      </c>
      <c r="H62" t="str">
        <v>Venkat</v>
      </c>
      <c r="I62" t="str">
        <v>Kodi</v>
      </c>
      <c r="J62" t="str">
        <v>Female</v>
      </c>
      <c r="K62" t="str">
        <v>Support</v>
      </c>
      <c r="L62" s="28">
        <v>58935.92</v>
      </c>
    </row>
    <row r="63" spans="7:12" x14ac:dyDescent="0.35">
      <c r="G63" t="str">
        <v>VT04415</v>
      </c>
      <c r="H63" t="str">
        <v>Malory</v>
      </c>
      <c r="I63" t="str">
        <v>Biles</v>
      </c>
      <c r="J63" t="str">
        <v>Female</v>
      </c>
      <c r="K63" t="str">
        <v>Training</v>
      </c>
      <c r="L63" s="28">
        <v>58744.17</v>
      </c>
    </row>
    <row r="64" spans="7:12" x14ac:dyDescent="0.35">
      <c r="G64" t="str">
        <v>VT04552</v>
      </c>
      <c r="H64" t="str">
        <v>Theresita</v>
      </c>
      <c r="I64" t="str">
        <v>Chasmer</v>
      </c>
      <c r="J64" t="str">
        <v>Female</v>
      </c>
      <c r="K64" t="str">
        <v>Product Management</v>
      </c>
      <c r="L64" s="28">
        <v>106665.67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C7"/>
  <sheetViews>
    <sheetView workbookViewId="0">
      <selection activeCell="C6" sqref="C6"/>
    </sheetView>
  </sheetViews>
  <sheetFormatPr defaultRowHeight="14.5" x14ac:dyDescent="0.35"/>
  <cols>
    <col min="2" max="2" width="34.453125" bestFit="1" customWidth="1"/>
  </cols>
  <sheetData>
    <row r="1" spans="2:3" x14ac:dyDescent="0.35">
      <c r="B1" s="29" t="s">
        <v>16</v>
      </c>
    </row>
    <row r="2" spans="2:3" x14ac:dyDescent="0.35">
      <c r="C2">
        <f>MAX(staff[Salary])</f>
        <v>120000</v>
      </c>
    </row>
    <row r="3" spans="2:3" x14ac:dyDescent="0.35">
      <c r="B3" s="29" t="s">
        <v>800</v>
      </c>
      <c r="C3" t="str">
        <f>_xlfn.XLOOKUP(C2,staff[Salary],staff[First Name],"NA",0)</f>
        <v>Minerva</v>
      </c>
    </row>
    <row r="6" spans="2:3" x14ac:dyDescent="0.35">
      <c r="B6" t="s">
        <v>801</v>
      </c>
      <c r="C6" t="str" cm="1">
        <f t="array" ref="C6:C7">_xlfn._xlws.FILTER(staff[First Name],staff[Salary]=C2)</f>
        <v>Minerva</v>
      </c>
    </row>
    <row r="7" spans="2:3" x14ac:dyDescent="0.35">
      <c r="C7" t="str">
        <v>Mick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workbookViewId="0">
      <selection activeCell="C24" sqref="C24"/>
    </sheetView>
  </sheetViews>
  <sheetFormatPr defaultRowHeight="14.5" x14ac:dyDescent="0.35"/>
  <cols>
    <col min="2" max="2" width="10.453125" bestFit="1" customWidth="1"/>
    <col min="3" max="3" width="19.36328125" bestFit="1" customWidth="1"/>
  </cols>
  <sheetData>
    <row r="1" spans="1:9" x14ac:dyDescent="0.35">
      <c r="A1" t="s">
        <v>789</v>
      </c>
    </row>
    <row r="3" spans="1:9" x14ac:dyDescent="0.35">
      <c r="B3" s="29" t="s">
        <v>794</v>
      </c>
      <c r="C3" t="s">
        <v>195</v>
      </c>
      <c r="E3" s="29" t="s">
        <v>796</v>
      </c>
    </row>
    <row r="5" spans="1:9" x14ac:dyDescent="0.35">
      <c r="B5" s="29" t="s">
        <v>25</v>
      </c>
      <c r="C5" t="str">
        <f>_xlfn.XLOOKUP(C3,staff[Emp ID],staff[First Name],"NA",0)</f>
        <v>Edd</v>
      </c>
    </row>
    <row r="6" spans="1:9" x14ac:dyDescent="0.35">
      <c r="B6" s="29" t="s">
        <v>26</v>
      </c>
      <c r="C6" t="str">
        <f>_xlfn.XLOOKUP(C3,staff[Emp ID],staff[Last Name],"NA",0)</f>
        <v>MacKnockiter</v>
      </c>
    </row>
    <row r="7" spans="1:9" x14ac:dyDescent="0.35">
      <c r="B7" s="29" t="s">
        <v>28</v>
      </c>
      <c r="C7" t="str">
        <f>_xlfn.XLOOKUP(C3,staff[Emp ID],staff[Department],"NA",0)</f>
        <v>Accounting</v>
      </c>
    </row>
    <row r="8" spans="1:9" x14ac:dyDescent="0.35">
      <c r="B8" s="29" t="s">
        <v>29</v>
      </c>
    </row>
    <row r="12" spans="1:9" x14ac:dyDescent="0.35">
      <c r="B12" s="29" t="s">
        <v>792</v>
      </c>
      <c r="C12" t="s">
        <v>54</v>
      </c>
      <c r="G12" s="29" t="s">
        <v>798</v>
      </c>
      <c r="I12" s="29" t="s">
        <v>799</v>
      </c>
    </row>
    <row r="14" spans="1:9" x14ac:dyDescent="0.35">
      <c r="B14" s="29" t="s">
        <v>797</v>
      </c>
      <c r="C14" t="e">
        <f>VLOOKUP(C12,staff[],1,0)</f>
        <v>#N/A</v>
      </c>
      <c r="E14" t="str">
        <f>_xlfn.XLOOKUP(C12,staff[Last Name],staff[Emp ID],0)</f>
        <v>PR00113</v>
      </c>
    </row>
    <row r="15" spans="1:9" x14ac:dyDescent="0.35">
      <c r="B15" s="29" t="s">
        <v>28</v>
      </c>
      <c r="C15" t="str">
        <f>_xlfn.XLOOKUP(C12,staff[Last Name],staff[Department],"NA",0)</f>
        <v>Business Development</v>
      </c>
    </row>
    <row r="16" spans="1:9" x14ac:dyDescent="0.35">
      <c r="B16" s="29" t="s">
        <v>29</v>
      </c>
      <c r="C16">
        <f>_xlfn.XLOOKUP(C12,staff[Last Name],staff[Salary],"NA",0)</f>
        <v>80695.740000000005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C18"/>
  <sheetViews>
    <sheetView workbookViewId="0">
      <selection activeCell="B17" sqref="B17"/>
    </sheetView>
  </sheetViews>
  <sheetFormatPr defaultRowHeight="14.5" x14ac:dyDescent="0.35"/>
  <cols>
    <col min="1" max="1" width="10.54296875" bestFit="1" customWidth="1"/>
    <col min="2" max="2" width="21.90625" bestFit="1" customWidth="1"/>
  </cols>
  <sheetData>
    <row r="1" spans="1:3" ht="20" thickBot="1" x14ac:dyDescent="0.5">
      <c r="B1" s="27" t="s">
        <v>789</v>
      </c>
    </row>
    <row r="2" spans="1:3" ht="15" thickTop="1" x14ac:dyDescent="0.35"/>
    <row r="3" spans="1:3" x14ac:dyDescent="0.35">
      <c r="A3" t="s">
        <v>790</v>
      </c>
      <c r="B3" s="24" t="s">
        <v>37</v>
      </c>
    </row>
    <row r="5" spans="1:3" x14ac:dyDescent="0.35">
      <c r="A5" t="s">
        <v>791</v>
      </c>
      <c r="B5" t="str">
        <f>VLOOKUP(B3,staff[],2,FALSE)</f>
        <v>Torrance</v>
      </c>
    </row>
    <row r="6" spans="1:3" x14ac:dyDescent="0.35">
      <c r="A6" t="s">
        <v>792</v>
      </c>
      <c r="B6" t="str">
        <f>VLOOKUP(B3,staff[],3,FALSE)</f>
        <v>Collier</v>
      </c>
    </row>
    <row r="7" spans="1:3" x14ac:dyDescent="0.35">
      <c r="A7" t="s">
        <v>28</v>
      </c>
      <c r="B7" t="str">
        <f>VLOOKUP(B3,staff[],5,FALSE)</f>
        <v>Training</v>
      </c>
    </row>
    <row r="8" spans="1:3" x14ac:dyDescent="0.35">
      <c r="A8" t="s">
        <v>29</v>
      </c>
      <c r="B8" s="28">
        <f>VLOOKUP(B3,staff[],6,FALSE)</f>
        <v>96135.75</v>
      </c>
    </row>
    <row r="14" spans="1:3" x14ac:dyDescent="0.35">
      <c r="A14" t="s">
        <v>793</v>
      </c>
      <c r="B14" s="24" t="s">
        <v>186</v>
      </c>
      <c r="C14" t="s">
        <v>817</v>
      </c>
    </row>
    <row r="15" spans="1:3" x14ac:dyDescent="0.35">
      <c r="B15">
        <f>MATCH(B14,staff[Last Name],0)</f>
        <v>43</v>
      </c>
      <c r="C15" t="s">
        <v>818</v>
      </c>
    </row>
    <row r="16" spans="1:3" x14ac:dyDescent="0.35">
      <c r="A16" t="s">
        <v>794</v>
      </c>
      <c r="B16" t="str" cm="1">
        <f t="array" ref="B16">INDEX(staff[Emp ID],B15)</f>
        <v>PR03532</v>
      </c>
    </row>
    <row r="17" spans="1:2" x14ac:dyDescent="0.35">
      <c r="A17" t="s">
        <v>28</v>
      </c>
      <c r="B17" t="str">
        <f>VLOOKUP(B14,staff[[Last Name]:[Department]],3,FALSE)</f>
        <v>Human Resources</v>
      </c>
    </row>
    <row r="18" spans="1:2" x14ac:dyDescent="0.35">
      <c r="A18" t="s">
        <v>795</v>
      </c>
      <c r="B18" s="28">
        <f>VLOOKUP(B14,staff[[Last Name]:[Salary]],4,FALSE)</f>
        <v>72876.91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G15"/>
  <sheetViews>
    <sheetView workbookViewId="0">
      <selection activeCell="E13" sqref="E13"/>
    </sheetView>
  </sheetViews>
  <sheetFormatPr defaultRowHeight="14.5" x14ac:dyDescent="0.35"/>
  <cols>
    <col min="1" max="1" width="24.1796875" bestFit="1" customWidth="1"/>
  </cols>
  <sheetData>
    <row r="1" spans="1:7" ht="20" thickBot="1" x14ac:dyDescent="0.5">
      <c r="A1" s="27" t="s">
        <v>785</v>
      </c>
    </row>
    <row r="2" spans="1:7" ht="15" thickTop="1" x14ac:dyDescent="0.35">
      <c r="C2" s="29" t="s">
        <v>786</v>
      </c>
      <c r="G2" t="str">
        <f>_xlfn.TEXTJOIN(", ", TRUE, _xlfn.UNIQUE(staff[Department]))</f>
        <v>Training, Business Development, Engineering, Marketing, Legal, Accounting, Human Resources, Research and Development, Services, Product Management, Support, Sales</v>
      </c>
    </row>
    <row r="3" spans="1:7" x14ac:dyDescent="0.35">
      <c r="A3" s="29" t="s">
        <v>28</v>
      </c>
      <c r="C3">
        <f>COUNTA(_xlfn.ANCHORARRAY(A4))</f>
        <v>12</v>
      </c>
    </row>
    <row r="4" spans="1:7" x14ac:dyDescent="0.35">
      <c r="A4" t="str" cm="1">
        <f t="array" ref="A4:A15">_xlfn.UNIQUE(staff[Department])</f>
        <v>Training</v>
      </c>
    </row>
    <row r="5" spans="1:7" x14ac:dyDescent="0.35">
      <c r="A5" t="str">
        <v>Business Development</v>
      </c>
    </row>
    <row r="6" spans="1:7" x14ac:dyDescent="0.35">
      <c r="A6" t="str">
        <v>Engineering</v>
      </c>
    </row>
    <row r="7" spans="1:7" x14ac:dyDescent="0.35">
      <c r="A7" t="str">
        <v>Marketing</v>
      </c>
    </row>
    <row r="8" spans="1:7" x14ac:dyDescent="0.35">
      <c r="A8" t="str">
        <v>Legal</v>
      </c>
    </row>
    <row r="9" spans="1:7" x14ac:dyDescent="0.35">
      <c r="A9" t="str">
        <v>Accounting</v>
      </c>
    </row>
    <row r="10" spans="1:7" x14ac:dyDescent="0.35">
      <c r="A10" t="str">
        <v>Human Resources</v>
      </c>
    </row>
    <row r="11" spans="1:7" x14ac:dyDescent="0.35">
      <c r="A11" t="str">
        <v>Research and Development</v>
      </c>
    </row>
    <row r="12" spans="1:7" x14ac:dyDescent="0.35">
      <c r="A12" t="str">
        <v>Services</v>
      </c>
    </row>
    <row r="13" spans="1:7" x14ac:dyDescent="0.35">
      <c r="A13" t="str">
        <v>Product Management</v>
      </c>
    </row>
    <row r="14" spans="1:7" x14ac:dyDescent="0.35">
      <c r="A14" t="str">
        <v>Support</v>
      </c>
    </row>
    <row r="15" spans="1:7" x14ac:dyDescent="0.35">
      <c r="A15" t="str">
        <v>Sales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D19"/>
  <sheetViews>
    <sheetView workbookViewId="0">
      <selection activeCell="G8" sqref="G8"/>
    </sheetView>
  </sheetViews>
  <sheetFormatPr defaultRowHeight="14.5" x14ac:dyDescent="0.35"/>
  <cols>
    <col min="1" max="1" width="12.36328125" bestFit="1" customWidth="1"/>
    <col min="2" max="2" width="15.1796875" customWidth="1"/>
    <col min="3" max="3" width="14.81640625" customWidth="1"/>
    <col min="4" max="4" width="21.81640625" customWidth="1"/>
  </cols>
  <sheetData>
    <row r="1" spans="1:4" ht="20" thickBot="1" x14ac:dyDescent="0.5">
      <c r="B1" s="27" t="s">
        <v>10</v>
      </c>
    </row>
    <row r="2" spans="1:4" ht="15" thickTop="1" x14ac:dyDescent="0.35"/>
    <row r="3" spans="1:4" x14ac:dyDescent="0.35">
      <c r="B3" s="35" t="s">
        <v>782</v>
      </c>
      <c r="C3" s="35" t="s">
        <v>59</v>
      </c>
      <c r="D3" s="35" t="s">
        <v>40</v>
      </c>
    </row>
    <row r="4" spans="1:4" x14ac:dyDescent="0.35">
      <c r="A4" s="35" t="s">
        <v>779</v>
      </c>
      <c r="B4" s="36">
        <f>MIN(staff[Salary])</f>
        <v>28160.79</v>
      </c>
      <c r="C4" s="36">
        <f>_xlfn.MINIFS(staff[Salary],staff[Gender],"Male")</f>
        <v>28160.79</v>
      </c>
      <c r="D4" s="36">
        <f>_xlfn.MINIFS(staff[Salary],staff[Gender],D3)</f>
        <v>28305.08</v>
      </c>
    </row>
    <row r="5" spans="1:4" x14ac:dyDescent="0.35">
      <c r="A5" s="35" t="s">
        <v>780</v>
      </c>
      <c r="B5" s="36">
        <f>MAX(staff[Salary])</f>
        <v>120000</v>
      </c>
      <c r="C5" s="36">
        <f>_xlfn.MAXIFS(staff[Salary],staff[Gender],"MALE")</f>
        <v>120000</v>
      </c>
      <c r="D5" s="36">
        <f>_xlfn.MAXIFS(staff[Salary],staff[Gender],D3)</f>
        <v>120000</v>
      </c>
    </row>
    <row r="6" spans="1:4" x14ac:dyDescent="0.35">
      <c r="A6" s="35" t="s">
        <v>781</v>
      </c>
      <c r="B6" s="36">
        <f>LARGE(staff[Salary],1)</f>
        <v>120000</v>
      </c>
      <c r="C6" s="36" cm="1">
        <f t="array" ref="C6">LARGE(_xlfn._xlws.FILTER(staff[Salary],staff[Gender]="Male"),1)</f>
        <v>120000</v>
      </c>
      <c r="D6" s="36" cm="1">
        <f t="array" ref="D6">LARGE(_xlfn._xlws.FILTER(staff[Salary],staff[Gender]="Female"),1)</f>
        <v>120000</v>
      </c>
    </row>
    <row r="7" spans="1:4" x14ac:dyDescent="0.35">
      <c r="B7" s="36">
        <f>LARGE(staff[Salary],2)</f>
        <v>120000</v>
      </c>
      <c r="C7" s="36" cm="1">
        <f t="array" ref="C7">LARGE(_xlfn._xlws.FILTER(staff[Salary],staff[Gender]="Male"),2)</f>
        <v>119022.49</v>
      </c>
      <c r="D7" s="36" cm="1">
        <f t="array" ref="D7">LARGE(_xlfn._xlws.FILTER(staff[Salary],staff[Gender]="Female"),2)</f>
        <v>118442.54</v>
      </c>
    </row>
    <row r="8" spans="1:4" x14ac:dyDescent="0.35">
      <c r="B8" s="36">
        <f>LARGE(staff[Salary],3)</f>
        <v>119022.49</v>
      </c>
      <c r="C8" s="36" cm="1">
        <f t="array" ref="C8">LARGE(_xlfn._xlws.FILTER(staff[Salary],staff[Gender]="Male"),3)</f>
        <v>118976.16</v>
      </c>
      <c r="D8" s="36" cm="1">
        <f t="array" ref="D8">LARGE(_xlfn._xlws.FILTER(staff[Salary],staff[Gender]="Female"),3)</f>
        <v>116767.63</v>
      </c>
    </row>
    <row r="9" spans="1:4" x14ac:dyDescent="0.35">
      <c r="B9" s="36">
        <f>LARGE(staff[Salary],4)</f>
        <v>118976.16</v>
      </c>
      <c r="C9" s="36" cm="1">
        <f t="array" ref="C9">LARGE(_xlfn._xlws.FILTER(staff[Salary],staff[Gender]="Male"),4)</f>
        <v>115191.38</v>
      </c>
      <c r="D9" s="36" cm="1">
        <f t="array" ref="D9">LARGE(_xlfn._xlws.FILTER(staff[Salary],staff[Gender]="Female"),4)</f>
        <v>116767.63</v>
      </c>
    </row>
    <row r="10" spans="1:4" x14ac:dyDescent="0.35">
      <c r="B10" s="36">
        <f>LARGE(staff[Salary],5)</f>
        <v>118442.54</v>
      </c>
      <c r="C10" s="36" cm="1">
        <f t="array" ref="C10">LARGE(_xlfn._xlws.FILTER(staff[Salary],staff[Gender]="Male"),5)</f>
        <v>114691.03</v>
      </c>
      <c r="D10" s="36" cm="1">
        <f t="array" ref="D10">LARGE(_xlfn._xlws.FILTER(staff[Salary],staff[Gender]="Female"),5)</f>
        <v>114772.32</v>
      </c>
    </row>
    <row r="11" spans="1:4" x14ac:dyDescent="0.35">
      <c r="B11" s="36"/>
      <c r="C11" s="35"/>
      <c r="D11" s="35"/>
    </row>
    <row r="12" spans="1:4" x14ac:dyDescent="0.35">
      <c r="B12" s="36"/>
      <c r="C12" s="35"/>
      <c r="D12" s="35"/>
    </row>
    <row r="15" spans="1:4" x14ac:dyDescent="0.35">
      <c r="B15" s="28"/>
    </row>
    <row r="16" spans="1:4" x14ac:dyDescent="0.35">
      <c r="B16" s="28"/>
    </row>
    <row r="17" spans="2:2" x14ac:dyDescent="0.35">
      <c r="B17" s="28"/>
    </row>
    <row r="18" spans="2:2" x14ac:dyDescent="0.35">
      <c r="B18" s="28"/>
    </row>
    <row r="19" spans="2:2" x14ac:dyDescent="0.35">
      <c r="B19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43CF-3244-4D6B-ACEE-9442545D54BC}">
  <dimension ref="A1:F14"/>
  <sheetViews>
    <sheetView workbookViewId="0">
      <selection activeCell="E21" sqref="E21"/>
    </sheetView>
  </sheetViews>
  <sheetFormatPr defaultRowHeight="14.5" x14ac:dyDescent="0.35"/>
  <cols>
    <col min="1" max="1" width="8.1796875" bestFit="1" customWidth="1"/>
    <col min="2" max="2" width="9" bestFit="1" customWidth="1"/>
    <col min="5" max="5" width="15.6328125" bestFit="1" customWidth="1"/>
    <col min="6" max="6" width="9.81640625" bestFit="1" customWidth="1"/>
    <col min="7" max="7" width="10" bestFit="1" customWidth="1"/>
    <col min="8" max="8" width="8.54296875" customWidth="1"/>
    <col min="10" max="10" width="9.7265625" bestFit="1" customWidth="1"/>
    <col min="11" max="11" width="20.7265625" bestFit="1" customWidth="1"/>
    <col min="12" max="12" width="11.81640625" bestFit="1" customWidth="1"/>
    <col min="13" max="13" width="9.08984375" bestFit="1" customWidth="1"/>
  </cols>
  <sheetData>
    <row r="1" spans="1:6" x14ac:dyDescent="0.35">
      <c r="A1" t="str" cm="1">
        <f t="array" ref="A1:F1">_xlfn.CHOOSECOLS(staff[#Headers],1,2,3,4,5,6)</f>
        <v>Emp ID</v>
      </c>
      <c r="B1" t="str">
        <v>First Name</v>
      </c>
      <c r="C1" t="str">
        <v>Last Name</v>
      </c>
      <c r="D1" t="str">
        <v>Gender</v>
      </c>
      <c r="E1" t="str">
        <v>Department</v>
      </c>
      <c r="F1" t="str">
        <v>Salary</v>
      </c>
    </row>
    <row r="2" spans="1:6" x14ac:dyDescent="0.35">
      <c r="A2" t="str" cm="1">
        <f t="array" ref="A2:F14">_xlfn.CHOOSECOLS(_xlfn._xlws.FILTER(staff[],(staff[Gender]="Female") * (staff[Salary]&gt;100000)*(YEAR(staff[Start Date])&gt;=2020)),1,2,3,4,5,6)</f>
        <v>PR00746</v>
      </c>
      <c r="B2" t="str">
        <v>Hogan</v>
      </c>
      <c r="C2" t="str">
        <v>Iles</v>
      </c>
      <c r="D2" t="str">
        <v>Female</v>
      </c>
      <c r="E2" t="str">
        <v>Accounting</v>
      </c>
      <c r="F2">
        <v>114177.23</v>
      </c>
    </row>
    <row r="3" spans="1:6" x14ac:dyDescent="0.35">
      <c r="A3" t="str">
        <v>PR02208</v>
      </c>
      <c r="B3" t="str">
        <v>Gowri</v>
      </c>
      <c r="C3" t="str">
        <v>Sankar</v>
      </c>
      <c r="D3" t="str">
        <v>Female</v>
      </c>
      <c r="E3" t="str">
        <v>Training</v>
      </c>
      <c r="F3">
        <v>102934.09</v>
      </c>
    </row>
    <row r="4" spans="1:6" x14ac:dyDescent="0.35">
      <c r="A4" t="str">
        <v>SQ00498</v>
      </c>
      <c r="B4" t="str">
        <v>Amery</v>
      </c>
      <c r="C4" t="str">
        <v>Ofer</v>
      </c>
      <c r="D4" t="str">
        <v>Female</v>
      </c>
      <c r="E4" t="str">
        <v>Legal</v>
      </c>
      <c r="F4">
        <v>111049.84</v>
      </c>
    </row>
    <row r="5" spans="1:6" x14ac:dyDescent="0.35">
      <c r="A5" t="str">
        <v>SQ02174</v>
      </c>
      <c r="B5" t="str">
        <v>Sidoney</v>
      </c>
      <c r="C5" t="str">
        <v>Yitzhok</v>
      </c>
      <c r="D5" t="str">
        <v>Female</v>
      </c>
      <c r="E5" t="str">
        <v>Engineering</v>
      </c>
      <c r="F5">
        <v>118442.54</v>
      </c>
    </row>
    <row r="6" spans="1:6" x14ac:dyDescent="0.35">
      <c r="A6" t="str">
        <v>SQ02624</v>
      </c>
      <c r="B6" t="str">
        <v>Gwenneth</v>
      </c>
      <c r="C6" t="str">
        <v>Fealey</v>
      </c>
      <c r="D6" t="str">
        <v>Female</v>
      </c>
      <c r="E6" t="str">
        <v>Engineering</v>
      </c>
      <c r="F6">
        <v>114772.32</v>
      </c>
    </row>
    <row r="7" spans="1:6" x14ac:dyDescent="0.35">
      <c r="A7" t="str">
        <v>SQ03387</v>
      </c>
      <c r="B7" t="str">
        <v>Robinia</v>
      </c>
      <c r="C7" t="str">
        <v>Scholling</v>
      </c>
      <c r="D7" t="str">
        <v>Female</v>
      </c>
      <c r="E7" t="str">
        <v>Human Resources</v>
      </c>
      <c r="F7">
        <v>100731.95</v>
      </c>
    </row>
    <row r="8" spans="1:6" x14ac:dyDescent="0.35">
      <c r="A8" t="str">
        <v>SQ03491</v>
      </c>
      <c r="B8" t="str">
        <v>Freda</v>
      </c>
      <c r="C8" t="str">
        <v>Legan</v>
      </c>
      <c r="D8" t="str">
        <v>Female</v>
      </c>
      <c r="E8" t="str">
        <v>Sales</v>
      </c>
      <c r="F8">
        <v>102129.37</v>
      </c>
    </row>
    <row r="9" spans="1:6" x14ac:dyDescent="0.35">
      <c r="A9" t="str">
        <v>SQ04612</v>
      </c>
      <c r="B9" t="str">
        <v>Mick</v>
      </c>
      <c r="C9" t="str">
        <v>Spraberry</v>
      </c>
      <c r="D9" t="str">
        <v>Female</v>
      </c>
      <c r="E9" t="str">
        <v>Services</v>
      </c>
      <c r="F9">
        <v>120000</v>
      </c>
    </row>
    <row r="10" spans="1:6" x14ac:dyDescent="0.35">
      <c r="A10" t="str">
        <v>TN00579</v>
      </c>
      <c r="B10" t="str">
        <v>Rafaelita</v>
      </c>
      <c r="C10" t="str">
        <v>Blaksland</v>
      </c>
      <c r="D10" t="str">
        <v>Female</v>
      </c>
      <c r="E10" t="str">
        <v>Services</v>
      </c>
      <c r="F10">
        <v>109163.39</v>
      </c>
    </row>
    <row r="11" spans="1:6" x14ac:dyDescent="0.35">
      <c r="A11" t="str">
        <v>TN01281</v>
      </c>
      <c r="B11" t="str">
        <v>Cletus</v>
      </c>
      <c r="C11" t="str">
        <v>McGarahan</v>
      </c>
      <c r="D11" t="str">
        <v>Female</v>
      </c>
      <c r="E11" t="str">
        <v>Engineering</v>
      </c>
      <c r="F11">
        <v>114425.19</v>
      </c>
    </row>
    <row r="12" spans="1:6" x14ac:dyDescent="0.35">
      <c r="A12" t="str">
        <v>TN04246</v>
      </c>
      <c r="B12" t="str">
        <v>Shaylyn</v>
      </c>
      <c r="C12" t="str">
        <v>Ransbury</v>
      </c>
      <c r="D12" t="str">
        <v>Female</v>
      </c>
      <c r="E12" t="str">
        <v>Support</v>
      </c>
      <c r="F12">
        <v>100371.31</v>
      </c>
    </row>
    <row r="13" spans="1:6" x14ac:dyDescent="0.35">
      <c r="A13" t="str">
        <v>VT04093</v>
      </c>
      <c r="B13" t="str">
        <v>Prasanna</v>
      </c>
      <c r="C13" t="str">
        <v>Lakshmi</v>
      </c>
      <c r="D13" t="str">
        <v>Female</v>
      </c>
      <c r="E13" t="str">
        <v>Training</v>
      </c>
      <c r="F13">
        <v>116767.63</v>
      </c>
    </row>
    <row r="14" spans="1:6" x14ac:dyDescent="0.35">
      <c r="A14" t="str">
        <v>VT04093</v>
      </c>
      <c r="B14" t="str">
        <v>Baruna</v>
      </c>
      <c r="C14" t="str">
        <v>Ogale</v>
      </c>
      <c r="D14" t="str">
        <v>Female</v>
      </c>
      <c r="E14" t="str">
        <v>Training</v>
      </c>
      <c r="F14">
        <v>116767.63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T118"/>
  <sheetViews>
    <sheetView topLeftCell="E1" workbookViewId="0">
      <selection activeCell="O3" sqref="O3"/>
    </sheetView>
  </sheetViews>
  <sheetFormatPr defaultRowHeight="14.5" x14ac:dyDescent="0.35"/>
  <cols>
    <col min="2" max="2" width="39.81640625" bestFit="1" customWidth="1"/>
    <col min="3" max="3" width="17.90625" bestFit="1" customWidth="1"/>
    <col min="4" max="4" width="12.453125" bestFit="1" customWidth="1"/>
    <col min="6" max="6" width="19.36328125" bestFit="1" customWidth="1"/>
    <col min="7" max="7" width="9.81640625" bestFit="1" customWidth="1"/>
    <col min="8" max="8" width="18.453125" bestFit="1" customWidth="1"/>
    <col min="9" max="9" width="12.6328125" bestFit="1" customWidth="1"/>
    <col min="10" max="10" width="13.54296875" bestFit="1" customWidth="1"/>
    <col min="11" max="11" width="9.81640625" bestFit="1" customWidth="1"/>
    <col min="12" max="12" width="20.7265625" bestFit="1" customWidth="1"/>
    <col min="13" max="13" width="11.81640625" bestFit="1" customWidth="1"/>
    <col min="15" max="15" width="8.1796875" bestFit="1" customWidth="1"/>
    <col min="16" max="16" width="11.1796875" bestFit="1" customWidth="1"/>
    <col min="17" max="17" width="9.453125" bestFit="1" customWidth="1"/>
    <col min="18" max="18" width="12.36328125" bestFit="1" customWidth="1"/>
    <col min="19" max="19" width="15.6328125" bestFit="1" customWidth="1"/>
    <col min="20" max="20" width="9.81640625" bestFit="1" customWidth="1"/>
  </cols>
  <sheetData>
    <row r="1" spans="2:20" ht="20" thickBot="1" x14ac:dyDescent="0.5">
      <c r="B1" s="27" t="s">
        <v>773</v>
      </c>
      <c r="C1" s="27" t="s">
        <v>772</v>
      </c>
      <c r="H1" s="47" t="s">
        <v>777</v>
      </c>
      <c r="O1" s="47" t="s">
        <v>822</v>
      </c>
    </row>
    <row r="2" spans="2:20" ht="20.5" thickTop="1" thickBot="1" x14ac:dyDescent="0.5">
      <c r="B2" s="27" t="s">
        <v>774</v>
      </c>
      <c r="C2" s="27"/>
      <c r="D2">
        <v>100000</v>
      </c>
      <c r="H2" s="29" t="str" cm="1">
        <f t="array" ref="H2:M2">_xlfn.CHOOSECOLS(staff[#Headers],1,2,3,4,5,6)</f>
        <v>Emp ID</v>
      </c>
      <c r="I2" s="29" t="str">
        <v>First Name</v>
      </c>
      <c r="J2" s="29" t="str">
        <v>Last Name</v>
      </c>
      <c r="K2" s="29" t="str">
        <v>Gender</v>
      </c>
      <c r="L2" t="str">
        <v>Department</v>
      </c>
      <c r="M2" t="str">
        <v>Salary</v>
      </c>
      <c r="O2" t="str" cm="1">
        <f t="array" ref="O2:T2">_xlfn.CHOOSECOLS(staff[#Headers],1,2,3,4,5,6)</f>
        <v>Emp ID</v>
      </c>
      <c r="P2" t="str">
        <v>First Name</v>
      </c>
      <c r="Q2" t="str">
        <v>Last Name</v>
      </c>
      <c r="R2" t="str">
        <v>Gender</v>
      </c>
      <c r="S2" t="str">
        <v>Department</v>
      </c>
      <c r="T2" t="str">
        <v>Salary</v>
      </c>
    </row>
    <row r="3" spans="2:20" ht="15.5" thickTop="1" thickBot="1" x14ac:dyDescent="0.4">
      <c r="B3" s="46" t="str" cm="1">
        <f t="array" ref="B3:E3">_xlfn.CHOOSECOLS(staff[#Headers],1,2,3,6)</f>
        <v>Emp ID</v>
      </c>
      <c r="C3" s="46" t="str">
        <v>First Name</v>
      </c>
      <c r="D3" s="29" t="str">
        <v>Last Name</v>
      </c>
      <c r="E3" s="29" t="str">
        <v>Salary</v>
      </c>
      <c r="H3" t="str" cm="1">
        <f t="array" ref="H3:M118">_xlfn.UNIQUE(_xlfn.CHOOSECOLS(_xlfn._xlws.FILTER(staff[],staff[Gender]="Female"),1,2,3,4,5,6))</f>
        <v>PR00007</v>
      </c>
      <c r="I3" t="str">
        <v>Torrance</v>
      </c>
      <c r="J3" t="str">
        <v>Collier</v>
      </c>
      <c r="K3" t="str">
        <v>Female</v>
      </c>
      <c r="L3" t="str">
        <v>Training</v>
      </c>
      <c r="M3">
        <v>96135.75</v>
      </c>
      <c r="O3" t="str" cm="1">
        <f t="array" ref="O3:T9">_xlfn.UNIQUE(_xlfn.CHOOSECOLS(_xlfn._xlws.FILTER(staff[],staff[Gender]="Need to check"),1,2,3,4,5,6))</f>
        <v>PR04601</v>
      </c>
      <c r="P3" t="str">
        <v>Yedukondalu</v>
      </c>
      <c r="Q3" t="str">
        <v>Panditula</v>
      </c>
      <c r="R3" t="str">
        <v>Need to check</v>
      </c>
      <c r="S3" t="str">
        <v>Support</v>
      </c>
      <c r="T3">
        <v>104802.63</v>
      </c>
    </row>
    <row r="4" spans="2:20" ht="15" thickTop="1" x14ac:dyDescent="0.35">
      <c r="B4" t="str" cm="1">
        <f t="array" ref="B4:E50">_xlfn.CHOOSECOLS(_xlfn._xlws.FILTER(staff[],staff[Salary]&gt;=D2),1,2,3,6)</f>
        <v>PR00147</v>
      </c>
      <c r="C4" t="str">
        <v>Minerva</v>
      </c>
      <c r="D4" t="str">
        <v>Ricardot</v>
      </c>
      <c r="E4">
        <v>120000</v>
      </c>
      <c r="H4" t="str">
        <v>PR00095</v>
      </c>
      <c r="I4" t="str">
        <v>Devrat</v>
      </c>
      <c r="J4" t="str">
        <v>Damarsingh</v>
      </c>
      <c r="K4" t="str">
        <v>Female</v>
      </c>
      <c r="L4" t="str">
        <v>Business Development</v>
      </c>
      <c r="M4">
        <v>70649.460000000006</v>
      </c>
      <c r="O4" t="str">
        <v>SQ03476</v>
      </c>
      <c r="P4" t="str">
        <v>Ramalingam</v>
      </c>
      <c r="Q4" t="str">
        <v>Kothapeta</v>
      </c>
      <c r="R4" t="str">
        <v>Need to check</v>
      </c>
      <c r="S4" t="str">
        <v>Accounting</v>
      </c>
      <c r="T4">
        <v>107107.6</v>
      </c>
    </row>
    <row r="5" spans="2:20" x14ac:dyDescent="0.35">
      <c r="B5" t="str">
        <v>PR00746</v>
      </c>
      <c r="C5" t="str">
        <v>Hogan</v>
      </c>
      <c r="D5" t="str">
        <v>Iles</v>
      </c>
      <c r="E5">
        <v>114177.23</v>
      </c>
      <c r="H5" t="str">
        <v>PR00113</v>
      </c>
      <c r="I5" t="str">
        <v>Van</v>
      </c>
      <c r="J5" t="str">
        <v>Tuxwell</v>
      </c>
      <c r="K5" t="str">
        <v>Female</v>
      </c>
      <c r="L5" t="str">
        <v>Business Development</v>
      </c>
      <c r="M5">
        <v>80695.740000000005</v>
      </c>
      <c r="O5" t="str">
        <v>TN02377</v>
      </c>
      <c r="P5" t="str">
        <v>Anjela</v>
      </c>
      <c r="Q5" t="str">
        <v>Spancock</v>
      </c>
      <c r="R5" t="str">
        <v>Need to check</v>
      </c>
      <c r="S5" t="str">
        <v>Accounting</v>
      </c>
      <c r="T5">
        <v>98012.63</v>
      </c>
    </row>
    <row r="6" spans="2:20" x14ac:dyDescent="0.35">
      <c r="B6" t="str">
        <v>PR01159</v>
      </c>
      <c r="C6" t="str">
        <v>Mollie</v>
      </c>
      <c r="D6" t="str">
        <v>Hanway</v>
      </c>
      <c r="E6">
        <v>112645.99</v>
      </c>
      <c r="H6" t="str">
        <v>PR00246</v>
      </c>
      <c r="I6" t="str">
        <v>Husein</v>
      </c>
      <c r="J6" t="str">
        <v>Augar</v>
      </c>
      <c r="K6" t="str">
        <v>Female</v>
      </c>
      <c r="L6" t="str">
        <v>Marketing</v>
      </c>
      <c r="M6">
        <v>67905.8</v>
      </c>
      <c r="O6" t="str">
        <v>TN02496</v>
      </c>
      <c r="P6" t="str">
        <v>Ponnan</v>
      </c>
      <c r="Q6" t="str">
        <v>Delhi</v>
      </c>
      <c r="R6" t="str">
        <v>Need to check</v>
      </c>
      <c r="S6" t="str">
        <v>Human Resources</v>
      </c>
      <c r="T6">
        <v>67957.899999999994</v>
      </c>
    </row>
    <row r="7" spans="2:20" x14ac:dyDescent="0.35">
      <c r="B7" t="str">
        <v>PR02010</v>
      </c>
      <c r="C7" t="str">
        <v>Prerana</v>
      </c>
      <c r="D7" t="str">
        <v>Nishita</v>
      </c>
      <c r="E7">
        <v>115191.38</v>
      </c>
      <c r="H7" t="str">
        <v>PR00419</v>
      </c>
      <c r="I7" t="str">
        <v>Billi</v>
      </c>
      <c r="J7" t="str">
        <v>Fellgate</v>
      </c>
      <c r="K7" t="str">
        <v>Female</v>
      </c>
      <c r="L7" t="str">
        <v>Business Development</v>
      </c>
      <c r="M7">
        <v>68980.52</v>
      </c>
      <c r="O7" t="str">
        <v>TN04428</v>
      </c>
      <c r="P7" t="str">
        <v>Tadio</v>
      </c>
      <c r="Q7" t="str">
        <v>Audritt</v>
      </c>
      <c r="R7" t="str">
        <v>Need to check</v>
      </c>
      <c r="S7" t="str">
        <v>Human Resources</v>
      </c>
      <c r="T7">
        <v>99448.78</v>
      </c>
    </row>
    <row r="8" spans="2:20" x14ac:dyDescent="0.35">
      <c r="B8" t="str">
        <v>PR02208</v>
      </c>
      <c r="C8" t="str">
        <v>Gowri</v>
      </c>
      <c r="D8" t="str">
        <v>Sankar</v>
      </c>
      <c r="E8">
        <v>102934.09</v>
      </c>
      <c r="H8" t="str">
        <v>PR00576</v>
      </c>
      <c r="I8" t="str">
        <v>Lalitchandra</v>
      </c>
      <c r="J8" t="str">
        <v>Vadali</v>
      </c>
      <c r="K8" t="str">
        <v>Female</v>
      </c>
      <c r="L8" t="str">
        <v>Legal</v>
      </c>
      <c r="M8">
        <v>63705.4</v>
      </c>
      <c r="O8" t="str">
        <v>VT03704</v>
      </c>
      <c r="P8" t="str">
        <v>Egor</v>
      </c>
      <c r="Q8" t="str">
        <v>Minto</v>
      </c>
      <c r="R8" t="str">
        <v>Need to check</v>
      </c>
      <c r="S8" t="str">
        <v>Legal</v>
      </c>
      <c r="T8">
        <v>63447.07</v>
      </c>
    </row>
    <row r="9" spans="2:20" x14ac:dyDescent="0.35">
      <c r="B9" t="str">
        <v>PR02288</v>
      </c>
      <c r="C9" t="str">
        <v>Althea</v>
      </c>
      <c r="D9" t="str">
        <v>Bronger</v>
      </c>
      <c r="E9">
        <v>104335.03999999999</v>
      </c>
      <c r="H9" t="str">
        <v>PR00746</v>
      </c>
      <c r="I9" t="str">
        <v>Hogan</v>
      </c>
      <c r="J9" t="str">
        <v>Iles</v>
      </c>
      <c r="K9" t="str">
        <v>Female</v>
      </c>
      <c r="L9" t="str">
        <v>Accounting</v>
      </c>
      <c r="M9">
        <v>114177.23</v>
      </c>
      <c r="O9" t="str">
        <v>VT04137</v>
      </c>
      <c r="P9" t="str">
        <v>Marissa</v>
      </c>
      <c r="Q9" t="str">
        <v>Infante</v>
      </c>
      <c r="R9" t="str">
        <v>Need to check</v>
      </c>
      <c r="S9" t="str">
        <v>Training</v>
      </c>
      <c r="T9">
        <v>78840.23</v>
      </c>
    </row>
    <row r="10" spans="2:20" x14ac:dyDescent="0.35">
      <c r="B10" t="str">
        <v>PR03886</v>
      </c>
      <c r="C10" t="str">
        <v>Edd</v>
      </c>
      <c r="D10" t="str">
        <v>MacKnockiter</v>
      </c>
      <c r="E10">
        <v>119022.49</v>
      </c>
      <c r="H10" t="str">
        <v>PR00916</v>
      </c>
      <c r="I10" t="str">
        <v>Inger</v>
      </c>
      <c r="J10" t="str">
        <v>Chapelhow</v>
      </c>
      <c r="K10" t="str">
        <v>Female</v>
      </c>
      <c r="L10" t="str">
        <v>Research and Development</v>
      </c>
      <c r="M10">
        <v>84309.95</v>
      </c>
    </row>
    <row r="11" spans="2:20" x14ac:dyDescent="0.35">
      <c r="B11" t="str">
        <v>PR04601</v>
      </c>
      <c r="C11" t="str">
        <v>Yedukondalu</v>
      </c>
      <c r="D11" t="str">
        <v>Panditula</v>
      </c>
      <c r="E11">
        <v>104802.63</v>
      </c>
      <c r="H11" t="str">
        <v>PR01269</v>
      </c>
      <c r="I11" t="str">
        <v>Eleonore</v>
      </c>
      <c r="J11" t="str">
        <v>Airdrie</v>
      </c>
      <c r="K11" t="str">
        <v>Female</v>
      </c>
      <c r="L11" t="str">
        <v>Engineering</v>
      </c>
      <c r="M11">
        <v>97105.19</v>
      </c>
    </row>
    <row r="12" spans="2:20" x14ac:dyDescent="0.35">
      <c r="B12" t="str">
        <v>SQ00022</v>
      </c>
      <c r="C12" t="str">
        <v>Carlin</v>
      </c>
      <c r="D12" t="str">
        <v>Demke</v>
      </c>
      <c r="E12">
        <v>110042.37</v>
      </c>
      <c r="H12" t="str">
        <v>PR01383</v>
      </c>
      <c r="I12" t="str">
        <v>Addi</v>
      </c>
      <c r="J12" t="str">
        <v>Studdeard</v>
      </c>
      <c r="K12" t="str">
        <v>Female</v>
      </c>
      <c r="L12" t="str">
        <v>Product Management</v>
      </c>
      <c r="M12">
        <v>72502.61</v>
      </c>
    </row>
    <row r="13" spans="2:20" x14ac:dyDescent="0.35">
      <c r="B13" t="str">
        <v>SQ00144</v>
      </c>
      <c r="C13" t="str">
        <v>Collen</v>
      </c>
      <c r="D13" t="str">
        <v>Dunbleton</v>
      </c>
      <c r="E13">
        <v>118976.16</v>
      </c>
      <c r="H13" t="str">
        <v>PR01662</v>
      </c>
      <c r="I13" t="str">
        <v>Genevra</v>
      </c>
      <c r="J13" t="str">
        <v>Friday</v>
      </c>
      <c r="K13" t="str">
        <v>Female</v>
      </c>
      <c r="L13" t="str">
        <v>Research and Development</v>
      </c>
      <c r="M13">
        <v>50449.46</v>
      </c>
    </row>
    <row r="14" spans="2:20" x14ac:dyDescent="0.35">
      <c r="B14" t="str">
        <v>SQ00498</v>
      </c>
      <c r="C14" t="str">
        <v>Amery</v>
      </c>
      <c r="D14" t="str">
        <v>Ofer</v>
      </c>
      <c r="E14">
        <v>111049.84</v>
      </c>
      <c r="H14" t="str">
        <v>PR02016</v>
      </c>
      <c r="I14" t="str">
        <v>Iris</v>
      </c>
      <c r="J14" t="str">
        <v>Wagg</v>
      </c>
      <c r="K14" t="str">
        <v>Female</v>
      </c>
      <c r="L14" t="str">
        <v>Engineering</v>
      </c>
      <c r="M14">
        <v>58861.19</v>
      </c>
    </row>
    <row r="15" spans="2:20" x14ac:dyDescent="0.35">
      <c r="B15" t="str">
        <v>SQ01620</v>
      </c>
      <c r="C15" t="str">
        <v>Westbrook</v>
      </c>
      <c r="D15" t="str">
        <v>Brandino</v>
      </c>
      <c r="E15">
        <v>113616.23</v>
      </c>
      <c r="H15" t="str">
        <v>PR02113</v>
      </c>
      <c r="I15" t="str">
        <v>Beverie</v>
      </c>
      <c r="J15" t="str">
        <v>Moffet</v>
      </c>
      <c r="K15" t="str">
        <v>Female</v>
      </c>
      <c r="L15" t="str">
        <v>Support</v>
      </c>
      <c r="M15">
        <v>75974.990000000005</v>
      </c>
    </row>
    <row r="16" spans="2:20" x14ac:dyDescent="0.35">
      <c r="B16" t="str">
        <v>SQ02035</v>
      </c>
      <c r="C16" t="str">
        <v>Anni</v>
      </c>
      <c r="D16" t="str">
        <v>Izzard</v>
      </c>
      <c r="E16">
        <v>103494.94</v>
      </c>
      <c r="H16" t="str">
        <v>PR02208</v>
      </c>
      <c r="I16" t="str">
        <v>Gowri</v>
      </c>
      <c r="J16" t="str">
        <v>Sankar</v>
      </c>
      <c r="K16" t="str">
        <v>Female</v>
      </c>
      <c r="L16" t="str">
        <v>Training</v>
      </c>
      <c r="M16">
        <v>102934.09</v>
      </c>
    </row>
    <row r="17" spans="2:13" x14ac:dyDescent="0.35">
      <c r="B17" t="str">
        <v>SQ02035</v>
      </c>
      <c r="C17" t="str">
        <v>Anni</v>
      </c>
      <c r="D17" t="str">
        <v>Izzard</v>
      </c>
      <c r="E17">
        <v>103494.94</v>
      </c>
      <c r="H17" t="str">
        <v>PR02275</v>
      </c>
      <c r="I17" t="str">
        <v>Louise</v>
      </c>
      <c r="J17" t="str">
        <v>Lamming</v>
      </c>
      <c r="K17" t="str">
        <v>Female</v>
      </c>
      <c r="L17" t="str">
        <v>Sales</v>
      </c>
      <c r="M17">
        <v>41934.71</v>
      </c>
    </row>
    <row r="18" spans="2:13" x14ac:dyDescent="0.35">
      <c r="B18" t="str">
        <v>SQ02174</v>
      </c>
      <c r="C18" t="str">
        <v>Sidoney</v>
      </c>
      <c r="D18" t="str">
        <v>Yitzhok</v>
      </c>
      <c r="E18">
        <v>118442.54</v>
      </c>
      <c r="H18" t="str">
        <v>PR02321</v>
      </c>
      <c r="I18" t="str">
        <v>Evanne</v>
      </c>
      <c r="J18" t="str">
        <v>Sheryn</v>
      </c>
      <c r="K18" t="str">
        <v>Female</v>
      </c>
      <c r="L18" t="str">
        <v>Services</v>
      </c>
      <c r="M18">
        <v>81897.789999999994</v>
      </c>
    </row>
    <row r="19" spans="2:13" x14ac:dyDescent="0.35">
      <c r="B19" t="str">
        <v>SQ02624</v>
      </c>
      <c r="C19" t="str">
        <v>Gwenneth</v>
      </c>
      <c r="D19" t="str">
        <v>Fealey</v>
      </c>
      <c r="E19">
        <v>114772.32</v>
      </c>
      <c r="H19" t="str">
        <v>PR02436</v>
      </c>
      <c r="I19" t="str">
        <v>Marmaduke</v>
      </c>
      <c r="J19" t="str">
        <v>Worssam</v>
      </c>
      <c r="K19" t="str">
        <v>Female</v>
      </c>
      <c r="L19" t="str">
        <v>Engineering</v>
      </c>
      <c r="M19">
        <v>78378.2</v>
      </c>
    </row>
    <row r="20" spans="2:13" x14ac:dyDescent="0.35">
      <c r="B20" t="str">
        <v>SQ02703</v>
      </c>
      <c r="C20" t="str">
        <v>Deepit</v>
      </c>
      <c r="D20" t="str">
        <v>Ranjana</v>
      </c>
      <c r="E20">
        <v>104903.79</v>
      </c>
      <c r="H20" t="str">
        <v>PR02603</v>
      </c>
      <c r="I20" t="str">
        <v>Dinanath</v>
      </c>
      <c r="J20" t="str">
        <v>Simhambhatla</v>
      </c>
      <c r="K20" t="str">
        <v>Female</v>
      </c>
      <c r="L20" t="str">
        <v>Human Resources</v>
      </c>
      <c r="M20">
        <v>61994.76</v>
      </c>
    </row>
    <row r="21" spans="2:13" x14ac:dyDescent="0.35">
      <c r="B21" t="str">
        <v>SQ03116</v>
      </c>
      <c r="C21" t="str">
        <v>Syd</v>
      </c>
      <c r="D21" t="str">
        <v>Fearn</v>
      </c>
      <c r="E21">
        <v>108872.77</v>
      </c>
      <c r="H21" t="str">
        <v>PR02957</v>
      </c>
      <c r="I21" t="str">
        <v>Vaughn</v>
      </c>
      <c r="J21" t="str">
        <v>Carvill</v>
      </c>
      <c r="K21" t="str">
        <v>Female</v>
      </c>
      <c r="L21" t="str">
        <v>Training</v>
      </c>
      <c r="M21">
        <v>84745.93</v>
      </c>
    </row>
    <row r="22" spans="2:13" x14ac:dyDescent="0.35">
      <c r="B22" t="str">
        <v>SQ03387</v>
      </c>
      <c r="C22" t="str">
        <v>Robinia</v>
      </c>
      <c r="D22" t="str">
        <v>Scholling</v>
      </c>
      <c r="E22">
        <v>100731.95</v>
      </c>
      <c r="H22" t="str">
        <v>PR03158</v>
      </c>
      <c r="I22" t="str">
        <v>Danica</v>
      </c>
      <c r="J22" t="str">
        <v>Nayshe</v>
      </c>
      <c r="K22" t="str">
        <v>Female</v>
      </c>
      <c r="L22" t="str">
        <v>Services</v>
      </c>
      <c r="M22">
        <v>89690.38</v>
      </c>
    </row>
    <row r="23" spans="2:13" x14ac:dyDescent="0.35">
      <c r="B23" t="str">
        <v>SQ03476</v>
      </c>
      <c r="C23" t="str">
        <v>Ramalingam</v>
      </c>
      <c r="D23" t="str">
        <v>Kothapeta</v>
      </c>
      <c r="E23">
        <v>107107.6</v>
      </c>
      <c r="H23" t="str">
        <v>PR03271</v>
      </c>
      <c r="I23" t="str">
        <v>Stan</v>
      </c>
      <c r="J23" t="str">
        <v>Tolliday</v>
      </c>
      <c r="K23" t="str">
        <v>Female</v>
      </c>
      <c r="L23" t="str">
        <v>Sales</v>
      </c>
      <c r="M23">
        <v>39535.49</v>
      </c>
    </row>
    <row r="24" spans="2:13" x14ac:dyDescent="0.35">
      <c r="B24" t="str">
        <v>SQ03491</v>
      </c>
      <c r="C24" t="str">
        <v>Freda</v>
      </c>
      <c r="D24" t="str">
        <v>Legan</v>
      </c>
      <c r="E24">
        <v>102129.37</v>
      </c>
      <c r="H24" t="str">
        <v>PR03844</v>
      </c>
      <c r="I24" t="str">
        <v>Brose</v>
      </c>
      <c r="J24" t="str">
        <v>MacCorkell</v>
      </c>
      <c r="K24" t="str">
        <v>Female</v>
      </c>
      <c r="L24" t="str">
        <v>Human Resources</v>
      </c>
      <c r="M24">
        <v>35943.620000000003</v>
      </c>
    </row>
    <row r="25" spans="2:13" x14ac:dyDescent="0.35">
      <c r="B25" t="str">
        <v>SQ03733</v>
      </c>
      <c r="C25" t="str">
        <v>Revkah</v>
      </c>
      <c r="D25" t="str">
        <v>Antonacci</v>
      </c>
      <c r="E25">
        <v>109143.17</v>
      </c>
      <c r="H25" t="str">
        <v>PR04366</v>
      </c>
      <c r="I25" t="str">
        <v>Carry</v>
      </c>
      <c r="J25" t="str">
        <v>Loblie</v>
      </c>
      <c r="K25" t="str">
        <v>Female</v>
      </c>
      <c r="L25" t="str">
        <v>Sales</v>
      </c>
      <c r="M25">
        <v>47551.89</v>
      </c>
    </row>
    <row r="26" spans="2:13" x14ac:dyDescent="0.35">
      <c r="B26" t="str">
        <v>SQ04603</v>
      </c>
      <c r="C26" t="str">
        <v>Natalee</v>
      </c>
      <c r="D26" t="str">
        <v>Craiker</v>
      </c>
      <c r="E26">
        <v>111229.47</v>
      </c>
      <c r="H26" t="str">
        <v>PR04380</v>
      </c>
      <c r="I26" t="str">
        <v>Van</v>
      </c>
      <c r="J26" t="str">
        <v>Tuxwell</v>
      </c>
      <c r="K26" t="str">
        <v>Female</v>
      </c>
      <c r="L26" t="str">
        <v>Business Development</v>
      </c>
      <c r="M26">
        <v>80695.740000000005</v>
      </c>
    </row>
    <row r="27" spans="2:13" x14ac:dyDescent="0.35">
      <c r="B27" t="str">
        <v>SQ04612</v>
      </c>
      <c r="C27" t="str">
        <v>Mick</v>
      </c>
      <c r="D27" t="str">
        <v>Spraberry</v>
      </c>
      <c r="E27">
        <v>120000</v>
      </c>
      <c r="H27" t="str">
        <v>PR04446</v>
      </c>
      <c r="I27" t="str">
        <v>Sameer</v>
      </c>
      <c r="J27" t="str">
        <v>Shashank</v>
      </c>
      <c r="K27" t="str">
        <v>Female</v>
      </c>
      <c r="L27" t="str">
        <v>Research and Development</v>
      </c>
      <c r="M27">
        <v>92336.08</v>
      </c>
    </row>
    <row r="28" spans="2:13" x14ac:dyDescent="0.35">
      <c r="B28" t="str">
        <v>SQ04665</v>
      </c>
      <c r="C28" t="str">
        <v>Collin</v>
      </c>
      <c r="D28" t="str">
        <v>Jagson</v>
      </c>
      <c r="E28">
        <v>100424.23</v>
      </c>
      <c r="H28" t="str">
        <v>PR04473</v>
      </c>
      <c r="I28" t="str">
        <v>Wyn</v>
      </c>
      <c r="J28" t="str">
        <v>Treadger</v>
      </c>
      <c r="K28" t="str">
        <v>Female</v>
      </c>
      <c r="L28" t="str">
        <v>Business Development</v>
      </c>
      <c r="M28">
        <v>69192.850000000006</v>
      </c>
    </row>
    <row r="29" spans="2:13" x14ac:dyDescent="0.35">
      <c r="B29" t="str">
        <v>TN00579</v>
      </c>
      <c r="C29" t="str">
        <v>Rafaelita</v>
      </c>
      <c r="D29" t="str">
        <v>Blaksland</v>
      </c>
      <c r="E29">
        <v>109163.39</v>
      </c>
      <c r="H29" t="str">
        <v>PR04686</v>
      </c>
      <c r="I29" t="str">
        <v>Oona</v>
      </c>
      <c r="J29" t="str">
        <v>Donan</v>
      </c>
      <c r="K29" t="str">
        <v>Female</v>
      </c>
      <c r="L29" t="str">
        <v>Business Development</v>
      </c>
      <c r="M29">
        <v>98000</v>
      </c>
    </row>
    <row r="30" spans="2:13" x14ac:dyDescent="0.35">
      <c r="B30" t="str">
        <v>TN01281</v>
      </c>
      <c r="C30" t="str">
        <v>Cletus</v>
      </c>
      <c r="D30" t="str">
        <v>McGarahan</v>
      </c>
      <c r="E30">
        <v>114425.19</v>
      </c>
      <c r="H30" t="str">
        <v>PR04851</v>
      </c>
      <c r="I30" t="str">
        <v>Rodina</v>
      </c>
      <c r="J30" t="str">
        <v>Drinan</v>
      </c>
      <c r="K30" t="str">
        <v>Female</v>
      </c>
      <c r="L30" t="str">
        <v>Sales</v>
      </c>
      <c r="M30">
        <v>77045.440000000002</v>
      </c>
    </row>
    <row r="31" spans="2:13" x14ac:dyDescent="0.35">
      <c r="B31" t="str">
        <v>TN04058</v>
      </c>
      <c r="C31" t="str">
        <v>Subbarao</v>
      </c>
      <c r="D31" t="str">
        <v>Malladi</v>
      </c>
      <c r="E31">
        <v>106775.14</v>
      </c>
      <c r="H31" t="str">
        <v>SQ00105</v>
      </c>
      <c r="I31" t="str">
        <v>Sarayu</v>
      </c>
      <c r="J31" t="str">
        <v>Ragunathan</v>
      </c>
      <c r="K31" t="str">
        <v>Female</v>
      </c>
      <c r="L31" t="str">
        <v>Training</v>
      </c>
      <c r="M31">
        <v>86010.54</v>
      </c>
    </row>
    <row r="32" spans="2:13" x14ac:dyDescent="0.35">
      <c r="B32" t="str">
        <v>TN04058</v>
      </c>
      <c r="C32" t="str">
        <v>Vasu</v>
      </c>
      <c r="D32" t="str">
        <v>Nandin</v>
      </c>
      <c r="E32">
        <v>106775.14</v>
      </c>
      <c r="H32" t="str">
        <v>SQ00187</v>
      </c>
      <c r="I32" t="str">
        <v>Rupak</v>
      </c>
      <c r="J32" t="str">
        <v>Mehra</v>
      </c>
      <c r="K32" t="str">
        <v>Female</v>
      </c>
      <c r="L32" t="str">
        <v>Services</v>
      </c>
      <c r="M32">
        <v>71229.42</v>
      </c>
    </row>
    <row r="33" spans="2:13" x14ac:dyDescent="0.35">
      <c r="B33" t="str">
        <v>TN04246</v>
      </c>
      <c r="C33" t="str">
        <v>Shaylyn</v>
      </c>
      <c r="D33" t="str">
        <v>Ransbury</v>
      </c>
      <c r="E33">
        <v>100371.31</v>
      </c>
      <c r="H33" t="str">
        <v>SQ00286</v>
      </c>
      <c r="I33" t="str">
        <v>Ilesh</v>
      </c>
      <c r="J33" t="str">
        <v>Dasgupta</v>
      </c>
      <c r="K33" t="str">
        <v>Female</v>
      </c>
      <c r="L33" t="str">
        <v>Legal</v>
      </c>
      <c r="M33">
        <v>61213.01</v>
      </c>
    </row>
    <row r="34" spans="2:13" x14ac:dyDescent="0.35">
      <c r="B34" t="str">
        <v>TN04740</v>
      </c>
      <c r="C34" t="str">
        <v>Tristam</v>
      </c>
      <c r="D34" t="str">
        <v>Cuming</v>
      </c>
      <c r="E34">
        <v>104038.9</v>
      </c>
      <c r="H34" t="str">
        <v>SQ00450</v>
      </c>
      <c r="I34" t="str">
        <v>Louise</v>
      </c>
      <c r="J34" t="str">
        <v>Lamming</v>
      </c>
      <c r="K34" t="str">
        <v>Female</v>
      </c>
      <c r="L34" t="str">
        <v>Sales</v>
      </c>
      <c r="M34">
        <v>41934.71</v>
      </c>
    </row>
    <row r="35" spans="2:13" x14ac:dyDescent="0.35">
      <c r="B35" t="str">
        <v>VT01684</v>
      </c>
      <c r="C35" t="str">
        <v>Audry</v>
      </c>
      <c r="D35" t="str">
        <v>Yu</v>
      </c>
      <c r="E35">
        <v>101187.36</v>
      </c>
      <c r="H35" t="str">
        <v>SQ00498</v>
      </c>
      <c r="I35" t="str">
        <v>Amery</v>
      </c>
      <c r="J35" t="str">
        <v>Ofer</v>
      </c>
      <c r="K35" t="str">
        <v>Female</v>
      </c>
      <c r="L35" t="str">
        <v>Legal</v>
      </c>
      <c r="M35">
        <v>111049.84</v>
      </c>
    </row>
    <row r="36" spans="2:13" x14ac:dyDescent="0.35">
      <c r="B36" t="str">
        <v>VT01762</v>
      </c>
      <c r="C36" t="str">
        <v>Geena</v>
      </c>
      <c r="D36" t="str">
        <v>Raghavanpillai</v>
      </c>
      <c r="E36">
        <v>102515.81</v>
      </c>
      <c r="H36" t="str">
        <v>SQ00841</v>
      </c>
      <c r="I36" t="str">
        <v>Bhuvan</v>
      </c>
      <c r="J36" t="str">
        <v>Pals</v>
      </c>
      <c r="K36" t="str">
        <v>Female</v>
      </c>
      <c r="L36" t="str">
        <v>Services</v>
      </c>
      <c r="M36">
        <v>89690.38</v>
      </c>
    </row>
    <row r="37" spans="2:13" x14ac:dyDescent="0.35">
      <c r="B37" t="str">
        <v>VT01893</v>
      </c>
      <c r="C37" t="str">
        <v>Lindy</v>
      </c>
      <c r="D37" t="str">
        <v>Guillet</v>
      </c>
      <c r="E37">
        <v>112778.28</v>
      </c>
      <c r="H37" t="str">
        <v>SQ00914</v>
      </c>
      <c r="I37" t="str">
        <v>Duran</v>
      </c>
      <c r="J37" t="str">
        <v>Appala</v>
      </c>
      <c r="K37" t="str">
        <v>Female</v>
      </c>
      <c r="L37" t="str">
        <v>Product Management</v>
      </c>
      <c r="M37">
        <v>38438.239999999998</v>
      </c>
    </row>
    <row r="38" spans="2:13" x14ac:dyDescent="0.35">
      <c r="B38" t="str">
        <v>VT01893</v>
      </c>
      <c r="C38" t="str">
        <v>Lindy</v>
      </c>
      <c r="D38" t="str">
        <v>Guillet</v>
      </c>
      <c r="E38">
        <v>112778.28</v>
      </c>
      <c r="H38" t="str">
        <v>SQ00914</v>
      </c>
      <c r="I38" t="str">
        <v>Karuna</v>
      </c>
      <c r="J38" t="str">
        <v>Pashupathy</v>
      </c>
      <c r="K38" t="str">
        <v>Female</v>
      </c>
      <c r="L38" t="str">
        <v>Product Management</v>
      </c>
      <c r="M38">
        <v>38438.239999999998</v>
      </c>
    </row>
    <row r="39" spans="2:13" x14ac:dyDescent="0.35">
      <c r="B39" t="str">
        <v>VT02491</v>
      </c>
      <c r="C39" t="str">
        <v>Alexis</v>
      </c>
      <c r="D39" t="str">
        <v>Gotfrey</v>
      </c>
      <c r="E39">
        <v>114465.93</v>
      </c>
      <c r="H39" t="str">
        <v>SQ00960</v>
      </c>
      <c r="I39" t="str">
        <v>Calvin</v>
      </c>
      <c r="J39" t="str">
        <v>O'Carroll</v>
      </c>
      <c r="K39" t="str">
        <v>Female</v>
      </c>
      <c r="L39" t="str">
        <v>Research and Development</v>
      </c>
      <c r="M39">
        <v>44447.26</v>
      </c>
    </row>
    <row r="40" spans="2:13" x14ac:dyDescent="0.35">
      <c r="B40" t="str">
        <v>VT02801</v>
      </c>
      <c r="C40" t="str">
        <v>Shellysheldon</v>
      </c>
      <c r="D40" t="str">
        <v>Mahady</v>
      </c>
      <c r="E40">
        <v>114691.03</v>
      </c>
      <c r="H40" t="str">
        <v>SQ01283</v>
      </c>
      <c r="I40" t="str">
        <v>Barr</v>
      </c>
      <c r="J40" t="str">
        <v>Faughny</v>
      </c>
      <c r="K40" t="str">
        <v>Female</v>
      </c>
      <c r="L40" t="str">
        <v>Marketing</v>
      </c>
      <c r="M40">
        <v>68008.55</v>
      </c>
    </row>
    <row r="41" spans="2:13" x14ac:dyDescent="0.35">
      <c r="B41" t="str">
        <v>VT03421</v>
      </c>
      <c r="C41" t="str">
        <v>Alic</v>
      </c>
      <c r="D41" t="str">
        <v>Bagg</v>
      </c>
      <c r="E41">
        <v>113747.56</v>
      </c>
      <c r="H41" t="str">
        <v>SQ01402</v>
      </c>
      <c r="I41" t="str">
        <v>Sahaj</v>
      </c>
      <c r="J41" t="str">
        <v>Jonnalagadda</v>
      </c>
      <c r="K41" t="str">
        <v>Female</v>
      </c>
      <c r="L41" t="str">
        <v>Engineering</v>
      </c>
      <c r="M41">
        <v>44403.77</v>
      </c>
    </row>
    <row r="42" spans="2:13" x14ac:dyDescent="0.35">
      <c r="B42" t="str">
        <v>VT03421</v>
      </c>
      <c r="C42" t="str">
        <v>Alic</v>
      </c>
      <c r="D42" t="str">
        <v>Bagg</v>
      </c>
      <c r="E42">
        <v>113747.56</v>
      </c>
      <c r="H42" t="str">
        <v>SQ01730</v>
      </c>
      <c r="I42" t="str">
        <v>Austine</v>
      </c>
      <c r="J42" t="str">
        <v>Littlewood</v>
      </c>
      <c r="K42" t="str">
        <v>Female</v>
      </c>
      <c r="L42" t="str">
        <v>Services</v>
      </c>
      <c r="M42">
        <v>32269.91</v>
      </c>
    </row>
    <row r="43" spans="2:13" x14ac:dyDescent="0.35">
      <c r="B43" t="str">
        <v>VT04028</v>
      </c>
      <c r="C43" t="str">
        <v>Michale</v>
      </c>
      <c r="D43" t="str">
        <v>Rolf</v>
      </c>
      <c r="E43">
        <v>111815.49</v>
      </c>
      <c r="H43" t="str">
        <v>SQ01854</v>
      </c>
      <c r="I43" t="str">
        <v>Jessica</v>
      </c>
      <c r="J43" t="str">
        <v>Callcott</v>
      </c>
      <c r="K43" t="str">
        <v>Female</v>
      </c>
      <c r="L43" t="str">
        <v>Marketing</v>
      </c>
      <c r="M43">
        <v>66017.179999999993</v>
      </c>
    </row>
    <row r="44" spans="2:13" x14ac:dyDescent="0.35">
      <c r="B44" t="str">
        <v>VT04028</v>
      </c>
      <c r="C44" t="str">
        <v>Michale</v>
      </c>
      <c r="D44" t="str">
        <v>Rolf</v>
      </c>
      <c r="E44">
        <v>111815.49</v>
      </c>
      <c r="H44" t="str">
        <v>SQ02174</v>
      </c>
      <c r="I44" t="str">
        <v>Sidoney</v>
      </c>
      <c r="J44" t="str">
        <v>Yitzhok</v>
      </c>
      <c r="K44" t="str">
        <v>Female</v>
      </c>
      <c r="L44" t="str">
        <v>Engineering</v>
      </c>
      <c r="M44">
        <v>118442.54</v>
      </c>
    </row>
    <row r="45" spans="2:13" x14ac:dyDescent="0.35">
      <c r="B45" t="str">
        <v>VT04093</v>
      </c>
      <c r="C45" t="str">
        <v>Prasanna</v>
      </c>
      <c r="D45" t="str">
        <v>Lakshmi</v>
      </c>
      <c r="E45">
        <v>116767.63</v>
      </c>
      <c r="H45" t="str">
        <v>SQ02223</v>
      </c>
      <c r="I45" t="str">
        <v>Pippy</v>
      </c>
      <c r="J45" t="str">
        <v>Shepperd</v>
      </c>
      <c r="K45" t="str">
        <v>Female</v>
      </c>
      <c r="L45" t="str">
        <v>Accounting</v>
      </c>
      <c r="M45">
        <v>44845.33</v>
      </c>
    </row>
    <row r="46" spans="2:13" x14ac:dyDescent="0.35">
      <c r="B46" t="str">
        <v>VT04093</v>
      </c>
      <c r="C46" t="str">
        <v>Baruna</v>
      </c>
      <c r="D46" t="str">
        <v>Ogale</v>
      </c>
      <c r="E46">
        <v>116767.63</v>
      </c>
      <c r="H46" t="str">
        <v>SQ02465</v>
      </c>
      <c r="I46" t="str">
        <v>Bernie</v>
      </c>
      <c r="J46" t="str">
        <v>Gorges</v>
      </c>
      <c r="K46" t="str">
        <v>Female</v>
      </c>
      <c r="L46" t="str">
        <v>Training</v>
      </c>
      <c r="M46">
        <v>99965.97</v>
      </c>
    </row>
    <row r="47" spans="2:13" x14ac:dyDescent="0.35">
      <c r="B47" t="str">
        <v>VT04350</v>
      </c>
      <c r="C47" t="str">
        <v>Kulbhushan</v>
      </c>
      <c r="D47" t="str">
        <v>Moorthy</v>
      </c>
      <c r="E47">
        <v>106400.02</v>
      </c>
      <c r="H47" t="str">
        <v>SQ02565</v>
      </c>
      <c r="I47" t="str">
        <v>Konstantin</v>
      </c>
      <c r="J47" t="str">
        <v>Timblett</v>
      </c>
      <c r="K47" t="str">
        <v>Female</v>
      </c>
      <c r="L47" t="str">
        <v>Training</v>
      </c>
      <c r="M47">
        <v>56253.81</v>
      </c>
    </row>
    <row r="48" spans="2:13" x14ac:dyDescent="0.35">
      <c r="B48" t="str">
        <v>VT04350</v>
      </c>
      <c r="C48" t="str">
        <v>Lalit</v>
      </c>
      <c r="D48" t="str">
        <v>Kothari</v>
      </c>
      <c r="E48">
        <v>106400.02</v>
      </c>
      <c r="H48" t="str">
        <v>SQ02582</v>
      </c>
      <c r="I48" t="str">
        <v>Kaishori</v>
      </c>
      <c r="J48" t="str">
        <v>Harathi</v>
      </c>
      <c r="K48" t="str">
        <v>Female</v>
      </c>
      <c r="L48" t="str">
        <v>Product Management</v>
      </c>
      <c r="M48">
        <v>51798.25</v>
      </c>
    </row>
    <row r="49" spans="2:13" x14ac:dyDescent="0.35">
      <c r="B49" t="str">
        <v>VT04552</v>
      </c>
      <c r="C49" t="str">
        <v>Theresita</v>
      </c>
      <c r="D49" t="str">
        <v>Chasmer</v>
      </c>
      <c r="E49">
        <v>106665.67</v>
      </c>
      <c r="H49" t="str">
        <v>SQ02624</v>
      </c>
      <c r="I49" t="str">
        <v>Gwenneth</v>
      </c>
      <c r="J49" t="str">
        <v>Fealey</v>
      </c>
      <c r="K49" t="str">
        <v>Female</v>
      </c>
      <c r="L49" t="str">
        <v>Engineering</v>
      </c>
      <c r="M49">
        <v>114772.32</v>
      </c>
    </row>
    <row r="50" spans="2:13" x14ac:dyDescent="0.35">
      <c r="B50" t="str">
        <v>VT04681</v>
      </c>
      <c r="C50" t="str">
        <v>Nickolai</v>
      </c>
      <c r="D50" t="str">
        <v>Artin</v>
      </c>
      <c r="E50">
        <v>110906.35</v>
      </c>
      <c r="H50" t="str">
        <v>SQ02643</v>
      </c>
      <c r="I50" t="str">
        <v>Indu</v>
      </c>
      <c r="J50" t="str">
        <v>Varada</v>
      </c>
      <c r="K50" t="str">
        <v>Female</v>
      </c>
      <c r="L50" t="str">
        <v>Engineering</v>
      </c>
      <c r="M50">
        <v>88425.08</v>
      </c>
    </row>
    <row r="51" spans="2:13" x14ac:dyDescent="0.35">
      <c r="H51" t="str">
        <v>SQ02703</v>
      </c>
      <c r="I51" t="str">
        <v>Deepit</v>
      </c>
      <c r="J51" t="str">
        <v>Ranjana</v>
      </c>
      <c r="K51" t="str">
        <v>Female</v>
      </c>
      <c r="L51" t="str">
        <v>Marketing</v>
      </c>
      <c r="M51">
        <v>104903.79</v>
      </c>
    </row>
    <row r="52" spans="2:13" ht="20" thickBot="1" x14ac:dyDescent="0.5">
      <c r="B52" s="27"/>
      <c r="H52" t="str">
        <v>SQ03024</v>
      </c>
      <c r="I52" t="str">
        <v>Inge</v>
      </c>
      <c r="J52" t="str">
        <v>Creer</v>
      </c>
      <c r="K52" t="str">
        <v>Female</v>
      </c>
      <c r="L52" t="str">
        <v>Services</v>
      </c>
      <c r="M52">
        <v>69057.320000000007</v>
      </c>
    </row>
    <row r="53" spans="2:13" ht="15" thickTop="1" x14ac:dyDescent="0.35">
      <c r="H53" t="str">
        <v>SQ03321</v>
      </c>
      <c r="I53" t="str">
        <v>Gradey</v>
      </c>
      <c r="J53" t="str">
        <v>Litton</v>
      </c>
      <c r="K53" t="str">
        <v>Female</v>
      </c>
      <c r="L53" t="str">
        <v>Accounting</v>
      </c>
      <c r="M53">
        <v>68887.839999999997</v>
      </c>
    </row>
    <row r="54" spans="2:13" x14ac:dyDescent="0.35">
      <c r="H54" t="str">
        <v>SQ03350</v>
      </c>
      <c r="I54" t="str">
        <v>Felice</v>
      </c>
      <c r="J54" t="str">
        <v>McMurty</v>
      </c>
      <c r="K54" t="str">
        <v>Female</v>
      </c>
      <c r="L54" t="str">
        <v>Product Management</v>
      </c>
      <c r="M54">
        <v>66865.490000000005</v>
      </c>
    </row>
    <row r="55" spans="2:13" x14ac:dyDescent="0.35">
      <c r="H55" t="str">
        <v>SQ03387</v>
      </c>
      <c r="I55" t="str">
        <v>Robinia</v>
      </c>
      <c r="J55" t="str">
        <v>Scholling</v>
      </c>
      <c r="K55" t="str">
        <v>Female</v>
      </c>
      <c r="L55" t="str">
        <v>Human Resources</v>
      </c>
      <c r="M55">
        <v>100731.95</v>
      </c>
    </row>
    <row r="56" spans="2:13" x14ac:dyDescent="0.35">
      <c r="H56" t="str">
        <v>SQ03491</v>
      </c>
      <c r="I56" t="str">
        <v>Freda</v>
      </c>
      <c r="J56" t="str">
        <v>Legan</v>
      </c>
      <c r="K56" t="str">
        <v>Female</v>
      </c>
      <c r="L56" t="str">
        <v>Sales</v>
      </c>
      <c r="M56">
        <v>102129.37</v>
      </c>
    </row>
    <row r="57" spans="2:13" x14ac:dyDescent="0.35">
      <c r="H57" t="str">
        <v>SQ03546</v>
      </c>
      <c r="I57" t="str">
        <v>Amlankusum</v>
      </c>
      <c r="J57" t="str">
        <v>Rajabhushan</v>
      </c>
      <c r="K57" t="str">
        <v>Female</v>
      </c>
      <c r="L57" t="str">
        <v>Legal</v>
      </c>
      <c r="M57">
        <v>75733.740000000005</v>
      </c>
    </row>
    <row r="58" spans="2:13" x14ac:dyDescent="0.35">
      <c r="H58" t="str">
        <v>SQ03625</v>
      </c>
      <c r="I58" t="str">
        <v>Fidela</v>
      </c>
      <c r="J58" t="str">
        <v>Artis</v>
      </c>
      <c r="K58" t="str">
        <v>Female</v>
      </c>
      <c r="L58" t="str">
        <v>Sales</v>
      </c>
      <c r="M58">
        <v>78020.39</v>
      </c>
    </row>
    <row r="59" spans="2:13" x14ac:dyDescent="0.35">
      <c r="H59" t="str">
        <v>SQ03626</v>
      </c>
      <c r="I59" t="str">
        <v>Krishnakanta</v>
      </c>
      <c r="J59" t="str">
        <v>Vellanki</v>
      </c>
      <c r="K59" t="str">
        <v>Female</v>
      </c>
      <c r="L59" t="str">
        <v>Training</v>
      </c>
      <c r="M59">
        <v>95677.9</v>
      </c>
    </row>
    <row r="60" spans="2:13" x14ac:dyDescent="0.35">
      <c r="H60" t="str">
        <v>SQ04437</v>
      </c>
      <c r="I60" t="str">
        <v>Hephzibah</v>
      </c>
      <c r="J60" t="str">
        <v>Summerell</v>
      </c>
      <c r="K60" t="str">
        <v>Female</v>
      </c>
      <c r="L60" t="str">
        <v>Services</v>
      </c>
      <c r="M60">
        <v>28305.08</v>
      </c>
    </row>
    <row r="61" spans="2:13" x14ac:dyDescent="0.35">
      <c r="H61" t="str">
        <v>SQ04612</v>
      </c>
      <c r="I61" t="str">
        <v>Mick</v>
      </c>
      <c r="J61" t="str">
        <v>Spraberry</v>
      </c>
      <c r="K61" t="str">
        <v>Female</v>
      </c>
      <c r="L61" t="str">
        <v>Services</v>
      </c>
      <c r="M61">
        <v>120000</v>
      </c>
    </row>
    <row r="62" spans="2:13" x14ac:dyDescent="0.35">
      <c r="H62" t="str">
        <v>SQ04613</v>
      </c>
      <c r="I62" t="str">
        <v>Sarojini</v>
      </c>
      <c r="J62" t="str">
        <v>Naueshwara</v>
      </c>
      <c r="K62" t="str">
        <v>Female</v>
      </c>
      <c r="L62" t="str">
        <v>Human Resources</v>
      </c>
      <c r="M62">
        <v>85264.38</v>
      </c>
    </row>
    <row r="63" spans="2:13" x14ac:dyDescent="0.35">
      <c r="H63" t="str">
        <v>SQ04960</v>
      </c>
      <c r="I63" t="str">
        <v>Shubhra</v>
      </c>
      <c r="J63" t="str">
        <v>Potla</v>
      </c>
      <c r="K63" t="str">
        <v>Female</v>
      </c>
      <c r="L63" t="str">
        <v>Support</v>
      </c>
      <c r="M63">
        <v>71924.850000000006</v>
      </c>
    </row>
    <row r="64" spans="2:13" x14ac:dyDescent="0.35">
      <c r="H64" t="str">
        <v>TN00083</v>
      </c>
      <c r="I64" t="str">
        <v>Chandana</v>
      </c>
      <c r="J64" t="str">
        <v>Sannidhi</v>
      </c>
      <c r="K64" t="str">
        <v>Female</v>
      </c>
      <c r="L64" t="str">
        <v>Business Development</v>
      </c>
      <c r="M64">
        <v>61688.77</v>
      </c>
    </row>
    <row r="65" spans="8:13" x14ac:dyDescent="0.35">
      <c r="H65" t="str">
        <v>TN00182</v>
      </c>
      <c r="I65" t="str">
        <v>Camilla</v>
      </c>
      <c r="J65" t="str">
        <v>Castle</v>
      </c>
      <c r="K65" t="str">
        <v>Female</v>
      </c>
      <c r="L65" t="str">
        <v>Product Management</v>
      </c>
      <c r="M65">
        <v>75475.929999999993</v>
      </c>
    </row>
    <row r="66" spans="8:13" x14ac:dyDescent="0.35">
      <c r="H66" t="str">
        <v>TN00214</v>
      </c>
      <c r="I66" t="str">
        <v>Devsena</v>
      </c>
      <c r="J66" t="str">
        <v>Veluvalapalli</v>
      </c>
      <c r="K66" t="str">
        <v>Female</v>
      </c>
      <c r="L66" t="str">
        <v>Training</v>
      </c>
      <c r="M66">
        <v>37902.35</v>
      </c>
    </row>
    <row r="67" spans="8:13" x14ac:dyDescent="0.35">
      <c r="H67" t="str">
        <v>TN00214</v>
      </c>
      <c r="I67" t="str">
        <v>Hemavati</v>
      </c>
      <c r="J67" t="str">
        <v>Muthiah</v>
      </c>
      <c r="K67" t="str">
        <v>Female</v>
      </c>
      <c r="L67" t="str">
        <v>Training</v>
      </c>
      <c r="M67">
        <v>37902.35</v>
      </c>
    </row>
    <row r="68" spans="8:13" x14ac:dyDescent="0.35">
      <c r="H68" t="str">
        <v>TN00227</v>
      </c>
      <c r="I68" t="str">
        <v>Raghuveer</v>
      </c>
      <c r="J68" t="str">
        <v>Yettugunna</v>
      </c>
      <c r="K68" t="str">
        <v>Female</v>
      </c>
      <c r="L68" t="str">
        <v>Support</v>
      </c>
      <c r="M68">
        <v>63555.73</v>
      </c>
    </row>
    <row r="69" spans="8:13" x14ac:dyDescent="0.35">
      <c r="H69" t="str">
        <v>TN00258</v>
      </c>
      <c r="I69" t="str">
        <v>Joyce</v>
      </c>
      <c r="J69" t="str">
        <v>Leyband</v>
      </c>
      <c r="K69" t="str">
        <v>Female</v>
      </c>
      <c r="L69" t="str">
        <v>Product Management</v>
      </c>
      <c r="M69">
        <v>68197.899999999994</v>
      </c>
    </row>
    <row r="70" spans="8:13" x14ac:dyDescent="0.35">
      <c r="H70" t="str">
        <v>TN00328</v>
      </c>
      <c r="I70" t="str">
        <v>Jeannie</v>
      </c>
      <c r="J70" t="str">
        <v>Petracco</v>
      </c>
      <c r="K70" t="str">
        <v>Female</v>
      </c>
      <c r="L70" t="str">
        <v>Engineering</v>
      </c>
      <c r="M70">
        <v>94815.28</v>
      </c>
    </row>
    <row r="71" spans="8:13" x14ac:dyDescent="0.35">
      <c r="H71" t="str">
        <v>TN00579</v>
      </c>
      <c r="I71" t="str">
        <v>Rafaelita</v>
      </c>
      <c r="J71" t="str">
        <v>Blaksland</v>
      </c>
      <c r="K71" t="str">
        <v>Female</v>
      </c>
      <c r="L71" t="str">
        <v>Services</v>
      </c>
      <c r="M71">
        <v>109163.39</v>
      </c>
    </row>
    <row r="72" spans="8:13" x14ac:dyDescent="0.35">
      <c r="H72" t="str">
        <v>TN00698</v>
      </c>
      <c r="I72" t="str">
        <v>Barbara-anne</v>
      </c>
      <c r="J72" t="str">
        <v>Kenchington</v>
      </c>
      <c r="K72" t="str">
        <v>Female</v>
      </c>
      <c r="L72" t="str">
        <v>Support</v>
      </c>
      <c r="M72">
        <v>88034.67</v>
      </c>
    </row>
    <row r="73" spans="8:13" x14ac:dyDescent="0.35">
      <c r="H73" t="str">
        <v>TN00727</v>
      </c>
      <c r="I73" t="str">
        <v>Dulsea</v>
      </c>
      <c r="J73" t="str">
        <v>Folkes</v>
      </c>
      <c r="K73" t="str">
        <v>Female</v>
      </c>
      <c r="L73" t="str">
        <v>Services</v>
      </c>
      <c r="M73">
        <v>42161.77</v>
      </c>
    </row>
    <row r="74" spans="8:13" x14ac:dyDescent="0.35">
      <c r="H74" t="str">
        <v>TN00890</v>
      </c>
      <c r="I74" t="str">
        <v>Mayur</v>
      </c>
      <c r="J74" t="str">
        <v>Kousika</v>
      </c>
      <c r="K74" t="str">
        <v>Female</v>
      </c>
      <c r="L74" t="str">
        <v>Training</v>
      </c>
      <c r="M74">
        <v>71570.990000000005</v>
      </c>
    </row>
    <row r="75" spans="8:13" x14ac:dyDescent="0.35">
      <c r="H75" t="str">
        <v>TN01281</v>
      </c>
      <c r="I75" t="str">
        <v>Cletus</v>
      </c>
      <c r="J75" t="str">
        <v>McGarahan</v>
      </c>
      <c r="K75" t="str">
        <v>Female</v>
      </c>
      <c r="L75" t="str">
        <v>Engineering</v>
      </c>
      <c r="M75">
        <v>114425.19</v>
      </c>
    </row>
    <row r="76" spans="8:13" x14ac:dyDescent="0.35">
      <c r="H76" t="str">
        <v>TN01601</v>
      </c>
      <c r="I76" t="str">
        <v>Melva</v>
      </c>
      <c r="J76" t="str">
        <v>Jickells</v>
      </c>
      <c r="K76" t="str">
        <v>Female</v>
      </c>
      <c r="L76" t="str">
        <v>Product Management</v>
      </c>
      <c r="M76">
        <v>68795.48</v>
      </c>
    </row>
    <row r="77" spans="8:13" x14ac:dyDescent="0.35">
      <c r="H77" t="str">
        <v>TN02570</v>
      </c>
      <c r="I77" t="str">
        <v>Grady</v>
      </c>
      <c r="J77" t="str">
        <v>Rochelle</v>
      </c>
      <c r="K77" t="str">
        <v>Female</v>
      </c>
      <c r="L77" t="str">
        <v>Accounting</v>
      </c>
      <c r="M77">
        <v>69163.39</v>
      </c>
    </row>
    <row r="78" spans="8:13" x14ac:dyDescent="0.35">
      <c r="H78" t="str">
        <v>TN02727</v>
      </c>
      <c r="I78" t="str">
        <v>Wald</v>
      </c>
      <c r="J78" t="str">
        <v>Bountiff</v>
      </c>
      <c r="K78" t="str">
        <v>Female</v>
      </c>
      <c r="L78" t="str">
        <v>Support</v>
      </c>
      <c r="M78">
        <v>28974.03</v>
      </c>
    </row>
    <row r="79" spans="8:13" x14ac:dyDescent="0.35">
      <c r="H79" t="str">
        <v>TN02749</v>
      </c>
      <c r="I79" t="str">
        <v>Parasuramudu</v>
      </c>
      <c r="J79" t="str">
        <v>Jamakayala</v>
      </c>
      <c r="K79" t="str">
        <v>Female</v>
      </c>
      <c r="L79" t="str">
        <v>Training</v>
      </c>
      <c r="M79">
        <v>57002.02</v>
      </c>
    </row>
    <row r="80" spans="8:13" x14ac:dyDescent="0.35">
      <c r="H80" t="str">
        <v>TN02798</v>
      </c>
      <c r="I80" t="str">
        <v>Krittika</v>
      </c>
      <c r="J80" t="str">
        <v>Gaekwad</v>
      </c>
      <c r="K80" t="str">
        <v>Female</v>
      </c>
      <c r="L80" t="str">
        <v>Business Development</v>
      </c>
      <c r="M80">
        <v>33031.26</v>
      </c>
    </row>
    <row r="81" spans="8:13" x14ac:dyDescent="0.35">
      <c r="H81" t="str">
        <v>TN02883</v>
      </c>
      <c r="I81" t="str">
        <v>John</v>
      </c>
      <c r="J81" t="str">
        <v>Joseph</v>
      </c>
      <c r="K81" t="str">
        <v>Female</v>
      </c>
      <c r="L81" t="str">
        <v>Sales</v>
      </c>
      <c r="M81">
        <v>84762.76</v>
      </c>
    </row>
    <row r="82" spans="8:13" x14ac:dyDescent="0.35">
      <c r="H82" t="str">
        <v>TN03032</v>
      </c>
      <c r="I82" t="str">
        <v>Jaipal</v>
      </c>
      <c r="J82" t="str">
        <v>Potanapudi</v>
      </c>
      <c r="K82" t="str">
        <v>Female</v>
      </c>
      <c r="L82" t="str">
        <v>Research and Development</v>
      </c>
      <c r="M82">
        <v>39700.82</v>
      </c>
    </row>
    <row r="83" spans="8:13" x14ac:dyDescent="0.35">
      <c r="H83" t="str">
        <v>TN03032</v>
      </c>
      <c r="I83" t="str">
        <v>Fullara</v>
      </c>
      <c r="J83" t="str">
        <v>Sushanti</v>
      </c>
      <c r="K83" t="str">
        <v>Female</v>
      </c>
      <c r="L83" t="str">
        <v>Research and Development</v>
      </c>
      <c r="M83">
        <v>39700.82</v>
      </c>
    </row>
    <row r="84" spans="8:13" x14ac:dyDescent="0.35">
      <c r="H84" t="str">
        <v>TN03169</v>
      </c>
      <c r="I84" t="str">
        <v>Doe</v>
      </c>
      <c r="J84" t="str">
        <v>Clubley</v>
      </c>
      <c r="K84" t="str">
        <v>Female</v>
      </c>
      <c r="L84" t="str">
        <v>Product Management</v>
      </c>
      <c r="M84">
        <v>67818.14</v>
      </c>
    </row>
    <row r="85" spans="8:13" x14ac:dyDescent="0.35">
      <c r="H85" t="str">
        <v>TN03575</v>
      </c>
      <c r="I85" t="str">
        <v>Janina</v>
      </c>
      <c r="J85" t="str">
        <v>Wolverson</v>
      </c>
      <c r="K85" t="str">
        <v>Female</v>
      </c>
      <c r="L85" t="str">
        <v>Research and Development</v>
      </c>
      <c r="M85">
        <v>99683.67</v>
      </c>
    </row>
    <row r="86" spans="8:13" x14ac:dyDescent="0.35">
      <c r="H86" t="str">
        <v>TN04067</v>
      </c>
      <c r="I86" t="str">
        <v>Lea</v>
      </c>
      <c r="J86" t="str">
        <v>Chaplin</v>
      </c>
      <c r="K86" t="str">
        <v>Female</v>
      </c>
      <c r="L86" t="str">
        <v>Human Resources</v>
      </c>
      <c r="M86">
        <v>73488.679999999993</v>
      </c>
    </row>
    <row r="87" spans="8:13" x14ac:dyDescent="0.35">
      <c r="H87" t="str">
        <v>TN04166</v>
      </c>
      <c r="I87" t="str">
        <v>Tadio</v>
      </c>
      <c r="J87" t="str">
        <v>Dowdle</v>
      </c>
      <c r="K87" t="str">
        <v>Female</v>
      </c>
      <c r="L87" t="str">
        <v>Product Management</v>
      </c>
      <c r="M87">
        <v>91929.69</v>
      </c>
    </row>
    <row r="88" spans="8:13" x14ac:dyDescent="0.35">
      <c r="H88" t="str">
        <v>TN04175</v>
      </c>
      <c r="I88" t="str">
        <v>Hinda</v>
      </c>
      <c r="J88" t="str">
        <v>Label</v>
      </c>
      <c r="K88" t="str">
        <v>Female</v>
      </c>
      <c r="L88" t="str">
        <v>Human Resources</v>
      </c>
      <c r="M88">
        <v>92704.48</v>
      </c>
    </row>
    <row r="89" spans="8:13" x14ac:dyDescent="0.35">
      <c r="H89" t="str">
        <v>TN04246</v>
      </c>
      <c r="I89" t="str">
        <v>Shaylyn</v>
      </c>
      <c r="J89" t="str">
        <v>Ransbury</v>
      </c>
      <c r="K89" t="str">
        <v>Female</v>
      </c>
      <c r="L89" t="str">
        <v>Support</v>
      </c>
      <c r="M89">
        <v>100371.31</v>
      </c>
    </row>
    <row r="90" spans="8:13" x14ac:dyDescent="0.35">
      <c r="H90" t="str">
        <v>TN04265</v>
      </c>
      <c r="I90" t="str">
        <v>Rushil</v>
      </c>
      <c r="J90" t="str">
        <v>Kripa</v>
      </c>
      <c r="K90" t="str">
        <v>Female</v>
      </c>
      <c r="L90" t="str">
        <v>Training</v>
      </c>
      <c r="M90">
        <v>93964.3</v>
      </c>
    </row>
    <row r="91" spans="8:13" x14ac:dyDescent="0.35">
      <c r="H91" t="str">
        <v>TN04740</v>
      </c>
      <c r="I91" t="str">
        <v>Tristam</v>
      </c>
      <c r="J91" t="str">
        <v>Cuming</v>
      </c>
      <c r="K91" t="str">
        <v>Female</v>
      </c>
      <c r="L91" t="str">
        <v>Support</v>
      </c>
      <c r="M91">
        <v>104038.9</v>
      </c>
    </row>
    <row r="92" spans="8:13" x14ac:dyDescent="0.35">
      <c r="H92" t="str">
        <v>TN04775</v>
      </c>
      <c r="I92" t="str">
        <v>Hridaynath</v>
      </c>
      <c r="J92" t="str">
        <v>Tendulkar</v>
      </c>
      <c r="K92" t="str">
        <v>Female</v>
      </c>
      <c r="L92" t="str">
        <v>Legal</v>
      </c>
      <c r="M92">
        <v>31089.22</v>
      </c>
    </row>
    <row r="93" spans="8:13" x14ac:dyDescent="0.35">
      <c r="H93" t="str">
        <v>VT00194</v>
      </c>
      <c r="I93" t="str">
        <v>Violante</v>
      </c>
      <c r="J93" t="str">
        <v>Courtonne</v>
      </c>
      <c r="K93" t="str">
        <v>Female</v>
      </c>
      <c r="L93" t="str">
        <v>Product Management</v>
      </c>
      <c r="M93">
        <v>49625.64</v>
      </c>
    </row>
    <row r="94" spans="8:13" x14ac:dyDescent="0.35">
      <c r="H94" t="str">
        <v>VT00578</v>
      </c>
      <c r="I94" t="str">
        <v>Magnum</v>
      </c>
      <c r="J94" t="str">
        <v>Locksley</v>
      </c>
      <c r="K94" t="str">
        <v>Female</v>
      </c>
      <c r="L94" t="str">
        <v>Services</v>
      </c>
      <c r="M94">
        <v>42314.39</v>
      </c>
    </row>
    <row r="95" spans="8:13" x14ac:dyDescent="0.35">
      <c r="H95" t="str">
        <v>VT00596</v>
      </c>
      <c r="I95" t="str">
        <v>Letisha</v>
      </c>
      <c r="J95" t="str">
        <v>Carrett</v>
      </c>
      <c r="K95" t="str">
        <v>Female</v>
      </c>
      <c r="L95" t="str">
        <v>Sales</v>
      </c>
      <c r="M95">
        <v>84598.88</v>
      </c>
    </row>
    <row r="96" spans="8:13" x14ac:dyDescent="0.35">
      <c r="H96" t="str">
        <v>VT00740</v>
      </c>
      <c r="I96" t="str">
        <v>Chitrasen</v>
      </c>
      <c r="J96" t="str">
        <v>Laul</v>
      </c>
      <c r="K96" t="str">
        <v>Female</v>
      </c>
      <c r="L96" t="str">
        <v>Research and Development</v>
      </c>
      <c r="M96">
        <v>46751.7</v>
      </c>
    </row>
    <row r="97" spans="8:13" x14ac:dyDescent="0.35">
      <c r="H97" t="str">
        <v>VT01249</v>
      </c>
      <c r="I97" t="str">
        <v>Brendan</v>
      </c>
      <c r="J97" t="str">
        <v>Edgeller</v>
      </c>
      <c r="K97" t="str">
        <v>Female</v>
      </c>
      <c r="L97" t="str">
        <v>Legal</v>
      </c>
      <c r="M97">
        <v>31042.51</v>
      </c>
    </row>
    <row r="98" spans="8:13" x14ac:dyDescent="0.35">
      <c r="H98" t="str">
        <v>VT01323</v>
      </c>
      <c r="I98" t="str">
        <v>Mardav</v>
      </c>
      <c r="J98" t="str">
        <v>Ramaswami</v>
      </c>
      <c r="K98" t="str">
        <v>Female</v>
      </c>
      <c r="L98" t="str">
        <v>Business Development</v>
      </c>
      <c r="M98">
        <v>86233.83</v>
      </c>
    </row>
    <row r="99" spans="8:13" x14ac:dyDescent="0.35">
      <c r="H99" t="str">
        <v>VT01523</v>
      </c>
      <c r="I99" t="str">
        <v>Charmane</v>
      </c>
      <c r="J99" t="str">
        <v>Heistermann</v>
      </c>
      <c r="K99" t="str">
        <v>Female</v>
      </c>
      <c r="L99" t="str">
        <v>Business Development</v>
      </c>
      <c r="M99">
        <v>86558.58</v>
      </c>
    </row>
    <row r="100" spans="8:13" x14ac:dyDescent="0.35">
      <c r="H100" t="str">
        <v>VT01610</v>
      </c>
      <c r="I100" t="str">
        <v>Dhruv</v>
      </c>
      <c r="J100" t="str">
        <v>Manjunath</v>
      </c>
      <c r="K100" t="str">
        <v>Female</v>
      </c>
      <c r="L100" t="str">
        <v>Accounting</v>
      </c>
      <c r="M100">
        <v>76303.820000000007</v>
      </c>
    </row>
    <row r="101" spans="8:13" x14ac:dyDescent="0.35">
      <c r="H101" t="str">
        <v>VT01610</v>
      </c>
      <c r="I101" t="str">
        <v>Kunja</v>
      </c>
      <c r="J101" t="str">
        <v>Prashanta</v>
      </c>
      <c r="K101" t="str">
        <v>Female</v>
      </c>
      <c r="L101" t="str">
        <v>Accounting</v>
      </c>
      <c r="M101">
        <v>76303.820000000007</v>
      </c>
    </row>
    <row r="102" spans="8:13" x14ac:dyDescent="0.35">
      <c r="H102" t="str">
        <v>VT01684</v>
      </c>
      <c r="I102" t="str">
        <v>Audry</v>
      </c>
      <c r="J102" t="str">
        <v>Yu</v>
      </c>
      <c r="K102" t="str">
        <v>Female</v>
      </c>
      <c r="L102" t="str">
        <v>Training</v>
      </c>
      <c r="M102">
        <v>101187.36</v>
      </c>
    </row>
    <row r="103" spans="8:13" x14ac:dyDescent="0.35">
      <c r="H103" t="str">
        <v>VT01740</v>
      </c>
      <c r="I103" t="str">
        <v>Ginger</v>
      </c>
      <c r="J103" t="str">
        <v>Myott</v>
      </c>
      <c r="K103" t="str">
        <v>Female</v>
      </c>
      <c r="L103" t="str">
        <v>Services</v>
      </c>
      <c r="M103">
        <v>31172.77</v>
      </c>
    </row>
    <row r="104" spans="8:13" x14ac:dyDescent="0.35">
      <c r="H104" t="str">
        <v>VT01803</v>
      </c>
      <c r="I104" t="str">
        <v>Freddy</v>
      </c>
      <c r="J104" t="str">
        <v>Linford</v>
      </c>
      <c r="K104" t="str">
        <v>Female</v>
      </c>
      <c r="L104" t="str">
        <v>Training</v>
      </c>
      <c r="M104">
        <v>93128.34</v>
      </c>
    </row>
    <row r="105" spans="8:13" x14ac:dyDescent="0.35">
      <c r="H105" t="str">
        <v>VT02118</v>
      </c>
      <c r="I105" t="str">
        <v>Oorjit</v>
      </c>
      <c r="J105" t="str">
        <v>Nandanavanam</v>
      </c>
      <c r="K105" t="str">
        <v>Female</v>
      </c>
      <c r="L105" t="str">
        <v>Engineering</v>
      </c>
      <c r="M105">
        <v>51165.37</v>
      </c>
    </row>
    <row r="106" spans="8:13" x14ac:dyDescent="0.35">
      <c r="H106" t="str">
        <v>VT02260</v>
      </c>
      <c r="I106" t="str">
        <v>Rhiamon</v>
      </c>
      <c r="J106" t="str">
        <v>Mollison</v>
      </c>
      <c r="K106" t="str">
        <v>Female</v>
      </c>
      <c r="L106" t="str">
        <v>Research and Development</v>
      </c>
      <c r="M106">
        <v>59434.18</v>
      </c>
    </row>
    <row r="107" spans="8:13" x14ac:dyDescent="0.35">
      <c r="H107" t="str">
        <v>VT02319</v>
      </c>
      <c r="I107" t="str">
        <v>Tarala</v>
      </c>
      <c r="J107" t="str">
        <v>Vishaal</v>
      </c>
      <c r="K107" t="str">
        <v>Female</v>
      </c>
      <c r="L107" t="str">
        <v>Research and Development</v>
      </c>
      <c r="M107">
        <v>96555.53</v>
      </c>
    </row>
    <row r="108" spans="8:13" x14ac:dyDescent="0.35">
      <c r="H108" t="str">
        <v>VT02374</v>
      </c>
      <c r="I108" t="str">
        <v>Delphine</v>
      </c>
      <c r="J108" t="str">
        <v>Jewis</v>
      </c>
      <c r="K108" t="str">
        <v>Female</v>
      </c>
      <c r="L108" t="str">
        <v>Accounting</v>
      </c>
      <c r="M108">
        <v>71823.56</v>
      </c>
    </row>
    <row r="109" spans="8:13" x14ac:dyDescent="0.35">
      <c r="H109" t="str">
        <v>VT02532</v>
      </c>
      <c r="I109" t="str">
        <v>Adey</v>
      </c>
      <c r="J109" t="str">
        <v>Ryal</v>
      </c>
      <c r="K109" t="str">
        <v>Female</v>
      </c>
      <c r="L109" t="str">
        <v>Legal</v>
      </c>
      <c r="M109">
        <v>32496.880000000001</v>
      </c>
    </row>
    <row r="110" spans="8:13" x14ac:dyDescent="0.35">
      <c r="H110" t="str">
        <v>VT03701</v>
      </c>
      <c r="I110" t="str">
        <v>Narois</v>
      </c>
      <c r="J110" t="str">
        <v>Motiwala</v>
      </c>
      <c r="K110" t="str">
        <v>Female</v>
      </c>
      <c r="L110" t="str">
        <v>Product Management</v>
      </c>
      <c r="M110">
        <v>89829.33</v>
      </c>
    </row>
    <row r="111" spans="8:13" x14ac:dyDescent="0.35">
      <c r="H111" t="str">
        <v>VT03988</v>
      </c>
      <c r="I111" t="str">
        <v>Venkat</v>
      </c>
      <c r="J111" t="str">
        <v>Kodi</v>
      </c>
      <c r="K111" t="str">
        <v>Female</v>
      </c>
      <c r="L111" t="str">
        <v>Support</v>
      </c>
      <c r="M111">
        <v>58935.92</v>
      </c>
    </row>
    <row r="112" spans="8:13" x14ac:dyDescent="0.35">
      <c r="H112" t="str">
        <v>VT04093</v>
      </c>
      <c r="I112" t="str">
        <v>Prasanna</v>
      </c>
      <c r="J112" t="str">
        <v>Lakshmi</v>
      </c>
      <c r="K112" t="str">
        <v>Female</v>
      </c>
      <c r="L112" t="str">
        <v>Training</v>
      </c>
      <c r="M112">
        <v>116767.63</v>
      </c>
    </row>
    <row r="113" spans="8:13" x14ac:dyDescent="0.35">
      <c r="H113" t="str">
        <v>VT04093</v>
      </c>
      <c r="I113" t="str">
        <v>Baruna</v>
      </c>
      <c r="J113" t="str">
        <v>Ogale</v>
      </c>
      <c r="K113" t="str">
        <v>Female</v>
      </c>
      <c r="L113" t="str">
        <v>Training</v>
      </c>
      <c r="M113">
        <v>116767.63</v>
      </c>
    </row>
    <row r="114" spans="8:13" x14ac:dyDescent="0.35">
      <c r="H114" t="str">
        <v>VT04415</v>
      </c>
      <c r="I114" t="str">
        <v>Malory</v>
      </c>
      <c r="J114" t="str">
        <v>Biles</v>
      </c>
      <c r="K114" t="str">
        <v>Female</v>
      </c>
      <c r="L114" t="str">
        <v>Training</v>
      </c>
      <c r="M114">
        <v>58744.17</v>
      </c>
    </row>
    <row r="115" spans="8:13" x14ac:dyDescent="0.35">
      <c r="H115" t="str">
        <v>VT04467</v>
      </c>
      <c r="I115" t="str">
        <v>Amal</v>
      </c>
      <c r="J115" t="str">
        <v>Nimesh</v>
      </c>
      <c r="K115" t="str">
        <v>Female</v>
      </c>
      <c r="L115" t="str">
        <v>Marketing</v>
      </c>
      <c r="M115">
        <v>70755.5</v>
      </c>
    </row>
    <row r="116" spans="8:13" x14ac:dyDescent="0.35">
      <c r="H116" t="str">
        <v>VT04552</v>
      </c>
      <c r="I116" t="str">
        <v>Theresita</v>
      </c>
      <c r="J116" t="str">
        <v>Chasmer</v>
      </c>
      <c r="K116" t="str">
        <v>Female</v>
      </c>
      <c r="L116" t="str">
        <v>Product Management</v>
      </c>
      <c r="M116">
        <v>106665.67</v>
      </c>
    </row>
    <row r="117" spans="8:13" x14ac:dyDescent="0.35">
      <c r="H117" t="str">
        <v>VT04681</v>
      </c>
      <c r="I117" t="str">
        <v>Nickolai</v>
      </c>
      <c r="J117" t="str">
        <v>Artin</v>
      </c>
      <c r="K117" t="str">
        <v>Female</v>
      </c>
      <c r="L117" t="str">
        <v>Product Management</v>
      </c>
      <c r="M117">
        <v>110906.35</v>
      </c>
    </row>
    <row r="118" spans="8:13" x14ac:dyDescent="0.35">
      <c r="H118" t="str">
        <v>VT04905</v>
      </c>
      <c r="I118" t="str">
        <v>Suchira</v>
      </c>
      <c r="J118" t="str">
        <v>Bhanupriya</v>
      </c>
      <c r="K118" t="str">
        <v>Female</v>
      </c>
      <c r="L118" t="str">
        <v>Human Resources</v>
      </c>
      <c r="M118">
        <v>29808.07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3:J15"/>
  <sheetViews>
    <sheetView zoomScale="95" workbookViewId="0">
      <selection activeCell="B4" sqref="B4"/>
    </sheetView>
  </sheetViews>
  <sheetFormatPr defaultRowHeight="14.5" x14ac:dyDescent="0.35"/>
  <cols>
    <col min="1" max="1" width="23.1796875" bestFit="1" customWidth="1"/>
    <col min="2" max="2" width="14.36328125" bestFit="1" customWidth="1"/>
    <col min="3" max="3" width="14.54296875" bestFit="1" customWidth="1"/>
    <col min="4" max="4" width="27.90625" bestFit="1" customWidth="1"/>
    <col min="5" max="5" width="28" bestFit="1" customWidth="1"/>
    <col min="6" max="6" width="18.1796875" bestFit="1" customWidth="1"/>
    <col min="7" max="7" width="13.54296875" bestFit="1" customWidth="1"/>
    <col min="8" max="8" width="17" bestFit="1" customWidth="1"/>
  </cols>
  <sheetData>
    <row r="3" spans="1:10" ht="20" thickBot="1" x14ac:dyDescent="0.5">
      <c r="A3" s="27" t="s">
        <v>28</v>
      </c>
      <c r="B3" s="27" t="s">
        <v>763</v>
      </c>
      <c r="C3" s="27" t="s">
        <v>764</v>
      </c>
      <c r="D3" s="27" t="s">
        <v>766</v>
      </c>
      <c r="E3" s="27" t="s">
        <v>767</v>
      </c>
      <c r="F3" s="43" t="s">
        <v>771</v>
      </c>
      <c r="G3" s="42" t="s">
        <v>819</v>
      </c>
      <c r="H3" s="41" t="s">
        <v>820</v>
      </c>
      <c r="I3" s="41" t="s">
        <v>821</v>
      </c>
      <c r="J3" s="44"/>
    </row>
    <row r="4" spans="1:10" ht="15" thickTop="1" x14ac:dyDescent="0.35">
      <c r="A4" s="25" t="str" cm="1">
        <f t="array" ref="A4:A15">_xlfn.UNIQUE(staff[Department])</f>
        <v>Training</v>
      </c>
      <c r="B4">
        <f>COUNTIF(staff[Department],A4)</f>
        <v>24</v>
      </c>
      <c r="C4" s="28">
        <f>SUMIF(staff[Department],A4,staff[Salary])</f>
        <v>2013215.1600000001</v>
      </c>
      <c r="D4">
        <f>COUNTIFS(staff[Department],A4,staff[Employee type],"Permanent")</f>
        <v>11</v>
      </c>
      <c r="E4" s="28">
        <f>SUMIFS(staff[Salary],staff[Department],A4,staff[Employee type],"Permanent")</f>
        <v>826101.70000000007</v>
      </c>
      <c r="F4" s="28">
        <f>AVERAGEIF(staff[Department],A4,staff[Salary])</f>
        <v>83883.965000000011</v>
      </c>
      <c r="G4">
        <f>COUNTIFS(staff[Department],A4,staff[Gender],"Male")</f>
        <v>6</v>
      </c>
      <c r="H4">
        <f>COUNTIFS(staff[Department],A4,staff[Gender],"Female")</f>
        <v>17</v>
      </c>
      <c r="I4">
        <f>COUNTIFS(staff[Department],A4,staff[Gender],"&lt;&gt;Male",staff[Gender],"&lt;&gt;Female")</f>
        <v>1</v>
      </c>
    </row>
    <row r="5" spans="1:10" x14ac:dyDescent="0.35">
      <c r="A5" s="26" t="str">
        <v>Business Development</v>
      </c>
      <c r="B5">
        <f>COUNTIF(staff[Department],A5)</f>
        <v>26</v>
      </c>
      <c r="C5" s="28">
        <f>SUMIF(staff[Department],A5,staff[Salary])</f>
        <v>2074326.9500000002</v>
      </c>
      <c r="D5">
        <f>COUNTIFS(staff[Department],A5,staff[Employee type],"Permanent")</f>
        <v>18</v>
      </c>
      <c r="E5" s="28">
        <f>SUMIFS(staff[Salary],staff[Department],A5,staff[Employee type],"Permanent")</f>
        <v>1432465.4</v>
      </c>
      <c r="F5" s="28">
        <f>AVERAGEIF(staff[Department],A5,staff[Salary])</f>
        <v>79781.805769230778</v>
      </c>
      <c r="G5">
        <f>COUNTIFS(staff[Department],A5,staff[Gender],"Male")</f>
        <v>15</v>
      </c>
      <c r="H5">
        <f>COUNTIFS(staff[Department],A5,staff[Gender],"Female")</f>
        <v>11</v>
      </c>
      <c r="I5">
        <f>COUNTIFS(staff[Department],A5,staff[Gender],"&lt;&gt;Male",staff[Gender],"&lt;&gt;Female")</f>
        <v>0</v>
      </c>
    </row>
    <row r="6" spans="1:10" x14ac:dyDescent="0.35">
      <c r="A6" s="25" t="str">
        <v>Engineering</v>
      </c>
      <c r="B6">
        <f>COUNTIF(staff[Department],A6)</f>
        <v>26</v>
      </c>
      <c r="C6" s="28">
        <f>SUMIF(staff[Department],A6,staff[Salary])</f>
        <v>2131387.4899999998</v>
      </c>
      <c r="D6">
        <f>COUNTIFS(staff[Department],A6,staff[Employee type],"Permanent")</f>
        <v>16</v>
      </c>
      <c r="E6" s="28">
        <f>SUMIFS(staff[Salary],staff[Department],A6,staff[Employee type],"Permanent")</f>
        <v>1523066.2699999998</v>
      </c>
      <c r="F6" s="28">
        <f>AVERAGEIF(staff[Department],A6,staff[Salary])</f>
        <v>81976.441923076913</v>
      </c>
      <c r="G6">
        <f>COUNTIFS(staff[Department],A6,staff[Gender],"Male")</f>
        <v>16</v>
      </c>
      <c r="H6">
        <f>COUNTIFS(staff[Department],A6,staff[Gender],"Female")</f>
        <v>10</v>
      </c>
      <c r="I6">
        <f>COUNTIFS(staff[Department],A6,staff[Gender],"&lt;&gt;Male",staff[Gender],"&lt;&gt;Female")</f>
        <v>0</v>
      </c>
    </row>
    <row r="7" spans="1:10" x14ac:dyDescent="0.35">
      <c r="A7" s="26" t="str">
        <v>Marketing</v>
      </c>
      <c r="B7">
        <f>COUNTIF(staff[Department],A7)</f>
        <v>12</v>
      </c>
      <c r="C7" s="28">
        <f>SUMIF(staff[Department],A7,staff[Salary])</f>
        <v>773295.6</v>
      </c>
      <c r="D7">
        <f>COUNTIFS(staff[Department],A7,staff[Employee type],"Permanent")</f>
        <v>9</v>
      </c>
      <c r="E7" s="28">
        <f>SUMIFS(staff[Salary],staff[Department],A7,staff[Employee type],"Permanent")</f>
        <v>617187.91</v>
      </c>
      <c r="F7" s="28">
        <f>AVERAGEIF(staff[Department],A7,staff[Salary])</f>
        <v>64441.299999999996</v>
      </c>
      <c r="G7">
        <f>COUNTIFS(staff[Department],A7,staff[Gender],"Male")</f>
        <v>7</v>
      </c>
      <c r="H7">
        <f>COUNTIFS(staff[Department],A7,staff[Gender],"Female")</f>
        <v>5</v>
      </c>
      <c r="I7">
        <f>COUNTIFS(staff[Department],A7,staff[Gender],"&lt;&gt;Male",staff[Gender],"&lt;&gt;Female")</f>
        <v>0</v>
      </c>
    </row>
    <row r="8" spans="1:10" x14ac:dyDescent="0.35">
      <c r="A8" s="26" t="str">
        <v>Legal</v>
      </c>
      <c r="B8">
        <f>COUNTIF(staff[Department],A8)</f>
        <v>21</v>
      </c>
      <c r="C8" s="28">
        <f>SUMIF(staff[Department],A8,staff[Salary])</f>
        <v>1412092.87</v>
      </c>
      <c r="D8">
        <f>COUNTIFS(staff[Department],A8,staff[Employee type],"Permanent")</f>
        <v>13</v>
      </c>
      <c r="E8" s="28">
        <f>SUMIFS(staff[Salary],staff[Department],A8,staff[Employee type],"Permanent")</f>
        <v>925197.68000000017</v>
      </c>
      <c r="F8" s="28">
        <f>AVERAGEIF(staff[Department],A8,staff[Salary])</f>
        <v>67242.51761904762</v>
      </c>
      <c r="G8">
        <f>COUNTIFS(staff[Department],A8,staff[Gender],"Male")</f>
        <v>13</v>
      </c>
      <c r="H8">
        <f>COUNTIFS(staff[Department],A8,staff[Gender],"Female")</f>
        <v>7</v>
      </c>
      <c r="I8">
        <f>COUNTIFS(staff[Department],A8,staff[Gender],"&lt;&gt;Male",staff[Gender],"&lt;&gt;Female")</f>
        <v>1</v>
      </c>
    </row>
    <row r="9" spans="1:10" x14ac:dyDescent="0.35">
      <c r="A9" s="25" t="str">
        <v>Accounting</v>
      </c>
      <c r="B9">
        <f>COUNTIF(staff[Department],A9)</f>
        <v>26</v>
      </c>
      <c r="C9" s="28">
        <f>SUMIF(staff[Department],A9,staff[Salary])</f>
        <v>1814980.59</v>
      </c>
      <c r="D9">
        <f>COUNTIFS(staff[Department],A9,staff[Employee type],"Permanent")</f>
        <v>18</v>
      </c>
      <c r="E9" s="28">
        <f>SUMIFS(staff[Salary],staff[Department],A9,staff[Employee type],"Permanent")</f>
        <v>1267719.1999999997</v>
      </c>
      <c r="F9" s="28">
        <f>AVERAGEIF(staff[Department],A9,staff[Salary])</f>
        <v>69806.945769230777</v>
      </c>
      <c r="G9">
        <f>COUNTIFS(staff[Department],A9,staff[Gender],"Male")</f>
        <v>15</v>
      </c>
      <c r="H9">
        <f>COUNTIFS(staff[Department],A9,staff[Gender],"Female")</f>
        <v>9</v>
      </c>
      <c r="I9">
        <f>COUNTIFS(staff[Department],A9,staff[Gender],"&lt;&gt;Male",staff[Gender],"&lt;&gt;Female")</f>
        <v>2</v>
      </c>
    </row>
    <row r="10" spans="1:10" x14ac:dyDescent="0.35">
      <c r="A10" s="26" t="str">
        <v>Human Resources</v>
      </c>
      <c r="B10">
        <f>COUNTIF(staff[Department],A10)</f>
        <v>22</v>
      </c>
      <c r="C10" s="28">
        <f>SUMIF(staff[Department],A10,staff[Salary])</f>
        <v>1608406.3100000003</v>
      </c>
      <c r="D10">
        <f>COUNTIFS(staff[Department],A10,staff[Employee type],"Permanent")</f>
        <v>13</v>
      </c>
      <c r="E10" s="28">
        <f>SUMIFS(staff[Salary],staff[Department],A10,staff[Employee type],"Permanent")</f>
        <v>915344.31</v>
      </c>
      <c r="F10" s="28">
        <f>AVERAGEIF(staff[Department],A10,staff[Salary])</f>
        <v>73109.377727272746</v>
      </c>
      <c r="G10">
        <f>COUNTIFS(staff[Department],A10,staff[Gender],"Male")</f>
        <v>12</v>
      </c>
      <c r="H10">
        <f>COUNTIFS(staff[Department],A10,staff[Gender],"Female")</f>
        <v>7</v>
      </c>
      <c r="I10">
        <f>COUNTIFS(staff[Department],A10,staff[Gender],"&lt;&gt;Male",staff[Gender],"&lt;&gt;Female")</f>
        <v>3</v>
      </c>
    </row>
    <row r="11" spans="1:10" x14ac:dyDescent="0.35">
      <c r="A11" s="25" t="str">
        <v>Research and Development</v>
      </c>
      <c r="B11">
        <f>COUNTIF(staff[Department],A11)</f>
        <v>18</v>
      </c>
      <c r="C11" s="28">
        <f>SUMIF(staff[Department],A11,staff[Salary])</f>
        <v>1204393.78</v>
      </c>
      <c r="D11">
        <f>COUNTIFS(staff[Department],A11,staff[Employee type],"Permanent")</f>
        <v>11</v>
      </c>
      <c r="E11" s="28">
        <f>SUMIFS(staff[Salary],staff[Department],A11,staff[Employee type],"Permanent")</f>
        <v>695418.30999999994</v>
      </c>
      <c r="F11" s="28">
        <f>AVERAGEIF(staff[Department],A11,staff[Salary])</f>
        <v>66910.765555555554</v>
      </c>
      <c r="G11">
        <f>COUNTIFS(staff[Department],A11,staff[Gender],"Male")</f>
        <v>7</v>
      </c>
      <c r="H11">
        <f>COUNTIFS(staff[Department],A11,staff[Gender],"Female")</f>
        <v>11</v>
      </c>
      <c r="I11">
        <f>COUNTIFS(staff[Department],A11,staff[Gender],"&lt;&gt;Male",staff[Gender],"&lt;&gt;Female")</f>
        <v>0</v>
      </c>
    </row>
    <row r="12" spans="1:10" x14ac:dyDescent="0.35">
      <c r="A12" s="26" t="str">
        <v>Services</v>
      </c>
      <c r="B12">
        <f>COUNTIF(staff[Department],A12)</f>
        <v>21</v>
      </c>
      <c r="C12" s="28">
        <f>SUMIF(staff[Department],A12,staff[Salary])</f>
        <v>1568153.47</v>
      </c>
      <c r="D12">
        <f>COUNTIFS(staff[Department],A12,staff[Employee type],"Permanent")</f>
        <v>16</v>
      </c>
      <c r="E12" s="28">
        <f>SUMIFS(staff[Salary],staff[Department],A12,staff[Employee type],"Permanent")</f>
        <v>1223388.3800000001</v>
      </c>
      <c r="F12" s="28">
        <f>AVERAGEIF(staff[Department],A12,staff[Salary])</f>
        <v>74673.974761904756</v>
      </c>
      <c r="G12">
        <f>COUNTIFS(staff[Department],A12,staff[Gender],"Male")</f>
        <v>8</v>
      </c>
      <c r="H12">
        <f>COUNTIFS(staff[Department],A12,staff[Gender],"Female")</f>
        <v>13</v>
      </c>
      <c r="I12">
        <f>COUNTIFS(staff[Department],A12,staff[Gender],"&lt;&gt;Male",staff[Gender],"&lt;&gt;Female")</f>
        <v>0</v>
      </c>
    </row>
    <row r="13" spans="1:10" x14ac:dyDescent="0.35">
      <c r="A13" s="26" t="str">
        <v>Product Management</v>
      </c>
      <c r="B13">
        <f>COUNTIF(staff[Department],A13)</f>
        <v>29</v>
      </c>
      <c r="C13" s="28">
        <f>SUMIF(staff[Department],A13,staff[Salary])</f>
        <v>2180192.8699999992</v>
      </c>
      <c r="D13">
        <f>COUNTIFS(staff[Department],A13,staff[Employee type],"Permanent")</f>
        <v>19</v>
      </c>
      <c r="E13" s="28">
        <f>SUMIFS(staff[Salary],staff[Department],A13,staff[Employee type],"Permanent")</f>
        <v>1292089.0299999996</v>
      </c>
      <c r="F13" s="28">
        <f>AVERAGEIF(staff[Department],A13,staff[Salary])</f>
        <v>75179.064482758593</v>
      </c>
      <c r="G13">
        <f>COUNTIFS(staff[Department],A13,staff[Gender],"Male")</f>
        <v>12</v>
      </c>
      <c r="H13">
        <f>COUNTIFS(staff[Department],A13,staff[Gender],"Female")</f>
        <v>17</v>
      </c>
      <c r="I13">
        <f>COUNTIFS(staff[Department],A13,staff[Gender],"&lt;&gt;Male",staff[Gender],"&lt;&gt;Female")</f>
        <v>0</v>
      </c>
    </row>
    <row r="14" spans="1:10" x14ac:dyDescent="0.35">
      <c r="A14" s="26" t="str">
        <v>Support</v>
      </c>
      <c r="B14">
        <f>COUNTIF(staff[Department],A14)</f>
        <v>17</v>
      </c>
      <c r="C14" s="28">
        <f>SUMIF(staff[Department],A14,staff[Salary])</f>
        <v>1129351.75</v>
      </c>
      <c r="D14">
        <f>COUNTIFS(staff[Department],A14,staff[Employee type],"Permanent")</f>
        <v>11</v>
      </c>
      <c r="E14" s="28">
        <f>SUMIFS(staff[Salary],staff[Department],A14,staff[Employee type],"Permanent")</f>
        <v>672712.15999999992</v>
      </c>
      <c r="F14" s="28">
        <f>AVERAGEIF(staff[Department],A14,staff[Salary])</f>
        <v>66432.455882352937</v>
      </c>
      <c r="G14">
        <f>COUNTIFS(staff[Department],A14,staff[Gender],"Male")</f>
        <v>8</v>
      </c>
      <c r="H14">
        <f>COUNTIFS(staff[Department],A14,staff[Gender],"Female")</f>
        <v>8</v>
      </c>
      <c r="I14">
        <f>COUNTIFS(staff[Department],A14,staff[Gender],"&lt;&gt;Male",staff[Gender],"&lt;&gt;Female")</f>
        <v>1</v>
      </c>
    </row>
    <row r="15" spans="1:10" x14ac:dyDescent="0.35">
      <c r="A15" s="25" t="str">
        <v>Sales</v>
      </c>
      <c r="B15">
        <f>COUNTIF(staff[Department],A15)</f>
        <v>18</v>
      </c>
      <c r="C15" s="28">
        <f>SUMIF(staff[Department],A15,staff[Salary])</f>
        <v>1294147.72</v>
      </c>
      <c r="D15">
        <f>COUNTIFS(staff[Department],A15,staff[Employee type],"Permanent")</f>
        <v>13</v>
      </c>
      <c r="E15" s="28">
        <f>SUMIFS(staff[Salary],staff[Department],A15,staff[Employee type],"Permanent")</f>
        <v>869670.34000000008</v>
      </c>
      <c r="F15" s="28">
        <f>AVERAGEIF(staff[Department],A15,staff[Salary])</f>
        <v>71897.095555555556</v>
      </c>
      <c r="G15">
        <f>COUNTIFS(staff[Department],A15,staff[Gender],"Male")</f>
        <v>8</v>
      </c>
      <c r="H15">
        <f>COUNTIFS(staff[Department],A15,staff[Gender],"Female")</f>
        <v>10</v>
      </c>
      <c r="I15">
        <f>COUNTIFS(staff[Department],A15,staff[Gender],"&lt;&gt;Male",staff[Gender],"&lt;&gt;Female")</f>
        <v>0</v>
      </c>
    </row>
  </sheetData>
  <conditionalFormatting sqref="B4:B15">
    <cfRule type="colorScale" priority="3">
      <colorScale>
        <cfvo type="min"/>
        <cfvo type="max"/>
        <color rgb="FFFF7128"/>
        <color rgb="FFFFEF9C"/>
      </colorScale>
    </cfRule>
  </conditionalFormatting>
  <conditionalFormatting sqref="C4:C15">
    <cfRule type="colorScale" priority="2">
      <colorScale>
        <cfvo type="min"/>
        <cfvo type="max"/>
        <color rgb="FFFF7128"/>
        <color rgb="FFFFEF9C"/>
      </colorScale>
    </cfRule>
  </conditionalFormatting>
  <conditionalFormatting sqref="F4:F15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Concept</vt:lpstr>
      <vt:lpstr>Data</vt:lpstr>
      <vt:lpstr>Sheet1</vt:lpstr>
      <vt:lpstr>14</vt:lpstr>
      <vt:lpstr>12 &amp; 13</vt:lpstr>
      <vt:lpstr>11</vt:lpstr>
      <vt:lpstr>10</vt:lpstr>
      <vt:lpstr>9</vt:lpstr>
      <vt:lpstr>8</vt:lpstr>
      <vt:lpstr>6 &amp; 7</vt:lpstr>
      <vt:lpstr>5</vt:lpstr>
      <vt:lpstr>3 &amp; 4</vt:lpstr>
      <vt:lpstr>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Bimal Adhikari</cp:lastModifiedBy>
  <dcterms:created xsi:type="dcterms:W3CDTF">2025-02-21T23:23:06Z</dcterms:created>
  <dcterms:modified xsi:type="dcterms:W3CDTF">2025-06-23T04:51:32Z</dcterms:modified>
</cp:coreProperties>
</file>