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Иван\Desktop\Уник\МОптим\LR4\"/>
    </mc:Choice>
  </mc:AlternateContent>
  <xr:revisionPtr revIDLastSave="0" documentId="13_ncr:1_{E593137A-569F-4E65-81FB-B81ED39510B6}" xr6:coauthVersionLast="47" xr6:coauthVersionMax="47" xr10:uidLastSave="{00000000-0000-0000-0000-000000000000}"/>
  <bookViews>
    <workbookView xWindow="-120" yWindow="-120" windowWidth="29040" windowHeight="15840" activeTab="1" xr2:uid="{52FA36CE-2CFD-4E98-A903-F92C4E00F60C}"/>
  </bookViews>
  <sheets>
    <sheet name="Задание 1" sheetId="1" r:id="rId1"/>
    <sheet name="Задание 2" sheetId="2" r:id="rId2"/>
    <sheet name="Отчет о результатах №2" sheetId="6" r:id="rId3"/>
    <sheet name="Отчет об устойчивости №2" sheetId="7" r:id="rId4"/>
    <sheet name="Отчет о пределах №2" sheetId="8" r:id="rId5"/>
  </sheets>
  <definedNames>
    <definedName name="solver_adj" localSheetId="1" hidden="1">'Задание 2'!$G$24:$G$28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'Задание 2'!$J$29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'Задание 2'!$C$31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hs1" localSheetId="1" hidden="1">'Задание 2'!$C$30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ho" localSheetId="4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2" l="1"/>
  <c r="G77" i="1"/>
  <c r="B35" i="1"/>
  <c r="B34" i="1"/>
  <c r="B9" i="1"/>
  <c r="H24" i="2"/>
  <c r="J24" i="2"/>
  <c r="I24" i="2"/>
  <c r="H25" i="2"/>
  <c r="H26" i="2"/>
  <c r="H27" i="2"/>
  <c r="H28" i="2"/>
  <c r="J27" i="2"/>
  <c r="J26" i="2"/>
  <c r="J25" i="2"/>
  <c r="J16" i="2"/>
  <c r="I16" i="2"/>
  <c r="H16" i="2"/>
  <c r="J12" i="2"/>
  <c r="J13" i="2"/>
  <c r="J14" i="2"/>
  <c r="J15" i="2"/>
  <c r="J11" i="2"/>
  <c r="I12" i="2"/>
  <c r="I13" i="2"/>
  <c r="I14" i="2"/>
  <c r="I15" i="2"/>
  <c r="I11" i="2"/>
  <c r="H12" i="2"/>
  <c r="H13" i="2"/>
  <c r="H14" i="2"/>
  <c r="H15" i="2"/>
  <c r="H11" i="2"/>
  <c r="G15" i="2"/>
  <c r="G14" i="2"/>
  <c r="G13" i="2"/>
  <c r="G12" i="2"/>
  <c r="G11" i="2"/>
  <c r="H29" i="2" l="1"/>
  <c r="I28" i="2"/>
  <c r="J28" i="2"/>
  <c r="J29" i="2" s="1"/>
  <c r="I26" i="2"/>
  <c r="I25" i="2"/>
  <c r="I27" i="2"/>
  <c r="I29" i="2" l="1"/>
  <c r="C31" i="2" s="1"/>
  <c r="C17" i="1" l="1"/>
  <c r="B5" i="1"/>
  <c r="B4" i="1"/>
  <c r="D9" i="1" s="1"/>
  <c r="H77" i="1"/>
  <c r="K77" i="1" l="1"/>
  <c r="I77" i="1"/>
  <c r="H111" i="1"/>
  <c r="H110" i="1" s="1"/>
  <c r="H109" i="1" s="1"/>
  <c r="H108" i="1" s="1"/>
  <c r="H107" i="1" s="1"/>
  <c r="H106" i="1" s="1"/>
  <c r="H105" i="1" s="1"/>
  <c r="H104" i="1" s="1"/>
  <c r="H103" i="1" s="1"/>
  <c r="H102" i="1" s="1"/>
  <c r="H101" i="1" s="1"/>
  <c r="H100" i="1" s="1"/>
  <c r="H99" i="1" s="1"/>
  <c r="H98" i="1" s="1"/>
  <c r="H97" i="1" s="1"/>
  <c r="H96" i="1" s="1"/>
  <c r="D62" i="1" l="1"/>
  <c r="D64" i="1" s="1"/>
  <c r="E62" i="1"/>
  <c r="E64" i="1" s="1"/>
  <c r="F62" i="1"/>
  <c r="F64" i="1" s="1"/>
  <c r="G62" i="1"/>
  <c r="G64" i="1" s="1"/>
  <c r="H62" i="1"/>
  <c r="H64" i="1" s="1"/>
  <c r="I62" i="1"/>
  <c r="I64" i="1" s="1"/>
  <c r="J62" i="1"/>
  <c r="J64" i="1" s="1"/>
  <c r="K62" i="1"/>
  <c r="K64" i="1" s="1"/>
  <c r="L62" i="1"/>
  <c r="L64" i="1" s="1"/>
  <c r="M62" i="1"/>
  <c r="M64" i="1" s="1"/>
  <c r="N62" i="1"/>
  <c r="N64" i="1" s="1"/>
  <c r="O62" i="1"/>
  <c r="O64" i="1" s="1"/>
  <c r="P62" i="1"/>
  <c r="P64" i="1" s="1"/>
  <c r="Q62" i="1"/>
  <c r="Q64" i="1" s="1"/>
  <c r="R62" i="1"/>
  <c r="R64" i="1" s="1"/>
  <c r="C62" i="1"/>
  <c r="C64" i="1" s="1"/>
  <c r="R50" i="1"/>
  <c r="R52" i="1" s="1"/>
  <c r="P50" i="1"/>
  <c r="P52" i="1" s="1"/>
  <c r="N50" i="1"/>
  <c r="N52" i="1" s="1"/>
  <c r="L50" i="1"/>
  <c r="L52" i="1" s="1"/>
  <c r="J50" i="1"/>
  <c r="J52" i="1" s="1"/>
  <c r="H50" i="1"/>
  <c r="H52" i="1" s="1"/>
  <c r="F50" i="1"/>
  <c r="F52" i="1" s="1"/>
  <c r="D50" i="1"/>
  <c r="D52" i="1" s="1"/>
  <c r="C50" i="1"/>
  <c r="C52" i="1" s="1"/>
  <c r="E50" i="1"/>
  <c r="E52" i="1" s="1"/>
  <c r="G50" i="1"/>
  <c r="G52" i="1" s="1"/>
  <c r="I50" i="1"/>
  <c r="I52" i="1" s="1"/>
  <c r="K50" i="1"/>
  <c r="K52" i="1" s="1"/>
  <c r="M50" i="1"/>
  <c r="M52" i="1" s="1"/>
  <c r="O50" i="1"/>
  <c r="O52" i="1" s="1"/>
  <c r="Q50" i="1"/>
  <c r="Q52" i="1" s="1"/>
  <c r="C34" i="1"/>
  <c r="F34" i="1" s="1"/>
  <c r="D34" i="1"/>
  <c r="C9" i="1"/>
  <c r="F9" i="1" s="1"/>
  <c r="E34" i="1" l="1"/>
  <c r="G34" i="1" s="1"/>
  <c r="E9" i="1"/>
  <c r="H9" i="1" s="1"/>
  <c r="G9" i="1" l="1"/>
  <c r="C10" i="1" s="1"/>
  <c r="F10" i="1" s="1"/>
  <c r="H34" i="1"/>
  <c r="D35" i="1" s="1"/>
  <c r="B10" i="1" l="1"/>
  <c r="D10" i="1" s="1"/>
  <c r="E10" i="1" s="1"/>
  <c r="H10" i="1" s="1"/>
  <c r="C35" i="1"/>
  <c r="F35" i="1" s="1"/>
  <c r="E35" i="1" s="1"/>
  <c r="G35" i="1" s="1"/>
  <c r="H35" i="1" l="1"/>
  <c r="B36" i="1" s="1"/>
  <c r="D36" i="1" s="1"/>
  <c r="C36" i="1"/>
  <c r="F36" i="1" s="1"/>
  <c r="G10" i="1"/>
  <c r="C11" i="1" s="1"/>
  <c r="F11" i="1" s="1"/>
  <c r="B11" i="1"/>
  <c r="D11" i="1" s="1"/>
  <c r="E36" i="1" l="1"/>
  <c r="G36" i="1"/>
  <c r="H36" i="1"/>
  <c r="E11" i="1"/>
  <c r="H11" i="1" s="1"/>
  <c r="C37" i="1" l="1"/>
  <c r="F37" i="1" s="1"/>
  <c r="B37" i="1"/>
  <c r="D37" i="1" s="1"/>
  <c r="E37" i="1" s="1"/>
  <c r="G11" i="1"/>
  <c r="C12" i="1"/>
  <c r="F12" i="1" s="1"/>
  <c r="B12" i="1"/>
  <c r="D12" i="1" s="1"/>
  <c r="G37" i="1" l="1"/>
  <c r="H37" i="1"/>
  <c r="E12" i="1"/>
  <c r="H12" i="1" s="1"/>
  <c r="C38" i="1" l="1"/>
  <c r="F38" i="1" s="1"/>
  <c r="B38" i="1"/>
  <c r="D38" i="1" s="1"/>
  <c r="E38" i="1" s="1"/>
  <c r="G12" i="1"/>
  <c r="B13" i="1" s="1"/>
  <c r="D13" i="1" s="1"/>
  <c r="C13" i="1"/>
  <c r="F13" i="1" s="1"/>
  <c r="E13" i="1" l="1"/>
  <c r="H13" i="1" s="1"/>
  <c r="G38" i="1"/>
  <c r="H38" i="1"/>
  <c r="G13" i="1" l="1"/>
  <c r="B14" i="1" s="1"/>
  <c r="D14" i="1" s="1"/>
  <c r="B39" i="1"/>
  <c r="D39" i="1" s="1"/>
  <c r="C39" i="1"/>
  <c r="F39" i="1" s="1"/>
  <c r="C14" i="1"/>
  <c r="F14" i="1" s="1"/>
  <c r="E39" i="1" l="1"/>
  <c r="E14" i="1"/>
  <c r="H14" i="1" s="1"/>
  <c r="G39" i="1" l="1"/>
  <c r="H39" i="1"/>
  <c r="G14" i="1"/>
  <c r="C15" i="1" s="1"/>
  <c r="F15" i="1" s="1"/>
  <c r="B40" i="1" l="1"/>
  <c r="D40" i="1" s="1"/>
  <c r="C40" i="1"/>
  <c r="F40" i="1" s="1"/>
  <c r="B15" i="1"/>
  <c r="D15" i="1" s="1"/>
  <c r="E15" i="1" s="1"/>
  <c r="J77" i="1" l="1"/>
  <c r="H78" i="1" s="1"/>
  <c r="E40" i="1"/>
  <c r="G15" i="1"/>
  <c r="L77" i="1" l="1"/>
  <c r="M77" i="1"/>
  <c r="G40" i="1"/>
  <c r="H40" i="1"/>
  <c r="H15" i="1"/>
  <c r="C16" i="1" s="1"/>
  <c r="F16" i="1" s="1"/>
  <c r="G78" i="1" l="1"/>
  <c r="I78" i="1" s="1"/>
  <c r="K78" i="1"/>
  <c r="B41" i="1"/>
  <c r="D41" i="1" s="1"/>
  <c r="C41" i="1"/>
  <c r="F41" i="1" s="1"/>
  <c r="E41" i="1" s="1"/>
  <c r="B16" i="1"/>
  <c r="D16" i="1" s="1"/>
  <c r="E16" i="1" s="1"/>
  <c r="J78" i="1" l="1"/>
  <c r="G41" i="1"/>
  <c r="H41" i="1"/>
  <c r="H16" i="1"/>
  <c r="G16" i="1"/>
  <c r="B17" i="1" s="1"/>
  <c r="D17" i="1" s="1"/>
  <c r="G79" i="1" l="1"/>
  <c r="M78" i="1"/>
  <c r="L78" i="1"/>
  <c r="F17" i="1"/>
  <c r="E17" i="1" s="1"/>
  <c r="H79" i="1" l="1"/>
  <c r="K79" i="1" s="1"/>
  <c r="I79" i="1"/>
  <c r="H17" i="1"/>
  <c r="C18" i="1" s="1"/>
  <c r="F18" i="1" s="1"/>
  <c r="G17" i="1"/>
  <c r="B18" i="1" s="1"/>
  <c r="D18" i="1" s="1"/>
  <c r="E18" i="1" l="1"/>
  <c r="J79" i="1"/>
  <c r="G18" i="1" l="1"/>
  <c r="B19" i="1"/>
  <c r="C19" i="1"/>
  <c r="H18" i="1"/>
  <c r="G80" i="1"/>
  <c r="L79" i="1"/>
  <c r="H80" i="1" s="1"/>
  <c r="M79" i="1"/>
  <c r="I80" i="1" s="1"/>
  <c r="D19" i="1"/>
  <c r="F19" i="1" l="1"/>
  <c r="E19" i="1" s="1"/>
  <c r="K80" i="1"/>
  <c r="J80" i="1" s="1"/>
  <c r="H81" i="1" s="1"/>
  <c r="H19" i="1" l="1"/>
  <c r="G19" i="1"/>
  <c r="B20" i="1" s="1"/>
  <c r="D20" i="1" s="1"/>
  <c r="L80" i="1"/>
  <c r="M80" i="1"/>
  <c r="C20" i="1"/>
  <c r="F20" i="1" s="1"/>
  <c r="G81" i="1" l="1"/>
  <c r="I81" i="1" s="1"/>
  <c r="K81" i="1"/>
  <c r="E20" i="1"/>
  <c r="G20" i="1" l="1"/>
  <c r="B21" i="1"/>
  <c r="J81" i="1"/>
  <c r="H82" i="1" s="1"/>
  <c r="H20" i="1"/>
  <c r="C21" i="1" s="1"/>
  <c r="F21" i="1" s="1"/>
  <c r="D21" i="1" l="1"/>
  <c r="E21" i="1" s="1"/>
  <c r="L81" i="1"/>
  <c r="M81" i="1"/>
  <c r="H21" i="1" l="1"/>
  <c r="G21" i="1"/>
  <c r="B22" i="1" s="1"/>
  <c r="D22" i="1" s="1"/>
  <c r="C22" i="1"/>
  <c r="F22" i="1" s="1"/>
  <c r="G82" i="1"/>
  <c r="I82" i="1" s="1"/>
  <c r="K82" i="1"/>
  <c r="E22" i="1" l="1"/>
  <c r="G22" i="1" s="1"/>
  <c r="J82" i="1"/>
  <c r="H22" i="1"/>
  <c r="C23" i="1" s="1"/>
  <c r="F23" i="1" s="1"/>
  <c r="B23" i="1"/>
  <c r="D23" i="1" s="1"/>
  <c r="G83" i="1" l="1"/>
  <c r="M82" i="1"/>
  <c r="I83" i="1"/>
  <c r="L82" i="1"/>
  <c r="H83" i="1" s="1"/>
  <c r="E23" i="1"/>
  <c r="H23" i="1" s="1"/>
  <c r="K83" i="1" l="1"/>
  <c r="J83" i="1" s="1"/>
  <c r="H84" i="1" s="1"/>
  <c r="G23" i="1"/>
  <c r="M83" i="1" l="1"/>
  <c r="L83" i="1"/>
  <c r="G84" i="1" s="1"/>
  <c r="K84" i="1" l="1"/>
  <c r="I84" i="1"/>
  <c r="J84" i="1" l="1"/>
  <c r="G85" i="1" l="1"/>
  <c r="L84" i="1"/>
  <c r="H85" i="1" s="1"/>
  <c r="M84" i="1"/>
  <c r="K85" i="1" l="1"/>
  <c r="I85" i="1"/>
  <c r="J85" i="1" l="1"/>
  <c r="H86" i="1" s="1"/>
  <c r="L85" i="1" l="1"/>
  <c r="M85" i="1"/>
  <c r="G86" i="1" l="1"/>
  <c r="I86" i="1" s="1"/>
  <c r="K86" i="1"/>
  <c r="J86" i="1" l="1"/>
  <c r="G87" i="1" l="1"/>
  <c r="M86" i="1"/>
  <c r="I87" i="1" s="1"/>
  <c r="L86" i="1"/>
  <c r="H87" i="1" s="1"/>
  <c r="K87" i="1" l="1"/>
  <c r="J87" i="1" s="1"/>
  <c r="H88" i="1" s="1"/>
  <c r="M87" i="1" l="1"/>
  <c r="L87" i="1"/>
  <c r="G88" i="1" s="1"/>
  <c r="K88" i="1" l="1"/>
  <c r="I88" i="1"/>
  <c r="J88" i="1" l="1"/>
  <c r="G89" i="1" l="1"/>
  <c r="I89" i="1" s="1"/>
  <c r="L88" i="1"/>
  <c r="H89" i="1" s="1"/>
  <c r="M88" i="1"/>
  <c r="K89" i="1" l="1"/>
  <c r="J89" i="1" s="1"/>
  <c r="H90" i="1" l="1"/>
  <c r="L89" i="1"/>
  <c r="G90" i="1" s="1"/>
  <c r="M89" i="1"/>
  <c r="I90" i="1" l="1"/>
  <c r="K90" i="1"/>
  <c r="J90" i="1" l="1"/>
  <c r="G91" i="1" s="1"/>
  <c r="I91" i="1" l="1"/>
  <c r="M90" i="1"/>
  <c r="L90" i="1"/>
  <c r="H91" i="1" s="1"/>
  <c r="K91" i="1" l="1"/>
  <c r="J91" i="1" s="1"/>
  <c r="M91" i="1" s="1"/>
  <c r="L91" i="1" l="1"/>
</calcChain>
</file>

<file path=xl/sharedStrings.xml><?xml version="1.0" encoding="utf-8"?>
<sst xmlns="http://schemas.openxmlformats.org/spreadsheetml/2006/main" count="230" uniqueCount="121">
  <si>
    <t>Метод золотого сечения</t>
  </si>
  <si>
    <t>Дроби Фибоначчи</t>
  </si>
  <si>
    <t>Ф1</t>
  </si>
  <si>
    <t>Ф2</t>
  </si>
  <si>
    <t>x1(j)</t>
  </si>
  <si>
    <t>x2(j)</t>
  </si>
  <si>
    <t>f1(j)</t>
  </si>
  <si>
    <t>&lt;или&gt;</t>
  </si>
  <si>
    <t>f2(j)</t>
  </si>
  <si>
    <t>a(j)</t>
  </si>
  <si>
    <t>b(j)</t>
  </si>
  <si>
    <t>Точка минимума локализована на отрезке: [6,4922 ; 6,4981]</t>
  </si>
  <si>
    <t>-</t>
  </si>
  <si>
    <t xml:space="preserve">№ </t>
  </si>
  <si>
    <t>Метод дихотомии</t>
  </si>
  <si>
    <t>N = 2L =</t>
  </si>
  <si>
    <t>L =</t>
  </si>
  <si>
    <t>E=</t>
  </si>
  <si>
    <t>&gt; или &lt;</t>
  </si>
  <si>
    <t xml:space="preserve"> </t>
  </si>
  <si>
    <t>Точка минимума локализована на отрезке [3,42539; 3,55625]</t>
  </si>
  <si>
    <t>a(8) = 3,42539 -&gt; f(a(8)) = -6,24443</t>
  </si>
  <si>
    <t>b(8) = 3,55625 -&gt; f(b(8)) = -6,24684</t>
  </si>
  <si>
    <t>x1(4) = 3,45625 -&gt; f(x1(4)) = -6,24684</t>
  </si>
  <si>
    <t>x2(6) = 3,432813 -&gt; f(x2(6)) = -6,24549</t>
  </si>
  <si>
    <t>x2(7) = 3,494531 -&gt; f(x2(7)) = -6,24997</t>
  </si>
  <si>
    <t xml:space="preserve">x2(8) = 3,525391 -&gt; f(x2(8)) =-6,24936 </t>
  </si>
  <si>
    <t>Ответ: Δ = [3,42539 ; 3,55625],  x2(7) = 3,494531, f(x2(7)) = -6,24997</t>
  </si>
  <si>
    <t>Пасивный метод поиска минимума</t>
  </si>
  <si>
    <t>A)</t>
  </si>
  <si>
    <t>N =</t>
  </si>
  <si>
    <t>E =</t>
  </si>
  <si>
    <t>№</t>
  </si>
  <si>
    <t>X</t>
  </si>
  <si>
    <t>j</t>
  </si>
  <si>
    <t>f(X)</t>
  </si>
  <si>
    <t>Ответ: Δ = [-5,636389; -623886]; X = 3,505556; f(X) = -6,24997</t>
  </si>
  <si>
    <t>Б)</t>
  </si>
  <si>
    <t>i</t>
  </si>
  <si>
    <t>Точка минимума окализована на отрезке [-5,636389; -6,23886]</t>
  </si>
  <si>
    <t>Точка минимума окализована на отрезке [-6; -6,09877]</t>
  </si>
  <si>
    <t>Ответ: Δ = [-6; -6,09877]; X = 3,555556; f(X) = -6,24691</t>
  </si>
  <si>
    <t>Метод Фибоначчи</t>
  </si>
  <si>
    <t>Числа Фибоначчи</t>
  </si>
  <si>
    <t>Точка минимума локализирована на отрезке [3,496556; 3,5015654]</t>
  </si>
  <si>
    <t>x1(15) = 3,5016 -&gt; f(x1(15)) = -6,25</t>
  </si>
  <si>
    <t>b(15) = 3,5035542 -&gt; f(b(15)) = -6,24999</t>
  </si>
  <si>
    <t>a(15) = 3,497781 -&gt; f(a(15)) = -6,25</t>
  </si>
  <si>
    <t>Ответ: Δ = [3,497781 ; 3,5035542], X = 3,5016, f = -6,25</t>
  </si>
  <si>
    <t>Ответ: Δ = [3,49793 ; 3,503793],  X = 3,503793, f(X) = -6,25</t>
  </si>
  <si>
    <t>Оптимизация без ограничений</t>
  </si>
  <si>
    <t>Vi</t>
  </si>
  <si>
    <t>Ki</t>
  </si>
  <si>
    <t>Si</t>
  </si>
  <si>
    <t>f</t>
  </si>
  <si>
    <t>qi0</t>
  </si>
  <si>
    <t>Ki*Vi/qi0</t>
  </si>
  <si>
    <t>Si*qi</t>
  </si>
  <si>
    <t>fi*qi</t>
  </si>
  <si>
    <t>F</t>
  </si>
  <si>
    <t>L</t>
  </si>
  <si>
    <t>Сумма</t>
  </si>
  <si>
    <t>Оптимизация с ограничениями</t>
  </si>
  <si>
    <t>Microsoft Excel 16.0 Отчет о результатах</t>
  </si>
  <si>
    <t>Лист: [LR4.xlsx]Задание 2</t>
  </si>
  <si>
    <t>Модуль поиска решения</t>
  </si>
  <si>
    <t>Модуль: Поиск решения нелинейных задач методом ОПГ</t>
  </si>
  <si>
    <t>Параметры поиска решения</t>
  </si>
  <si>
    <t>Максимальное время Без пределов,  Число итераций Без пределов, Precision 0,000001, Использовать автоматическое масштабирование</t>
  </si>
  <si>
    <t xml:space="preserve"> Сходимость 0,0001, Размер совокупности 100, Случайное начальное значение 0, Правые производные, Обязательные границы</t>
  </si>
  <si>
    <t>Максимальное число подзадач Без пределов, Максимальное число целочисленных решений Без пределов, Целочисленное отклонение 1%, Считать неотрицательными</t>
  </si>
  <si>
    <t>Ячейка целевой функции (Минимум)</t>
  </si>
  <si>
    <t>Ячейка</t>
  </si>
  <si>
    <t>Имя</t>
  </si>
  <si>
    <t>Исходное значение</t>
  </si>
  <si>
    <t>Окончательное значение</t>
  </si>
  <si>
    <t>Ячейки переменных</t>
  </si>
  <si>
    <t>Целочисленное</t>
  </si>
  <si>
    <t>Ограничения</t>
  </si>
  <si>
    <t>Значение ячейки</t>
  </si>
  <si>
    <t>Формула</t>
  </si>
  <si>
    <t>Состояние</t>
  </si>
  <si>
    <t>Допуск</t>
  </si>
  <si>
    <t>$C$31</t>
  </si>
  <si>
    <t>L Vi</t>
  </si>
  <si>
    <t>$G$24</t>
  </si>
  <si>
    <t>Продолжить</t>
  </si>
  <si>
    <t>$G$25</t>
  </si>
  <si>
    <t>$G$26</t>
  </si>
  <si>
    <t>$G$27</t>
  </si>
  <si>
    <t>$G$28</t>
  </si>
  <si>
    <t>$J$29</t>
  </si>
  <si>
    <t>Сумма fi*qi</t>
  </si>
  <si>
    <t>$J$29&lt;=$C$30</t>
  </si>
  <si>
    <t>Привязка</t>
  </si>
  <si>
    <t>Microsoft Excel 16.0 Отчет об устойчивости</t>
  </si>
  <si>
    <t>Окончательное</t>
  </si>
  <si>
    <t>Значение</t>
  </si>
  <si>
    <t>Приведенн.</t>
  </si>
  <si>
    <t>Градиент</t>
  </si>
  <si>
    <t>Лагранжа</t>
  </si>
  <si>
    <t>Множитель</t>
  </si>
  <si>
    <t>Microsoft Excel 16.0 Отчет о пределах</t>
  </si>
  <si>
    <t>Целевая функция</t>
  </si>
  <si>
    <t>Переменная</t>
  </si>
  <si>
    <t>Нижний</t>
  </si>
  <si>
    <t>Предел</t>
  </si>
  <si>
    <t>Результат</t>
  </si>
  <si>
    <t>Верхний</t>
  </si>
  <si>
    <t>Отчет создан: 12.12.2022 11:13:44</t>
  </si>
  <si>
    <t>Результат: Решение найдено. Все ограничения и условия оптимальности выполнены.</t>
  </si>
  <si>
    <t>Время решения: 0,188 секунд.</t>
  </si>
  <si>
    <t>Число итераций: 6 Число подзадач: 0</t>
  </si>
  <si>
    <t>Результат системы</t>
  </si>
  <si>
    <t>Управление поставками без ограничений</t>
  </si>
  <si>
    <t>Управление поставками с ограничениями на складские площади</t>
  </si>
  <si>
    <t>Необходимые складские площади</t>
  </si>
  <si>
    <t>Издержки работы в д.е./год</t>
  </si>
  <si>
    <t>Анализ полученных результатов:</t>
  </si>
  <si>
    <t>Вид товара</t>
  </si>
  <si>
    <t>Объем поставок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</si>
</sst>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4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indexed="1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1" xfId="0" applyFont="1" applyFill="1" applyBorder="1" applyAlignment="1">
      <alignment horizontal="center"/>
    </xf>
    <xf numFmtId="0" fontId="1" fillId="0" borderId="0" xfId="0" applyFont="1" applyFill="1"/>
    <xf numFmtId="0" fontId="0" fillId="0" borderId="0" xfId="0" applyFont="1"/>
    <xf numFmtId="0" fontId="0" fillId="0" borderId="1" xfId="0" applyFont="1" applyBorder="1"/>
    <xf numFmtId="0" fontId="0" fillId="0" borderId="2" xfId="0" applyFont="1" applyBorder="1" applyAlignment="1">
      <alignment horizontal="right"/>
    </xf>
    <xf numFmtId="0" fontId="0" fillId="0" borderId="4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Font="1" applyAlignment="1"/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/>
    <xf numFmtId="0" fontId="0" fillId="0" borderId="7" xfId="0" applyBorder="1"/>
    <xf numFmtId="0" fontId="0" fillId="2" borderId="6" xfId="0" applyFill="1" applyBorder="1"/>
    <xf numFmtId="0" fontId="2" fillId="0" borderId="0" xfId="0" applyFont="1"/>
    <xf numFmtId="0" fontId="0" fillId="0" borderId="11" xfId="0" applyFill="1" applyBorder="1" applyAlignment="1"/>
    <xf numFmtId="0" fontId="3" fillId="0" borderId="10" xfId="0" applyFont="1" applyFill="1" applyBorder="1" applyAlignment="1">
      <alignment horizontal="center"/>
    </xf>
    <xf numFmtId="0" fontId="0" fillId="0" borderId="12" xfId="0" applyFill="1" applyBorder="1" applyAlignment="1"/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3" xfId="0" applyNumberFormat="1" applyBorder="1"/>
    <xf numFmtId="2" fontId="0" fillId="0" borderId="1" xfId="0" applyNumberFormat="1" applyBorder="1"/>
    <xf numFmtId="2" fontId="0" fillId="2" borderId="1" xfId="0" applyNumberFormat="1" applyFill="1" applyBorder="1"/>
    <xf numFmtId="2" fontId="0" fillId="0" borderId="11" xfId="0" applyNumberFormat="1" applyFill="1" applyBorder="1" applyAlignment="1"/>
    <xf numFmtId="2" fontId="0" fillId="0" borderId="12" xfId="0" applyNumberFormat="1" applyFill="1" applyBorder="1" applyAlignment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246531</xdr:colOff>
      <xdr:row>3</xdr:row>
      <xdr:rowOff>156322</xdr:rowOff>
    </xdr:from>
    <xdr:to>
      <xdr:col>24</xdr:col>
      <xdr:colOff>175143</xdr:colOff>
      <xdr:row>5</xdr:row>
      <xdr:rowOff>51586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B3AB7A1-3B5E-4E39-9035-4D812F9B3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85060" y="727822"/>
          <a:ext cx="2349083" cy="276264"/>
        </a:xfrm>
        <a:prstGeom prst="rect">
          <a:avLst/>
        </a:prstGeom>
      </xdr:spPr>
    </xdr:pic>
    <xdr:clientData/>
  </xdr:twoCellAnchor>
  <xdr:twoCellAnchor editAs="oneCell">
    <xdr:from>
      <xdr:col>20</xdr:col>
      <xdr:colOff>265581</xdr:colOff>
      <xdr:row>2</xdr:row>
      <xdr:rowOff>89647</xdr:rowOff>
    </xdr:from>
    <xdr:to>
      <xdr:col>24</xdr:col>
      <xdr:colOff>175140</xdr:colOff>
      <xdr:row>3</xdr:row>
      <xdr:rowOff>165884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DC407714-D862-406B-8C38-CF8D73D59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4110" y="470647"/>
          <a:ext cx="2330030" cy="266737"/>
        </a:xfrm>
        <a:prstGeom prst="rect">
          <a:avLst/>
        </a:prstGeom>
      </xdr:spPr>
    </xdr:pic>
    <xdr:clientData/>
  </xdr:twoCellAnchor>
  <xdr:twoCellAnchor editAs="oneCell">
    <xdr:from>
      <xdr:col>19</xdr:col>
      <xdr:colOff>587189</xdr:colOff>
      <xdr:row>6</xdr:row>
      <xdr:rowOff>121022</xdr:rowOff>
    </xdr:from>
    <xdr:to>
      <xdr:col>32</xdr:col>
      <xdr:colOff>482912</xdr:colOff>
      <xdr:row>19</xdr:row>
      <xdr:rowOff>78441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7D50A381-FB67-498D-AB93-E378EEF99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20601" y="1264022"/>
          <a:ext cx="7762252" cy="24339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67541</xdr:colOff>
      <xdr:row>0</xdr:row>
      <xdr:rowOff>95621</xdr:rowOff>
    </xdr:from>
    <xdr:to>
      <xdr:col>12</xdr:col>
      <xdr:colOff>344826</xdr:colOff>
      <xdr:row>5</xdr:row>
      <xdr:rowOff>171965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C57FC7B-4DB8-4498-8099-51DCB5B396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541" y="95621"/>
          <a:ext cx="7625142" cy="10288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DCCB0-9C58-468D-AED0-D45510B4B5C4}">
  <dimension ref="A1:Y115"/>
  <sheetViews>
    <sheetView topLeftCell="A37" zoomScale="83" zoomScaleNormal="115" workbookViewId="0">
      <selection activeCell="J37" sqref="J37:M37"/>
    </sheetView>
  </sheetViews>
  <sheetFormatPr defaultRowHeight="15" x14ac:dyDescent="0.25"/>
  <cols>
    <col min="1" max="1" width="13.140625" style="3" customWidth="1"/>
    <col min="2" max="6" width="9.140625" style="3"/>
    <col min="7" max="7" width="9" style="3" customWidth="1"/>
    <col min="8" max="8" width="10.28515625" style="3" customWidth="1"/>
    <col min="9" max="16384" width="9.140625" style="3"/>
  </cols>
  <sheetData>
    <row r="1" spans="1:19" s="46" customFormat="1" x14ac:dyDescent="0.25">
      <c r="A1" s="46" t="s">
        <v>0</v>
      </c>
    </row>
    <row r="2" spans="1:19" x14ac:dyDescent="0.25">
      <c r="N2" s="2"/>
      <c r="O2" s="2"/>
      <c r="P2" s="2"/>
    </row>
    <row r="3" spans="1:19" x14ac:dyDescent="0.25">
      <c r="A3" s="50" t="s">
        <v>1</v>
      </c>
      <c r="B3" s="51"/>
    </row>
    <row r="4" spans="1:19" x14ac:dyDescent="0.25">
      <c r="A4" s="4" t="s">
        <v>2</v>
      </c>
      <c r="B4" s="4">
        <f>(3 - SQRT(5))/2</f>
        <v>0.3819660112501051</v>
      </c>
    </row>
    <row r="5" spans="1:19" x14ac:dyDescent="0.25">
      <c r="A5" s="4" t="s">
        <v>3</v>
      </c>
      <c r="B5" s="4">
        <f>(SQRT(5)-1)/2</f>
        <v>0.6180339887498949</v>
      </c>
    </row>
    <row r="7" spans="1:19" x14ac:dyDescent="0.25">
      <c r="A7" s="8" t="s">
        <v>13</v>
      </c>
      <c r="B7" s="8" t="s">
        <v>4</v>
      </c>
      <c r="C7" s="8" t="s">
        <v>5</v>
      </c>
      <c r="D7" s="8" t="s">
        <v>6</v>
      </c>
      <c r="E7" s="8" t="s">
        <v>7</v>
      </c>
      <c r="F7" s="8" t="s">
        <v>8</v>
      </c>
      <c r="G7" s="8" t="s">
        <v>9</v>
      </c>
      <c r="H7" s="8" t="s">
        <v>10</v>
      </c>
      <c r="L7" s="44" t="s">
        <v>11</v>
      </c>
      <c r="M7" s="44"/>
      <c r="N7" s="44"/>
      <c r="O7" s="44"/>
      <c r="P7" s="44"/>
      <c r="Q7" s="44"/>
      <c r="R7" s="44"/>
      <c r="S7" s="44"/>
    </row>
    <row r="8" spans="1:19" x14ac:dyDescent="0.25">
      <c r="A8" s="9">
        <v>0</v>
      </c>
      <c r="B8" s="9" t="s">
        <v>12</v>
      </c>
      <c r="C8" s="9" t="s">
        <v>12</v>
      </c>
      <c r="D8" s="9" t="s">
        <v>12</v>
      </c>
      <c r="E8" s="9" t="s">
        <v>12</v>
      </c>
      <c r="F8" s="9" t="s">
        <v>12</v>
      </c>
      <c r="G8" s="10">
        <v>0</v>
      </c>
      <c r="H8" s="9">
        <v>8</v>
      </c>
    </row>
    <row r="9" spans="1:19" x14ac:dyDescent="0.25">
      <c r="A9" s="9">
        <v>1</v>
      </c>
      <c r="B9" s="10">
        <f>G8+B4*(H8-G8)</f>
        <v>3.0557280900008408</v>
      </c>
      <c r="C9" s="9">
        <f>G8+B5*(H8-G8)</f>
        <v>4.9442719099991592</v>
      </c>
      <c r="D9" s="9">
        <f>B9*B9-7*B9+6</f>
        <v>-6.0526224699856996</v>
      </c>
      <c r="E9" s="9" t="str">
        <f>IF(D9&lt;F9,"&lt;","&gt;")</f>
        <v>&lt;</v>
      </c>
      <c r="F9" s="9">
        <f>C9*C9-7*C9+6</f>
        <v>-4.1640786499873812</v>
      </c>
      <c r="G9" s="10">
        <f>IF(E9="&gt;",B9,G8)</f>
        <v>0</v>
      </c>
      <c r="H9" s="9">
        <f>IF(E9="&lt;",C9,H8)</f>
        <v>4.9442719099991592</v>
      </c>
      <c r="L9" s="44" t="s">
        <v>49</v>
      </c>
      <c r="M9" s="44"/>
      <c r="N9" s="44"/>
      <c r="O9" s="44"/>
      <c r="P9" s="44"/>
      <c r="Q9" s="44"/>
      <c r="R9" s="44"/>
      <c r="S9" s="44"/>
    </row>
    <row r="10" spans="1:19" x14ac:dyDescent="0.25">
      <c r="A10" s="9">
        <v>2</v>
      </c>
      <c r="B10" s="10">
        <f t="shared" ref="B10:B23" si="0">IF(E9="&gt;",C9,G9+$B$4*(H9-G9))</f>
        <v>1.8885438199983176</v>
      </c>
      <c r="C10" s="9">
        <f t="shared" ref="C10:C23" si="1">IF(E9="&lt;",B9,G9+$B$5*(H9-G9))</f>
        <v>3.0557280900008408</v>
      </c>
      <c r="D10" s="9">
        <f t="shared" ref="D10:D23" si="2">B10*B10-7*B10+6</f>
        <v>-3.6532089799343836</v>
      </c>
      <c r="E10" s="9" t="str">
        <f t="shared" ref="E10:E23" si="3">IF(D10&lt;F10,"&lt;","&gt;")</f>
        <v>&gt;</v>
      </c>
      <c r="F10" s="9">
        <f>C10*C10-7*C10+6</f>
        <v>-6.0526224699856996</v>
      </c>
      <c r="G10" s="10">
        <f>IF(E10="&gt;",B10,G9)</f>
        <v>1.8885438199983176</v>
      </c>
      <c r="H10" s="9">
        <f>IF(E10="&lt;",C10,H9)</f>
        <v>4.9442719099991592</v>
      </c>
    </row>
    <row r="11" spans="1:19" x14ac:dyDescent="0.25">
      <c r="A11" s="9">
        <v>3</v>
      </c>
      <c r="B11" s="10">
        <f t="shared" si="0"/>
        <v>3.0557280900008408</v>
      </c>
      <c r="C11" s="9">
        <f t="shared" si="1"/>
        <v>3.7770876399966355</v>
      </c>
      <c r="D11" s="9">
        <f t="shared" si="2"/>
        <v>-6.0526224699856996</v>
      </c>
      <c r="E11" s="9" t="str">
        <f t="shared" si="3"/>
        <v>&gt;</v>
      </c>
      <c r="F11" s="9">
        <f t="shared" ref="F11:F23" si="4">C11*C11-7*C11+6</f>
        <v>-6.1732224397610942</v>
      </c>
      <c r="G11" s="10">
        <f t="shared" ref="G11:G22" si="5">IF(E11="&gt;",B11,G10)</f>
        <v>3.0557280900008408</v>
      </c>
      <c r="H11" s="9">
        <f t="shared" ref="H11:H23" si="6">IF(E11="&lt;",C11,H10)</f>
        <v>4.9442719099991592</v>
      </c>
    </row>
    <row r="12" spans="1:19" x14ac:dyDescent="0.25">
      <c r="A12" s="9">
        <v>4</v>
      </c>
      <c r="B12" s="10">
        <f t="shared" si="0"/>
        <v>3.7770876399966355</v>
      </c>
      <c r="C12" s="9">
        <f t="shared" si="1"/>
        <v>4.2229123600033649</v>
      </c>
      <c r="D12" s="9">
        <f t="shared" si="2"/>
        <v>-6.1732224397610942</v>
      </c>
      <c r="E12" s="9" t="str">
        <f t="shared" si="3"/>
        <v>&lt;</v>
      </c>
      <c r="F12" s="9">
        <f t="shared" si="4"/>
        <v>-5.727397719754368</v>
      </c>
      <c r="G12" s="10">
        <f t="shared" si="5"/>
        <v>3.0557280900008408</v>
      </c>
      <c r="H12" s="9">
        <f t="shared" si="6"/>
        <v>4.2229123600033649</v>
      </c>
    </row>
    <row r="13" spans="1:19" x14ac:dyDescent="0.25">
      <c r="A13" s="9">
        <v>5</v>
      </c>
      <c r="B13" s="10">
        <f t="shared" si="0"/>
        <v>3.5015528100075706</v>
      </c>
      <c r="C13" s="9">
        <f t="shared" si="1"/>
        <v>3.7770876399966355</v>
      </c>
      <c r="D13" s="9">
        <f t="shared" si="2"/>
        <v>-6.2499975887810812</v>
      </c>
      <c r="E13" s="9" t="str">
        <f t="shared" si="3"/>
        <v>&lt;</v>
      </c>
      <c r="F13" s="9">
        <f t="shared" si="4"/>
        <v>-6.1732224397610942</v>
      </c>
      <c r="G13" s="10">
        <f t="shared" si="5"/>
        <v>3.0557280900008408</v>
      </c>
      <c r="H13" s="9">
        <f t="shared" si="6"/>
        <v>3.7770876399966355</v>
      </c>
    </row>
    <row r="14" spans="1:19" x14ac:dyDescent="0.25">
      <c r="A14" s="9">
        <v>6</v>
      </c>
      <c r="B14" s="10">
        <f t="shared" si="0"/>
        <v>3.3312629199899053</v>
      </c>
      <c r="C14" s="9">
        <f t="shared" si="1"/>
        <v>3.5015528100075706</v>
      </c>
      <c r="D14" s="9">
        <f t="shared" si="2"/>
        <v>-6.221527797829669</v>
      </c>
      <c r="E14" s="9" t="str">
        <f t="shared" si="3"/>
        <v>&gt;</v>
      </c>
      <c r="F14" s="9">
        <f t="shared" si="4"/>
        <v>-6.2499975887810812</v>
      </c>
      <c r="G14" s="10">
        <f t="shared" si="5"/>
        <v>3.3312629199899053</v>
      </c>
      <c r="H14" s="9">
        <f t="shared" si="6"/>
        <v>3.7770876399966355</v>
      </c>
    </row>
    <row r="15" spans="1:19" x14ac:dyDescent="0.25">
      <c r="A15" s="9">
        <v>7</v>
      </c>
      <c r="B15" s="10">
        <f t="shared" si="0"/>
        <v>3.5015528100075706</v>
      </c>
      <c r="C15" s="9">
        <f t="shared" si="1"/>
        <v>3.6067977499789698</v>
      </c>
      <c r="D15" s="9">
        <f t="shared" si="2"/>
        <v>-6.2499975887810812</v>
      </c>
      <c r="E15" s="9" t="str">
        <f t="shared" si="3"/>
        <v>&lt;</v>
      </c>
      <c r="F15" s="9">
        <f t="shared" si="4"/>
        <v>-6.2385942405994292</v>
      </c>
      <c r="G15" s="10">
        <f t="shared" si="5"/>
        <v>3.3312629199899053</v>
      </c>
      <c r="H15" s="9">
        <f t="shared" si="6"/>
        <v>3.6067977499789698</v>
      </c>
    </row>
    <row r="16" spans="1:19" x14ac:dyDescent="0.25">
      <c r="A16" s="9">
        <v>8</v>
      </c>
      <c r="B16" s="10">
        <f t="shared" si="0"/>
        <v>3.4365078599613041</v>
      </c>
      <c r="C16" s="9">
        <f t="shared" si="1"/>
        <v>3.5015528100075706</v>
      </c>
      <c r="D16" s="9">
        <f t="shared" si="2"/>
        <v>-6.2459687481533077</v>
      </c>
      <c r="E16" s="9" t="str">
        <f t="shared" si="3"/>
        <v>&gt;</v>
      </c>
      <c r="F16" s="9">
        <f t="shared" si="4"/>
        <v>-6.2499975887810812</v>
      </c>
      <c r="G16" s="10">
        <f t="shared" si="5"/>
        <v>3.4365078599613041</v>
      </c>
      <c r="H16" s="9">
        <f t="shared" si="6"/>
        <v>3.6067977499789698</v>
      </c>
    </row>
    <row r="17" spans="1:25" x14ac:dyDescent="0.25">
      <c r="A17" s="9">
        <v>9</v>
      </c>
      <c r="B17" s="10">
        <f t="shared" si="0"/>
        <v>3.5015528100075706</v>
      </c>
      <c r="C17" s="9">
        <f>IF(E16="&lt;",B16,G16+$B$5*(H16-G16))</f>
        <v>3.541752799932703</v>
      </c>
      <c r="D17" s="9">
        <f t="shared" si="2"/>
        <v>-6.2499975887810812</v>
      </c>
      <c r="E17" s="9" t="str">
        <f t="shared" si="3"/>
        <v>&lt;</v>
      </c>
      <c r="F17" s="9">
        <f t="shared" si="4"/>
        <v>-6.2482567036977805</v>
      </c>
      <c r="G17" s="10">
        <f t="shared" si="5"/>
        <v>3.4365078599613041</v>
      </c>
      <c r="H17" s="9">
        <f t="shared" si="6"/>
        <v>3.541752799932703</v>
      </c>
    </row>
    <row r="18" spans="1:25" x14ac:dyDescent="0.25">
      <c r="A18" s="9">
        <v>10</v>
      </c>
      <c r="B18" s="10">
        <f t="shared" si="0"/>
        <v>3.4767078498864361</v>
      </c>
      <c r="C18" s="9">
        <f t="shared" si="1"/>
        <v>3.5015528100075706</v>
      </c>
      <c r="D18" s="9">
        <f t="shared" si="2"/>
        <v>-6.2494574757430854</v>
      </c>
      <c r="E18" s="9" t="str">
        <f t="shared" si="3"/>
        <v>&gt;</v>
      </c>
      <c r="F18" s="9">
        <f t="shared" si="4"/>
        <v>-6.2499975887810812</v>
      </c>
      <c r="G18" s="10">
        <f t="shared" si="5"/>
        <v>3.4767078498864361</v>
      </c>
      <c r="H18" s="9">
        <f t="shared" si="6"/>
        <v>3.541752799932703</v>
      </c>
    </row>
    <row r="19" spans="1:25" x14ac:dyDescent="0.25">
      <c r="A19" s="9">
        <v>11</v>
      </c>
      <c r="B19" s="10">
        <f>IF(E18="&gt;",C18,G18+$B$4*(H18-G18))</f>
        <v>3.5015528100075706</v>
      </c>
      <c r="C19" s="9">
        <f>IF(E18="&lt;",B18,G18+$B$5*(H18-G18))</f>
        <v>3.5169078398115681</v>
      </c>
      <c r="D19" s="9">
        <f t="shared" si="2"/>
        <v>-6.2499975887810812</v>
      </c>
      <c r="E19" s="9" t="str">
        <f t="shared" si="3"/>
        <v>&lt;</v>
      </c>
      <c r="F19" s="9">
        <f t="shared" si="4"/>
        <v>-6.2497141249529058</v>
      </c>
      <c r="G19" s="10">
        <f t="shared" si="5"/>
        <v>3.4767078498864361</v>
      </c>
      <c r="H19" s="9">
        <f t="shared" si="6"/>
        <v>3.5169078398115681</v>
      </c>
    </row>
    <row r="20" spans="1:25" x14ac:dyDescent="0.25">
      <c r="A20" s="9">
        <v>12</v>
      </c>
      <c r="B20" s="10">
        <f>IF(E19="&gt;",C19,G19+$B$4*(H19-G19))</f>
        <v>3.4920628796904332</v>
      </c>
      <c r="C20" s="9">
        <f t="shared" si="1"/>
        <v>3.5015528100075706</v>
      </c>
      <c r="D20" s="9">
        <f t="shared" si="2"/>
        <v>-6.2499370021211913</v>
      </c>
      <c r="E20" s="9" t="str">
        <f t="shared" si="3"/>
        <v>&gt;</v>
      </c>
      <c r="F20" s="9">
        <f t="shared" si="4"/>
        <v>-6.2499975887810812</v>
      </c>
      <c r="G20" s="10">
        <f t="shared" si="5"/>
        <v>3.4920628796904332</v>
      </c>
      <c r="H20" s="9">
        <f t="shared" si="6"/>
        <v>3.5169078398115681</v>
      </c>
    </row>
    <row r="21" spans="1:25" x14ac:dyDescent="0.25">
      <c r="A21" s="9">
        <v>13</v>
      </c>
      <c r="B21" s="10">
        <f>IF(E20="&gt;",C20,G20+$B$4*(H20-G20))</f>
        <v>3.5015528100075706</v>
      </c>
      <c r="C21" s="9">
        <f t="shared" si="1"/>
        <v>3.5074179094944302</v>
      </c>
      <c r="D21" s="9">
        <f t="shared" si="2"/>
        <v>-6.2499975887810812</v>
      </c>
      <c r="E21" s="9" t="str">
        <f t="shared" si="3"/>
        <v>&lt;</v>
      </c>
      <c r="F21" s="9">
        <f t="shared" si="4"/>
        <v>-6.2499449746187334</v>
      </c>
      <c r="G21" s="10">
        <f t="shared" si="5"/>
        <v>3.4920628796904332</v>
      </c>
      <c r="H21" s="9">
        <f t="shared" si="6"/>
        <v>3.5074179094944302</v>
      </c>
    </row>
    <row r="22" spans="1:25" x14ac:dyDescent="0.25">
      <c r="A22" s="9">
        <v>14</v>
      </c>
      <c r="B22" s="10">
        <f t="shared" si="0"/>
        <v>3.4979279791772924</v>
      </c>
      <c r="C22" s="9">
        <f t="shared" si="1"/>
        <v>3.5015528100075706</v>
      </c>
      <c r="D22" s="9">
        <f t="shared" si="2"/>
        <v>-6.2499957067297114</v>
      </c>
      <c r="E22" s="9" t="str">
        <f t="shared" si="3"/>
        <v>&gt;</v>
      </c>
      <c r="F22" s="9">
        <f t="shared" si="4"/>
        <v>-6.2499975887810812</v>
      </c>
      <c r="G22" s="10">
        <f t="shared" si="5"/>
        <v>3.4979279791772924</v>
      </c>
      <c r="H22" s="9">
        <f t="shared" si="6"/>
        <v>3.5074179094944302</v>
      </c>
    </row>
    <row r="23" spans="1:25" x14ac:dyDescent="0.25">
      <c r="A23" s="9">
        <v>15</v>
      </c>
      <c r="B23" s="10">
        <f t="shared" si="0"/>
        <v>3.5015528100075706</v>
      </c>
      <c r="C23" s="9">
        <f t="shared" si="1"/>
        <v>3.5037930786641516</v>
      </c>
      <c r="D23" s="9">
        <f t="shared" si="2"/>
        <v>-6.2499975887810812</v>
      </c>
      <c r="E23" s="9" t="str">
        <f t="shared" si="3"/>
        <v>&lt;</v>
      </c>
      <c r="F23" s="9">
        <f t="shared" si="4"/>
        <v>-6.2499856125542461</v>
      </c>
      <c r="G23" s="10">
        <f>IF(E23="&gt;",B23,G22)</f>
        <v>3.4979279791772924</v>
      </c>
      <c r="H23" s="9">
        <f t="shared" si="6"/>
        <v>3.5037930786641516</v>
      </c>
    </row>
    <row r="26" spans="1:25" s="46" customFormat="1" x14ac:dyDescent="0.25">
      <c r="A26" s="46" t="s">
        <v>14</v>
      </c>
    </row>
    <row r="28" spans="1:25" x14ac:dyDescent="0.25">
      <c r="A28" s="5" t="s">
        <v>15</v>
      </c>
      <c r="B28" s="6">
        <v>16</v>
      </c>
    </row>
    <row r="29" spans="1:25" x14ac:dyDescent="0.25">
      <c r="A29" s="5" t="s">
        <v>16</v>
      </c>
      <c r="B29" s="6">
        <v>8</v>
      </c>
    </row>
    <row r="30" spans="1:25" x14ac:dyDescent="0.25">
      <c r="A30" s="5" t="s">
        <v>17</v>
      </c>
      <c r="B30" s="7">
        <v>0.1</v>
      </c>
    </row>
    <row r="31" spans="1:25" x14ac:dyDescent="0.25">
      <c r="J31" s="44" t="s">
        <v>20</v>
      </c>
      <c r="K31" s="44"/>
      <c r="L31" s="44"/>
      <c r="M31" s="44"/>
      <c r="N31" s="44"/>
      <c r="O31" s="44"/>
      <c r="P31" s="44"/>
    </row>
    <row r="32" spans="1:25" x14ac:dyDescent="0.25">
      <c r="A32" s="12" t="s">
        <v>13</v>
      </c>
      <c r="B32" s="12" t="s">
        <v>4</v>
      </c>
      <c r="C32" s="12" t="s">
        <v>5</v>
      </c>
      <c r="D32" s="12" t="s">
        <v>6</v>
      </c>
      <c r="E32" s="12" t="s">
        <v>18</v>
      </c>
      <c r="F32" s="12" t="s">
        <v>8</v>
      </c>
      <c r="G32" s="12" t="s">
        <v>9</v>
      </c>
      <c r="H32" s="12" t="s">
        <v>10</v>
      </c>
      <c r="Y32"/>
    </row>
    <row r="33" spans="1:25" x14ac:dyDescent="0.25">
      <c r="A33" s="9">
        <v>0</v>
      </c>
      <c r="B33" s="13" t="s">
        <v>12</v>
      </c>
      <c r="C33" s="13" t="s">
        <v>12</v>
      </c>
      <c r="D33" s="13" t="s">
        <v>12</v>
      </c>
      <c r="E33" s="13" t="s">
        <v>12</v>
      </c>
      <c r="F33" s="13" t="s">
        <v>12</v>
      </c>
      <c r="G33" s="9">
        <v>0</v>
      </c>
      <c r="H33" s="9">
        <v>8</v>
      </c>
      <c r="J33" s="49" t="s">
        <v>21</v>
      </c>
      <c r="K33" s="49"/>
      <c r="L33" s="49"/>
      <c r="M33" s="49"/>
      <c r="Y33"/>
    </row>
    <row r="34" spans="1:25" x14ac:dyDescent="0.25">
      <c r="A34" s="9">
        <v>1</v>
      </c>
      <c r="B34" s="9">
        <f>(G33+H33)/2 - $B$30/2</f>
        <v>3.95</v>
      </c>
      <c r="C34" s="9">
        <f>(G33+H33)/2 + $B$30/2</f>
        <v>4.05</v>
      </c>
      <c r="D34" s="9">
        <f>B34*B34 - 7*B34 + 6</f>
        <v>-6.0475000000000012</v>
      </c>
      <c r="E34" s="9" t="str">
        <f>IF(D34&lt;F34,"&lt;","&gt;")</f>
        <v>&lt;</v>
      </c>
      <c r="F34" s="9">
        <f>C34*C34 - 7*C34 + 6</f>
        <v>-5.947499999999998</v>
      </c>
      <c r="G34" s="9">
        <f>IF(E34="&lt;", G33,B34)</f>
        <v>0</v>
      </c>
      <c r="H34" s="9">
        <f>IF(E34="&gt;", H33, C34)</f>
        <v>4.05</v>
      </c>
      <c r="J34" s="49" t="s">
        <v>22</v>
      </c>
      <c r="K34" s="49"/>
      <c r="L34" s="49"/>
      <c r="M34" s="49"/>
      <c r="Y34"/>
    </row>
    <row r="35" spans="1:25" x14ac:dyDescent="0.25">
      <c r="A35" s="9">
        <v>2</v>
      </c>
      <c r="B35" s="9">
        <f>(G34+H34)/2 - $B$30/2</f>
        <v>1.9749999999999999</v>
      </c>
      <c r="C35" s="9">
        <f>(G34+H34)/2 + $B$30/2</f>
        <v>2.0749999999999997</v>
      </c>
      <c r="D35" s="9">
        <f t="shared" ref="D35:D41" si="7">B35*B35 - 7*B35 + 6</f>
        <v>-3.9243749999999995</v>
      </c>
      <c r="E35" s="9" t="str">
        <f t="shared" ref="E35:E41" si="8">IF(D35&lt;F35,"&lt;","&gt;")</f>
        <v>&gt;</v>
      </c>
      <c r="F35" s="9">
        <f>C35*C35 - 7*C35 + 6</f>
        <v>-4.2193749999999994</v>
      </c>
      <c r="G35" s="9">
        <f t="shared" ref="G35:G41" si="9">IF(E35="&lt;", G34,B35)</f>
        <v>1.9749999999999999</v>
      </c>
      <c r="H35" s="9">
        <f t="shared" ref="H35:H41" si="10">IF(E35="&gt;", H34, C35)</f>
        <v>4.05</v>
      </c>
      <c r="I35" s="3" t="s">
        <v>19</v>
      </c>
      <c r="J35" s="49" t="s">
        <v>23</v>
      </c>
      <c r="K35" s="49"/>
      <c r="L35" s="49"/>
      <c r="M35" s="49"/>
      <c r="Y35"/>
    </row>
    <row r="36" spans="1:25" x14ac:dyDescent="0.25">
      <c r="A36" s="9">
        <v>3</v>
      </c>
      <c r="B36" s="9">
        <f t="shared" ref="B35:B41" si="11">(G35+H35)/2 - $B$30/2</f>
        <v>2.9624999999999999</v>
      </c>
      <c r="C36" s="9">
        <f t="shared" ref="C36:C41" si="12">(G35+H35)/2 + $B$30/2</f>
        <v>3.0624999999999996</v>
      </c>
      <c r="D36" s="9">
        <f t="shared" si="7"/>
        <v>-5.9610937500000016</v>
      </c>
      <c r="E36" s="9" t="str">
        <f t="shared" si="8"/>
        <v>&gt;</v>
      </c>
      <c r="F36" s="9">
        <f t="shared" ref="F36:F41" si="13">C36*C36 - 7*C36 + 6</f>
        <v>-6.05859375</v>
      </c>
      <c r="G36" s="9">
        <f t="shared" si="9"/>
        <v>2.9624999999999999</v>
      </c>
      <c r="H36" s="9">
        <f t="shared" si="10"/>
        <v>4.05</v>
      </c>
      <c r="J36" s="49" t="s">
        <v>24</v>
      </c>
      <c r="K36" s="49"/>
      <c r="L36" s="49"/>
      <c r="M36" s="49"/>
      <c r="Y36"/>
    </row>
    <row r="37" spans="1:25" x14ac:dyDescent="0.25">
      <c r="A37" s="9">
        <v>4</v>
      </c>
      <c r="B37" s="14">
        <f t="shared" si="11"/>
        <v>3.4562499999999998</v>
      </c>
      <c r="C37" s="8">
        <f t="shared" si="12"/>
        <v>3.5562499999999995</v>
      </c>
      <c r="D37" s="9">
        <f t="shared" si="7"/>
        <v>-6.2480859374999991</v>
      </c>
      <c r="E37" s="9" t="str">
        <f t="shared" si="8"/>
        <v>&lt;</v>
      </c>
      <c r="F37" s="9">
        <f t="shared" si="13"/>
        <v>-6.2468359375000002</v>
      </c>
      <c r="G37" s="9">
        <f t="shared" si="9"/>
        <v>2.9624999999999999</v>
      </c>
      <c r="H37" s="9">
        <f t="shared" si="10"/>
        <v>3.5562499999999995</v>
      </c>
      <c r="J37" s="49" t="s">
        <v>25</v>
      </c>
      <c r="K37" s="49"/>
      <c r="L37" s="49"/>
      <c r="M37" s="49"/>
      <c r="Y37"/>
    </row>
    <row r="38" spans="1:25" x14ac:dyDescent="0.25">
      <c r="A38" s="9">
        <v>5</v>
      </c>
      <c r="B38" s="9">
        <f t="shared" si="11"/>
        <v>3.2093749999999996</v>
      </c>
      <c r="C38" s="9">
        <f t="shared" si="12"/>
        <v>3.3093749999999993</v>
      </c>
      <c r="D38" s="9">
        <f t="shared" si="7"/>
        <v>-6.1655371093749984</v>
      </c>
      <c r="E38" s="9" t="str">
        <f t="shared" si="8"/>
        <v>&gt;</v>
      </c>
      <c r="F38" s="9">
        <f t="shared" si="13"/>
        <v>-6.2136621093749991</v>
      </c>
      <c r="G38" s="9">
        <f t="shared" si="9"/>
        <v>3.2093749999999996</v>
      </c>
      <c r="H38" s="9">
        <f t="shared" si="10"/>
        <v>3.5562499999999995</v>
      </c>
      <c r="J38" s="49" t="s">
        <v>26</v>
      </c>
      <c r="K38" s="49"/>
      <c r="L38" s="49"/>
      <c r="M38" s="49"/>
      <c r="Y38"/>
    </row>
    <row r="39" spans="1:25" x14ac:dyDescent="0.25">
      <c r="A39" s="9">
        <v>6</v>
      </c>
      <c r="B39" s="9">
        <f t="shared" si="11"/>
        <v>3.3328124999999997</v>
      </c>
      <c r="C39" s="14">
        <f t="shared" si="12"/>
        <v>3.4328124999999994</v>
      </c>
      <c r="D39" s="9">
        <f t="shared" si="7"/>
        <v>-6.2220483398437505</v>
      </c>
      <c r="E39" s="9" t="str">
        <f t="shared" si="8"/>
        <v>&gt;</v>
      </c>
      <c r="F39" s="9">
        <f t="shared" si="13"/>
        <v>-6.2454858398437487</v>
      </c>
      <c r="G39" s="9">
        <f t="shared" si="9"/>
        <v>3.3328124999999997</v>
      </c>
      <c r="H39" s="9">
        <f t="shared" si="10"/>
        <v>3.5562499999999995</v>
      </c>
      <c r="Y39"/>
    </row>
    <row r="40" spans="1:25" x14ac:dyDescent="0.25">
      <c r="A40" s="9">
        <v>7</v>
      </c>
      <c r="B40" s="9">
        <f t="shared" si="11"/>
        <v>3.39453125</v>
      </c>
      <c r="C40" s="14">
        <f t="shared" si="12"/>
        <v>3.4945312499999996</v>
      </c>
      <c r="D40" s="9">
        <f t="shared" si="7"/>
        <v>-6.2388763427734375</v>
      </c>
      <c r="E40" s="9" t="str">
        <f t="shared" si="8"/>
        <v>&gt;</v>
      </c>
      <c r="F40" s="9">
        <f t="shared" si="13"/>
        <v>-6.2499700927734363</v>
      </c>
      <c r="G40" s="9">
        <f t="shared" si="9"/>
        <v>3.39453125</v>
      </c>
      <c r="H40" s="9">
        <f t="shared" si="10"/>
        <v>3.5562499999999995</v>
      </c>
      <c r="J40" s="44" t="s">
        <v>27</v>
      </c>
      <c r="K40" s="44"/>
      <c r="L40" s="44"/>
      <c r="M40" s="44"/>
      <c r="N40" s="44"/>
      <c r="O40" s="44"/>
      <c r="P40" s="44"/>
      <c r="Y40"/>
    </row>
    <row r="41" spans="1:25" x14ac:dyDescent="0.25">
      <c r="A41" s="9">
        <v>8</v>
      </c>
      <c r="B41" s="8">
        <f t="shared" si="11"/>
        <v>3.4253906249999999</v>
      </c>
      <c r="C41" s="14">
        <f t="shared" si="12"/>
        <v>3.5253906249999996</v>
      </c>
      <c r="D41" s="9">
        <f t="shared" si="7"/>
        <v>-6.2444334411621103</v>
      </c>
      <c r="E41" s="9" t="str">
        <f t="shared" si="8"/>
        <v>&gt;</v>
      </c>
      <c r="F41" s="9">
        <f t="shared" si="13"/>
        <v>-6.2493553161621094</v>
      </c>
      <c r="G41" s="9">
        <f t="shared" si="9"/>
        <v>3.4253906249999999</v>
      </c>
      <c r="H41" s="9">
        <f t="shared" si="10"/>
        <v>3.5562499999999995</v>
      </c>
      <c r="Y41"/>
    </row>
    <row r="42" spans="1:25" x14ac:dyDescent="0.25">
      <c r="Y42"/>
    </row>
    <row r="43" spans="1:25" x14ac:dyDescent="0.25">
      <c r="Y43"/>
    </row>
    <row r="44" spans="1:25" s="46" customFormat="1" x14ac:dyDescent="0.25">
      <c r="A44" s="46" t="s">
        <v>28</v>
      </c>
    </row>
    <row r="45" spans="1:25" x14ac:dyDescent="0.25">
      <c r="Y45"/>
    </row>
    <row r="46" spans="1:25" x14ac:dyDescent="0.25">
      <c r="A46" s="1" t="s">
        <v>29</v>
      </c>
      <c r="B46" s="5" t="s">
        <v>30</v>
      </c>
      <c r="C46" s="7">
        <v>16</v>
      </c>
      <c r="Y46"/>
    </row>
    <row r="47" spans="1:25" x14ac:dyDescent="0.25">
      <c r="B47" s="5" t="s">
        <v>31</v>
      </c>
      <c r="C47" s="7">
        <v>0.1</v>
      </c>
      <c r="Y47"/>
    </row>
    <row r="48" spans="1:25" x14ac:dyDescent="0.25">
      <c r="Y48"/>
    </row>
    <row r="49" spans="1:25" x14ac:dyDescent="0.25">
      <c r="B49" s="9" t="s">
        <v>32</v>
      </c>
      <c r="C49" s="9">
        <v>1</v>
      </c>
      <c r="D49" s="9">
        <v>2</v>
      </c>
      <c r="E49" s="9">
        <v>3</v>
      </c>
      <c r="F49" s="9">
        <v>4</v>
      </c>
      <c r="G49" s="9">
        <v>5</v>
      </c>
      <c r="H49" s="9">
        <v>6</v>
      </c>
      <c r="I49" s="9">
        <v>7</v>
      </c>
      <c r="J49" s="9">
        <v>8</v>
      </c>
      <c r="K49" s="9">
        <v>9</v>
      </c>
      <c r="L49" s="9">
        <v>10</v>
      </c>
      <c r="M49" s="9">
        <v>11</v>
      </c>
      <c r="N49" s="9">
        <v>12</v>
      </c>
      <c r="O49" s="9">
        <v>13</v>
      </c>
      <c r="P49" s="9">
        <v>14</v>
      </c>
      <c r="Q49" s="9">
        <v>15</v>
      </c>
      <c r="R49" s="9">
        <v>16</v>
      </c>
      <c r="Y49"/>
    </row>
    <row r="50" spans="1:25" x14ac:dyDescent="0.25">
      <c r="B50" s="9" t="s">
        <v>33</v>
      </c>
      <c r="C50" s="9">
        <f>8/9*C51 - $C$47/2</f>
        <v>0.8388888888888888</v>
      </c>
      <c r="D50" s="9">
        <f>8/9*D51 + $C$47/2</f>
        <v>0.93888888888888888</v>
      </c>
      <c r="E50" s="9">
        <f t="shared" ref="E50:Q50" si="14">8/9*E51 - $C$47/2</f>
        <v>1.7277777777777776</v>
      </c>
      <c r="F50" s="9">
        <f>8/9*F51 + $C$47/2</f>
        <v>1.8277777777777777</v>
      </c>
      <c r="G50" s="9">
        <f t="shared" si="14"/>
        <v>2.6166666666666667</v>
      </c>
      <c r="H50" s="9">
        <f>8/9*H51 + $C$47/2</f>
        <v>2.7166666666666663</v>
      </c>
      <c r="I50" s="9">
        <f t="shared" si="14"/>
        <v>3.5055555555555555</v>
      </c>
      <c r="J50" s="9">
        <f>8/9*J51 + $C$47/2</f>
        <v>3.6055555555555552</v>
      </c>
      <c r="K50" s="9">
        <f t="shared" si="14"/>
        <v>4.3944444444444448</v>
      </c>
      <c r="L50" s="9">
        <f>8/9*L51 + $C$47/2</f>
        <v>4.4944444444444445</v>
      </c>
      <c r="M50" s="9">
        <f t="shared" si="14"/>
        <v>5.2833333333333332</v>
      </c>
      <c r="N50" s="9">
        <f>8/9*N51 + $C$47/2</f>
        <v>5.3833333333333329</v>
      </c>
      <c r="O50" s="9">
        <f t="shared" si="14"/>
        <v>6.1722222222222216</v>
      </c>
      <c r="P50" s="9">
        <f>8/9*P51 + $C$47/2</f>
        <v>6.2722222222222213</v>
      </c>
      <c r="Q50" s="9">
        <f t="shared" si="14"/>
        <v>7.0611111111111109</v>
      </c>
      <c r="R50" s="9">
        <f>8/9*R51 + $C$47/2</f>
        <v>7.1611111111111105</v>
      </c>
      <c r="Y50"/>
    </row>
    <row r="51" spans="1:25" x14ac:dyDescent="0.25">
      <c r="B51" s="9" t="s">
        <v>34</v>
      </c>
      <c r="C51" s="9">
        <v>1</v>
      </c>
      <c r="D51" s="9">
        <v>1</v>
      </c>
      <c r="E51" s="9">
        <v>2</v>
      </c>
      <c r="F51" s="9">
        <v>2</v>
      </c>
      <c r="G51" s="9">
        <v>3</v>
      </c>
      <c r="H51" s="9">
        <v>3</v>
      </c>
      <c r="I51" s="9">
        <v>4</v>
      </c>
      <c r="J51" s="9">
        <v>4</v>
      </c>
      <c r="K51" s="9">
        <v>5</v>
      </c>
      <c r="L51" s="9">
        <v>5</v>
      </c>
      <c r="M51" s="9">
        <v>6</v>
      </c>
      <c r="N51" s="9">
        <v>6</v>
      </c>
      <c r="O51" s="9">
        <v>7</v>
      </c>
      <c r="P51" s="9">
        <v>7</v>
      </c>
      <c r="Q51" s="9">
        <v>8</v>
      </c>
      <c r="R51" s="9">
        <v>8</v>
      </c>
      <c r="Y51"/>
    </row>
    <row r="52" spans="1:25" x14ac:dyDescent="0.25">
      <c r="B52" s="15" t="s">
        <v>35</v>
      </c>
      <c r="C52" s="9">
        <f>C50*C50 - 7*C50 + 6</f>
        <v>0.83151234567901255</v>
      </c>
      <c r="D52" s="9">
        <f t="shared" ref="D52:R52" si="15">D50*D50 - 7*D50 + 6</f>
        <v>0.30929012345679041</v>
      </c>
      <c r="E52" s="9">
        <f t="shared" si="15"/>
        <v>-3.1092283950617272</v>
      </c>
      <c r="F52" s="9">
        <f t="shared" si="15"/>
        <v>-3.4536728395061722</v>
      </c>
      <c r="G52" s="9">
        <f t="shared" si="15"/>
        <v>-5.4697222222222219</v>
      </c>
      <c r="H52" s="9">
        <f t="shared" si="15"/>
        <v>-5.6363888888888898</v>
      </c>
      <c r="I52" s="8">
        <f t="shared" si="15"/>
        <v>-6.249969135802468</v>
      </c>
      <c r="J52" s="9">
        <f t="shared" si="15"/>
        <v>-6.2388580246913588</v>
      </c>
      <c r="K52" s="9">
        <f t="shared" si="15"/>
        <v>-5.4499691358024691</v>
      </c>
      <c r="L52" s="9">
        <f t="shared" si="15"/>
        <v>-5.2610802469135827</v>
      </c>
      <c r="M52" s="9">
        <f t="shared" si="15"/>
        <v>-3.0697222222222251</v>
      </c>
      <c r="N52" s="9">
        <f t="shared" si="15"/>
        <v>-2.703055555555558</v>
      </c>
      <c r="O52" s="9">
        <f t="shared" si="15"/>
        <v>0.89077160493827279</v>
      </c>
      <c r="P52" s="9">
        <f t="shared" si="15"/>
        <v>1.43521604938271</v>
      </c>
      <c r="Q52" s="9">
        <f t="shared" si="15"/>
        <v>6.4315123456790104</v>
      </c>
      <c r="R52" s="9">
        <f t="shared" si="15"/>
        <v>7.1537345679012319</v>
      </c>
    </row>
    <row r="54" spans="1:25" x14ac:dyDescent="0.25">
      <c r="B54" s="45" t="s">
        <v>39</v>
      </c>
      <c r="C54" s="45"/>
      <c r="D54" s="45"/>
      <c r="E54" s="45"/>
      <c r="F54" s="45"/>
      <c r="G54" s="45"/>
      <c r="H54" s="45"/>
    </row>
    <row r="56" spans="1:25" x14ac:dyDescent="0.25">
      <c r="B56" s="44" t="s">
        <v>36</v>
      </c>
      <c r="C56" s="44"/>
      <c r="D56" s="44"/>
      <c r="E56" s="44"/>
      <c r="F56" s="44"/>
      <c r="G56" s="44"/>
    </row>
    <row r="59" spans="1:25" x14ac:dyDescent="0.25">
      <c r="A59" s="1" t="s">
        <v>37</v>
      </c>
      <c r="B59" s="5" t="s">
        <v>30</v>
      </c>
      <c r="C59" s="7">
        <v>17</v>
      </c>
    </row>
    <row r="61" spans="1:25" x14ac:dyDescent="0.25">
      <c r="B61" s="9" t="s">
        <v>32</v>
      </c>
      <c r="C61" s="9">
        <v>1</v>
      </c>
      <c r="D61" s="9">
        <v>2</v>
      </c>
      <c r="E61" s="9">
        <v>3</v>
      </c>
      <c r="F61" s="9">
        <v>4</v>
      </c>
      <c r="G61" s="9">
        <v>5</v>
      </c>
      <c r="H61" s="9">
        <v>6</v>
      </c>
      <c r="I61" s="9">
        <v>7</v>
      </c>
      <c r="J61" s="9">
        <v>8</v>
      </c>
      <c r="K61" s="9">
        <v>9</v>
      </c>
      <c r="L61" s="9">
        <v>10</v>
      </c>
      <c r="M61" s="9">
        <v>11</v>
      </c>
      <c r="N61" s="9">
        <v>12</v>
      </c>
      <c r="O61" s="9">
        <v>13</v>
      </c>
      <c r="P61" s="9">
        <v>14</v>
      </c>
      <c r="Q61" s="9">
        <v>15</v>
      </c>
      <c r="R61" s="9">
        <v>16</v>
      </c>
    </row>
    <row r="62" spans="1:25" x14ac:dyDescent="0.25">
      <c r="B62" s="9" t="s">
        <v>33</v>
      </c>
      <c r="C62" s="15">
        <f>4/9 * C63</f>
        <v>0.44444444444444442</v>
      </c>
      <c r="D62" s="15">
        <f t="shared" ref="D62:R62" si="16">4/9 * D63</f>
        <v>0.88888888888888884</v>
      </c>
      <c r="E62" s="15">
        <f t="shared" si="16"/>
        <v>1.3333333333333333</v>
      </c>
      <c r="F62" s="15">
        <f t="shared" si="16"/>
        <v>1.7777777777777777</v>
      </c>
      <c r="G62" s="15">
        <f t="shared" si="16"/>
        <v>2.2222222222222223</v>
      </c>
      <c r="H62" s="15">
        <f t="shared" si="16"/>
        <v>2.6666666666666665</v>
      </c>
      <c r="I62" s="15">
        <f t="shared" si="16"/>
        <v>3.1111111111111107</v>
      </c>
      <c r="J62" s="15">
        <f t="shared" si="16"/>
        <v>3.5555555555555554</v>
      </c>
      <c r="K62" s="15">
        <f t="shared" si="16"/>
        <v>4</v>
      </c>
      <c r="L62" s="15">
        <f t="shared" si="16"/>
        <v>4.4444444444444446</v>
      </c>
      <c r="M62" s="15">
        <f t="shared" si="16"/>
        <v>4.8888888888888884</v>
      </c>
      <c r="N62" s="15">
        <f t="shared" si="16"/>
        <v>5.333333333333333</v>
      </c>
      <c r="O62" s="15">
        <f t="shared" si="16"/>
        <v>5.7777777777777777</v>
      </c>
      <c r="P62" s="15">
        <f t="shared" si="16"/>
        <v>6.2222222222222214</v>
      </c>
      <c r="Q62" s="15">
        <f t="shared" si="16"/>
        <v>6.6666666666666661</v>
      </c>
      <c r="R62" s="15">
        <f t="shared" si="16"/>
        <v>7.1111111111111107</v>
      </c>
    </row>
    <row r="63" spans="1:25" x14ac:dyDescent="0.25">
      <c r="B63" s="9" t="s">
        <v>38</v>
      </c>
      <c r="C63" s="9">
        <v>1</v>
      </c>
      <c r="D63" s="9">
        <v>2</v>
      </c>
      <c r="E63" s="9">
        <v>3</v>
      </c>
      <c r="F63" s="9">
        <v>4</v>
      </c>
      <c r="G63" s="9">
        <v>5</v>
      </c>
      <c r="H63" s="9">
        <v>6</v>
      </c>
      <c r="I63" s="9">
        <v>7</v>
      </c>
      <c r="J63" s="9">
        <v>8</v>
      </c>
      <c r="K63" s="9">
        <v>9</v>
      </c>
      <c r="L63" s="9">
        <v>10</v>
      </c>
      <c r="M63" s="9">
        <v>11</v>
      </c>
      <c r="N63" s="9">
        <v>12</v>
      </c>
      <c r="O63" s="9">
        <v>13</v>
      </c>
      <c r="P63" s="9">
        <v>14</v>
      </c>
      <c r="Q63" s="9">
        <v>15</v>
      </c>
      <c r="R63" s="9">
        <v>16</v>
      </c>
    </row>
    <row r="64" spans="1:25" x14ac:dyDescent="0.25">
      <c r="B64" s="15" t="s">
        <v>35</v>
      </c>
      <c r="C64" s="15">
        <f>C62*C62 - 7*C62 + 6</f>
        <v>3.0864197530864201</v>
      </c>
      <c r="D64" s="15">
        <f t="shared" ref="D64:R64" si="17">D62*D62 - 7*D62 + 6</f>
        <v>0.56790123456790198</v>
      </c>
      <c r="E64" s="15">
        <f t="shared" si="17"/>
        <v>-1.5555555555555545</v>
      </c>
      <c r="F64" s="15">
        <f t="shared" si="17"/>
        <v>-3.2839506172839492</v>
      </c>
      <c r="G64" s="15">
        <f t="shared" si="17"/>
        <v>-4.6172839506172849</v>
      </c>
      <c r="H64" s="15">
        <f t="shared" si="17"/>
        <v>-5.5555555555555536</v>
      </c>
      <c r="I64" s="15">
        <f t="shared" si="17"/>
        <v>-6.0987654320987659</v>
      </c>
      <c r="J64" s="8">
        <f t="shared" si="17"/>
        <v>-6.2469135802469111</v>
      </c>
      <c r="K64" s="15">
        <f t="shared" si="17"/>
        <v>-6</v>
      </c>
      <c r="L64" s="15">
        <f t="shared" si="17"/>
        <v>-5.3580246913580254</v>
      </c>
      <c r="M64" s="15">
        <f t="shared" si="17"/>
        <v>-4.3209876543209909</v>
      </c>
      <c r="N64" s="15">
        <f t="shared" si="17"/>
        <v>-2.8888888888888857</v>
      </c>
      <c r="O64" s="15">
        <f t="shared" si="17"/>
        <v>-1.0617283950617278</v>
      </c>
      <c r="P64" s="15">
        <f t="shared" si="17"/>
        <v>1.1604938271604865</v>
      </c>
      <c r="Q64" s="15">
        <f t="shared" si="17"/>
        <v>3.7777777777777715</v>
      </c>
      <c r="R64" s="15">
        <f t="shared" si="17"/>
        <v>6.790123456790127</v>
      </c>
    </row>
    <row r="67" spans="1:23" x14ac:dyDescent="0.25">
      <c r="B67" s="45" t="s">
        <v>40</v>
      </c>
      <c r="C67" s="45"/>
      <c r="D67" s="45"/>
      <c r="E67" s="45"/>
      <c r="F67" s="45"/>
      <c r="G67" s="45"/>
      <c r="H67" s="45"/>
    </row>
    <row r="69" spans="1:23" x14ac:dyDescent="0.25">
      <c r="B69" s="44" t="s">
        <v>41</v>
      </c>
      <c r="C69" s="44"/>
      <c r="D69" s="44"/>
      <c r="E69" s="44"/>
      <c r="F69" s="44"/>
      <c r="G69" s="44"/>
    </row>
    <row r="72" spans="1:23" s="46" customFormat="1" x14ac:dyDescent="0.25">
      <c r="A72" s="46" t="s">
        <v>42</v>
      </c>
    </row>
    <row r="74" spans="1:23" x14ac:dyDescent="0.25">
      <c r="B74" s="5" t="s">
        <v>30</v>
      </c>
      <c r="C74" s="7">
        <v>16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</row>
    <row r="75" spans="1:23" x14ac:dyDescent="0.25">
      <c r="B75" s="5" t="s">
        <v>31</v>
      </c>
      <c r="C75" s="7">
        <v>2E-3</v>
      </c>
      <c r="E75"/>
      <c r="F75" s="12" t="s">
        <v>32</v>
      </c>
      <c r="G75" s="12" t="s">
        <v>4</v>
      </c>
      <c r="H75" s="12" t="s">
        <v>5</v>
      </c>
      <c r="I75" s="12" t="s">
        <v>6</v>
      </c>
      <c r="J75" s="12" t="s">
        <v>18</v>
      </c>
      <c r="K75" s="12" t="s">
        <v>8</v>
      </c>
      <c r="L75" s="12" t="s">
        <v>9</v>
      </c>
      <c r="M75" s="12" t="s">
        <v>10</v>
      </c>
      <c r="N75"/>
      <c r="O75"/>
      <c r="P75"/>
      <c r="Q75"/>
      <c r="R75"/>
      <c r="S75"/>
      <c r="T75"/>
      <c r="U75"/>
      <c r="V75"/>
      <c r="W75"/>
    </row>
    <row r="76" spans="1:23" x14ac:dyDescent="0.25">
      <c r="E76"/>
      <c r="F76" s="11">
        <v>0</v>
      </c>
      <c r="G76" s="11" t="s">
        <v>12</v>
      </c>
      <c r="H76" s="11" t="s">
        <v>12</v>
      </c>
      <c r="I76" s="11" t="s">
        <v>12</v>
      </c>
      <c r="J76" s="11" t="s">
        <v>12</v>
      </c>
      <c r="K76" s="11" t="s">
        <v>12</v>
      </c>
      <c r="L76" s="11">
        <v>0</v>
      </c>
      <c r="M76" s="11">
        <v>8</v>
      </c>
      <c r="N76"/>
      <c r="O76"/>
      <c r="T76"/>
      <c r="U76"/>
      <c r="V76"/>
      <c r="W76"/>
    </row>
    <row r="77" spans="1:23" x14ac:dyDescent="0.25">
      <c r="E77"/>
      <c r="F77" s="11">
        <v>1</v>
      </c>
      <c r="G77" s="16">
        <f>$L76+H99/H97*($M76-$L76)-POWER(-1,$C$74-$F77+1)/H97*$C$75</f>
        <v>3.0557282404508452</v>
      </c>
      <c r="H77" s="11">
        <f>$L76+H98/H97*($M76-$L76)+POWER(-1,$C$74-$F77+1)/H97*$C$75</f>
        <v>4.9442717595491548</v>
      </c>
      <c r="I77" s="11">
        <f>G77*G77 - 7*G77 + 6</f>
        <v>-6.0526226036670963</v>
      </c>
      <c r="J77" s="11" t="str">
        <f>IF(I77&gt;K77, "&gt;", "&lt;")</f>
        <v>&lt;</v>
      </c>
      <c r="K77" s="11">
        <f>H77*H77 - 7*H77 + 6</f>
        <v>-4.1640790845687903</v>
      </c>
      <c r="L77" s="16">
        <f>IF(J77="&gt;",G77,L76)</f>
        <v>0</v>
      </c>
      <c r="M77" s="11">
        <f>IF(J77="&lt;",H77,M76)</f>
        <v>4.9442717595491548</v>
      </c>
      <c r="N77"/>
      <c r="O77"/>
      <c r="T77"/>
      <c r="U77"/>
      <c r="V77"/>
      <c r="W77"/>
    </row>
    <row r="78" spans="1:23" x14ac:dyDescent="0.25">
      <c r="E78"/>
      <c r="F78" s="11">
        <v>2</v>
      </c>
      <c r="G78" s="16">
        <f t="shared" ref="G78" si="18">IF(J77="&gt;",H77,$L77+H100/H98*($M77-$L77)-POWER(-1,$C$74-$F78+1)/H98*$C$75)</f>
        <v>1.8885435190983093</v>
      </c>
      <c r="H78" s="11">
        <f>IF(J77="&lt;",G77,$L77+H99/H98*($M77-$L77)+POWER(-1,$C$74-$F78+1)/H98*$C$75)</f>
        <v>3.0557282404508452</v>
      </c>
      <c r="I78" s="11">
        <f t="shared" ref="I78:I90" si="19">G78*G78 - 7*G78 + 6</f>
        <v>-3.6532080101599398</v>
      </c>
      <c r="J78" s="11" t="str">
        <f t="shared" ref="J78:J91" si="20">IF(I78&gt;K78, "&gt;", "&lt;")</f>
        <v>&gt;</v>
      </c>
      <c r="K78" s="11">
        <f t="shared" ref="K78:K91" si="21">H78*H78 - 7*H78 + 6</f>
        <v>-6.0526226036670963</v>
      </c>
      <c r="L78" s="16">
        <f t="shared" ref="L78:L91" si="22">IF(J78="&gt;",G78,L77)</f>
        <v>1.8885435190983093</v>
      </c>
      <c r="M78" s="11">
        <f t="shared" ref="M78:M91" si="23">IF(J78="&lt;",H78,M77)</f>
        <v>4.9442717595491548</v>
      </c>
      <c r="N78"/>
      <c r="O78"/>
      <c r="P78" s="45" t="s">
        <v>44</v>
      </c>
      <c r="Q78" s="45"/>
      <c r="R78" s="45"/>
      <c r="S78" s="45"/>
      <c r="T78" s="45"/>
      <c r="U78" s="45"/>
      <c r="V78" s="45"/>
      <c r="W78"/>
    </row>
    <row r="79" spans="1:23" x14ac:dyDescent="0.25">
      <c r="E79"/>
      <c r="F79" s="11">
        <v>3</v>
      </c>
      <c r="G79" s="16">
        <f t="shared" ref="G79:G88" si="24">IF(J78="&gt;",H78,$L78+H101/H99*($M78-$L78)-POWER(-1,$C$74-$F79+1)/H99*$C$75)</f>
        <v>3.0557282404508452</v>
      </c>
      <c r="H79" s="21">
        <f t="shared" ref="H79:H84" si="25">IF(J78="&lt;",G78,$L78+H100/H99*($M78-$L78)+POWER(-1,$C$74-$F79+1)/H99*$C$75)</f>
        <v>3.7770870381966186</v>
      </c>
      <c r="I79" s="11">
        <f t="shared" si="19"/>
        <v>-6.0526226036670963</v>
      </c>
      <c r="J79" s="11" t="str">
        <f t="shared" si="20"/>
        <v>&gt;</v>
      </c>
      <c r="K79" s="11">
        <f t="shared" si="21"/>
        <v>-6.1732227732634257</v>
      </c>
      <c r="L79" s="16">
        <f t="shared" si="22"/>
        <v>3.0557282404508452</v>
      </c>
      <c r="M79" s="11">
        <f t="shared" si="23"/>
        <v>4.9442717595491548</v>
      </c>
      <c r="N79"/>
      <c r="O79"/>
      <c r="P79"/>
      <c r="Q79"/>
      <c r="R79"/>
      <c r="S79"/>
      <c r="T79"/>
      <c r="U79"/>
      <c r="V79"/>
      <c r="W79"/>
    </row>
    <row r="80" spans="1:23" x14ac:dyDescent="0.25">
      <c r="E80"/>
      <c r="F80" s="11">
        <v>4</v>
      </c>
      <c r="G80" s="16">
        <f t="shared" si="24"/>
        <v>3.7770870381966186</v>
      </c>
      <c r="H80" s="21">
        <f t="shared" si="25"/>
        <v>4.2229129618033809</v>
      </c>
      <c r="I80" s="11">
        <f t="shared" si="19"/>
        <v>-6.1732227732634257</v>
      </c>
      <c r="J80" s="11" t="str">
        <f t="shared" si="20"/>
        <v>&lt;</v>
      </c>
      <c r="K80" s="11">
        <f t="shared" si="21"/>
        <v>-5.7273968496566638</v>
      </c>
      <c r="L80" s="16">
        <f t="shared" si="22"/>
        <v>3.0557282404508452</v>
      </c>
      <c r="M80" s="11">
        <f t="shared" si="23"/>
        <v>4.2229129618033809</v>
      </c>
      <c r="N80"/>
      <c r="O80"/>
      <c r="Q80" s="17"/>
      <c r="R80" s="17"/>
      <c r="S80" s="17"/>
      <c r="T80" s="17"/>
      <c r="U80" s="17"/>
      <c r="V80"/>
      <c r="W80"/>
    </row>
    <row r="81" spans="5:23" x14ac:dyDescent="0.25">
      <c r="E81"/>
      <c r="F81" s="11">
        <v>5</v>
      </c>
      <c r="G81" s="16">
        <f t="shared" si="24"/>
        <v>3.5015541640576076</v>
      </c>
      <c r="H81" s="21">
        <f t="shared" si="25"/>
        <v>3.7770870381966186</v>
      </c>
      <c r="I81" s="11">
        <f t="shared" si="19"/>
        <v>-6.2499975845740803</v>
      </c>
      <c r="J81" s="11" t="str">
        <f t="shared" si="20"/>
        <v>&lt;</v>
      </c>
      <c r="K81" s="11">
        <f t="shared" si="21"/>
        <v>-6.1732227732634257</v>
      </c>
      <c r="L81" s="16">
        <f t="shared" si="22"/>
        <v>3.0557282404508452</v>
      </c>
      <c r="M81" s="11">
        <f t="shared" si="23"/>
        <v>3.7770870381966186</v>
      </c>
      <c r="N81"/>
      <c r="O81"/>
      <c r="P81" s="48" t="s">
        <v>47</v>
      </c>
      <c r="Q81" s="48"/>
      <c r="R81" s="48"/>
      <c r="S81" s="48"/>
      <c r="T81"/>
      <c r="U81"/>
      <c r="V81"/>
      <c r="W81"/>
    </row>
    <row r="82" spans="5:23" x14ac:dyDescent="0.25">
      <c r="E82"/>
      <c r="F82" s="11">
        <v>6</v>
      </c>
      <c r="G82" s="16">
        <f t="shared" si="24"/>
        <v>3.3312611145898559</v>
      </c>
      <c r="H82" s="21">
        <f t="shared" si="25"/>
        <v>3.5015541640576076</v>
      </c>
      <c r="I82" s="11">
        <f t="shared" si="19"/>
        <v>-6.2215271885505405</v>
      </c>
      <c r="J82" s="11" t="str">
        <f t="shared" si="20"/>
        <v>&gt;</v>
      </c>
      <c r="K82" s="11">
        <f t="shared" si="21"/>
        <v>-6.2499975845740803</v>
      </c>
      <c r="L82" s="16">
        <f t="shared" si="22"/>
        <v>3.3312611145898559</v>
      </c>
      <c r="M82" s="11">
        <f t="shared" si="23"/>
        <v>3.7770870381966186</v>
      </c>
      <c r="N82"/>
      <c r="O82"/>
      <c r="P82" s="48" t="s">
        <v>46</v>
      </c>
      <c r="Q82" s="48"/>
      <c r="R82" s="48"/>
      <c r="S82" s="48"/>
      <c r="T82"/>
      <c r="U82"/>
      <c r="V82"/>
      <c r="W82"/>
    </row>
    <row r="83" spans="5:23" x14ac:dyDescent="0.25">
      <c r="E83"/>
      <c r="F83" s="11">
        <v>7</v>
      </c>
      <c r="G83" s="16">
        <f t="shared" si="24"/>
        <v>3.5015541640576076</v>
      </c>
      <c r="H83" s="21">
        <f t="shared" si="25"/>
        <v>3.6067939887288665</v>
      </c>
      <c r="I83" s="11">
        <f t="shared" si="19"/>
        <v>-6.2499975845740803</v>
      </c>
      <c r="J83" s="11" t="str">
        <f t="shared" si="20"/>
        <v>&lt;</v>
      </c>
      <c r="K83" s="11">
        <f t="shared" si="21"/>
        <v>-6.2385950439713778</v>
      </c>
      <c r="L83" s="16">
        <f t="shared" si="22"/>
        <v>3.3312611145898559</v>
      </c>
      <c r="M83" s="11">
        <f t="shared" si="23"/>
        <v>3.6067939887288665</v>
      </c>
      <c r="N83"/>
      <c r="O83"/>
      <c r="P83" s="48" t="s">
        <v>45</v>
      </c>
      <c r="Q83" s="48"/>
      <c r="R83" s="48"/>
      <c r="S83" s="48"/>
      <c r="T83"/>
      <c r="U83"/>
      <c r="V83"/>
      <c r="W83"/>
    </row>
    <row r="84" spans="5:23" x14ac:dyDescent="0.25">
      <c r="E84"/>
      <c r="F84" s="11">
        <v>8</v>
      </c>
      <c r="G84" s="16">
        <f t="shared" si="24"/>
        <v>3.4365009392611148</v>
      </c>
      <c r="H84" s="21">
        <f t="shared" si="25"/>
        <v>3.5015541640576076</v>
      </c>
      <c r="I84" s="11">
        <f t="shared" si="19"/>
        <v>-6.2459678692852787</v>
      </c>
      <c r="J84" s="11" t="str">
        <f t="shared" si="20"/>
        <v>&gt;</v>
      </c>
      <c r="K84" s="11">
        <f t="shared" si="21"/>
        <v>-6.2499975845740803</v>
      </c>
      <c r="L84" s="16">
        <f>IF(J84="&gt;",G84,L83)</f>
        <v>3.4365009392611148</v>
      </c>
      <c r="M84" s="11">
        <f t="shared" si="23"/>
        <v>3.6067939887288665</v>
      </c>
      <c r="N84"/>
      <c r="O84"/>
      <c r="P84"/>
      <c r="Q84"/>
      <c r="R84"/>
      <c r="S84"/>
      <c r="T84"/>
      <c r="U84"/>
      <c r="V84"/>
      <c r="W84"/>
    </row>
    <row r="85" spans="5:23" x14ac:dyDescent="0.25">
      <c r="E85"/>
      <c r="F85" s="11">
        <v>9</v>
      </c>
      <c r="G85" s="16">
        <f t="shared" si="24"/>
        <v>3.5015541640576076</v>
      </c>
      <c r="H85" s="21">
        <f t="shared" ref="H85:H91" si="26">IF(J84="&lt;",G84,$L84+H106/H105*($M84-$L84)+POWER(-1,$C$74-$F85+1)/H105*$C$75)</f>
        <v>3.5417407639323732</v>
      </c>
      <c r="I85" s="11">
        <f t="shared" si="19"/>
        <v>-6.2499975845740803</v>
      </c>
      <c r="J85" s="11" t="str">
        <f t="shared" si="20"/>
        <v>&lt;</v>
      </c>
      <c r="K85" s="11">
        <f t="shared" si="21"/>
        <v>-6.2482577086263404</v>
      </c>
      <c r="L85" s="16">
        <f t="shared" si="22"/>
        <v>3.4365009392611148</v>
      </c>
      <c r="M85" s="11">
        <f t="shared" si="23"/>
        <v>3.5417407639323732</v>
      </c>
      <c r="N85"/>
      <c r="O85"/>
      <c r="P85"/>
      <c r="Q85"/>
      <c r="R85"/>
      <c r="S85"/>
      <c r="T85"/>
      <c r="U85"/>
      <c r="V85"/>
      <c r="W85"/>
    </row>
    <row r="86" spans="5:23" x14ac:dyDescent="0.25">
      <c r="E86"/>
      <c r="F86" s="11">
        <v>10</v>
      </c>
      <c r="G86" s="16">
        <f t="shared" si="24"/>
        <v>3.47668753913588</v>
      </c>
      <c r="H86" s="21">
        <f t="shared" si="26"/>
        <v>3.5015541640576076</v>
      </c>
      <c r="I86" s="11">
        <f t="shared" si="19"/>
        <v>-6.2494565291684587</v>
      </c>
      <c r="J86" s="11" t="str">
        <f t="shared" si="20"/>
        <v>&gt;</v>
      </c>
      <c r="K86" s="11">
        <f t="shared" si="21"/>
        <v>-6.2499975845740803</v>
      </c>
      <c r="L86" s="16">
        <f t="shared" si="22"/>
        <v>3.47668753913588</v>
      </c>
      <c r="M86" s="11">
        <f t="shared" si="23"/>
        <v>3.5417407639323732</v>
      </c>
      <c r="N86"/>
      <c r="O86"/>
      <c r="P86" s="45" t="s">
        <v>48</v>
      </c>
      <c r="Q86" s="45"/>
      <c r="R86" s="45"/>
      <c r="S86" s="45"/>
      <c r="T86" s="45"/>
      <c r="U86" s="45"/>
      <c r="V86"/>
      <c r="W86"/>
    </row>
    <row r="87" spans="5:23" x14ac:dyDescent="0.25">
      <c r="E87"/>
      <c r="F87" s="11">
        <v>11</v>
      </c>
      <c r="G87" s="16">
        <f t="shared" si="24"/>
        <v>3.5015541640576076</v>
      </c>
      <c r="H87" s="21">
        <f t="shared" si="26"/>
        <v>3.5168741390106453</v>
      </c>
      <c r="I87" s="11">
        <f t="shared" si="19"/>
        <v>-6.2499975845740803</v>
      </c>
      <c r="J87" s="11" t="str">
        <f t="shared" si="20"/>
        <v>&lt;</v>
      </c>
      <c r="K87" s="11">
        <f t="shared" si="21"/>
        <v>-6.2497152634326483</v>
      </c>
      <c r="L87" s="11">
        <f t="shared" si="22"/>
        <v>3.47668753913588</v>
      </c>
      <c r="M87" s="11">
        <f t="shared" si="23"/>
        <v>3.5168741390106453</v>
      </c>
      <c r="N87"/>
      <c r="O87"/>
      <c r="P87"/>
      <c r="Q87"/>
      <c r="R87"/>
      <c r="S87"/>
      <c r="T87"/>
      <c r="U87"/>
      <c r="V87"/>
      <c r="W87"/>
    </row>
    <row r="88" spans="5:23" x14ac:dyDescent="0.25">
      <c r="E88"/>
      <c r="F88" s="11">
        <v>12</v>
      </c>
      <c r="G88" s="16">
        <f t="shared" si="24"/>
        <v>3.4920075140889169</v>
      </c>
      <c r="H88" s="21">
        <f t="shared" si="26"/>
        <v>3.5015541640576076</v>
      </c>
      <c r="I88" s="11">
        <f t="shared" si="19"/>
        <v>-6.2499361201689592</v>
      </c>
      <c r="J88" s="11" t="str">
        <f t="shared" si="20"/>
        <v>&gt;</v>
      </c>
      <c r="K88" s="11">
        <f t="shared" si="21"/>
        <v>-6.2499975845740803</v>
      </c>
      <c r="L88" s="11">
        <f t="shared" si="22"/>
        <v>3.4920075140889169</v>
      </c>
      <c r="M88" s="11">
        <f t="shared" si="23"/>
        <v>3.5168741390106453</v>
      </c>
      <c r="N88"/>
      <c r="O88"/>
      <c r="P88"/>
      <c r="Q88"/>
      <c r="R88"/>
      <c r="S88"/>
      <c r="T88"/>
      <c r="U88"/>
      <c r="V88"/>
      <c r="W88"/>
    </row>
    <row r="89" spans="5:23" x14ac:dyDescent="0.25">
      <c r="E89"/>
      <c r="F89" s="11">
        <v>13</v>
      </c>
      <c r="G89" s="16">
        <f>IF(J88="&gt;",H88,$L88+H111/H109*($M88-$L88)-POWER(-1,$C$74-$F89+1)/H109*$C$75)</f>
        <v>3.5015541640576076</v>
      </c>
      <c r="H89" s="21">
        <f>IF(J88="&lt;",G88,$L88+H110/H109*($M88-$L88)+POWER(-1,$C$74-$F89+1)/H109*$C$75)</f>
        <v>3.5073274890419537</v>
      </c>
      <c r="I89" s="11">
        <f t="shared" si="19"/>
        <v>-6.2499975845740803</v>
      </c>
      <c r="J89" s="11" t="str">
        <f t="shared" si="20"/>
        <v>&lt;</v>
      </c>
      <c r="K89" s="11">
        <f t="shared" si="21"/>
        <v>-6.249946307904338</v>
      </c>
      <c r="L89" s="11">
        <f t="shared" si="22"/>
        <v>3.4920075140889169</v>
      </c>
      <c r="M89" s="11">
        <f t="shared" si="23"/>
        <v>3.5073274890419537</v>
      </c>
      <c r="N89"/>
      <c r="O89"/>
      <c r="P89"/>
      <c r="Q89"/>
      <c r="R89"/>
      <c r="S89"/>
      <c r="T89"/>
      <c r="U89"/>
      <c r="V89"/>
      <c r="W89"/>
    </row>
    <row r="90" spans="5:23" x14ac:dyDescent="0.25">
      <c r="E90"/>
      <c r="F90" s="11">
        <v>14</v>
      </c>
      <c r="G90" s="22">
        <f>IF(J89="&gt;",H89,$L89+H112/H110*($M89-$L89)-POWER(-1,$C$74-$F90+1)/H110*$C$75)</f>
        <v>3.4977808390732625</v>
      </c>
      <c r="H90" s="24">
        <f t="shared" si="26"/>
        <v>3.5015541640576076</v>
      </c>
      <c r="I90" s="11">
        <f t="shared" si="19"/>
        <v>-6.249995075324783</v>
      </c>
      <c r="J90" s="11" t="str">
        <f t="shared" si="20"/>
        <v>&gt;</v>
      </c>
      <c r="K90" s="11">
        <f t="shared" si="21"/>
        <v>-6.2499975845740803</v>
      </c>
      <c r="L90" s="11">
        <f t="shared" si="22"/>
        <v>3.4977808390732625</v>
      </c>
      <c r="M90" s="11">
        <f t="shared" si="23"/>
        <v>3.5073274890419537</v>
      </c>
      <c r="N90"/>
      <c r="O90"/>
      <c r="P90"/>
      <c r="Q90"/>
      <c r="R90"/>
      <c r="S90"/>
      <c r="T90"/>
      <c r="U90"/>
      <c r="V90"/>
      <c r="W90"/>
    </row>
    <row r="91" spans="5:23" x14ac:dyDescent="0.25">
      <c r="E91"/>
      <c r="F91" s="11">
        <v>15</v>
      </c>
      <c r="G91" s="23">
        <f>IF(J90="&gt;",H90,$L90+H113/H111*($M90-$L90)-POWER(-1,$C$74-$F91+1)/H111*$C$75)</f>
        <v>3.5015541640576076</v>
      </c>
      <c r="H91" s="20">
        <f t="shared" si="26"/>
        <v>3.5035541640576082</v>
      </c>
      <c r="I91" s="11">
        <f>G91*G91 - 7*G91 + 6</f>
        <v>-6.2499975845740803</v>
      </c>
      <c r="J91" s="11" t="str">
        <f t="shared" si="20"/>
        <v>&lt;</v>
      </c>
      <c r="K91" s="11">
        <f t="shared" si="21"/>
        <v>-6.2499873679178517</v>
      </c>
      <c r="L91" s="11">
        <f t="shared" si="22"/>
        <v>3.4977808390732625</v>
      </c>
      <c r="M91" s="11">
        <f t="shared" si="23"/>
        <v>3.5035541640576082</v>
      </c>
      <c r="N91"/>
      <c r="O91"/>
      <c r="P91"/>
      <c r="Q91"/>
      <c r="R91"/>
      <c r="S91"/>
      <c r="T91"/>
      <c r="U91"/>
      <c r="V91"/>
      <c r="W91"/>
    </row>
    <row r="92" spans="5:23" x14ac:dyDescent="0.25"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</row>
    <row r="93" spans="5:23" x14ac:dyDescent="0.25"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</row>
    <row r="94" spans="5:23" x14ac:dyDescent="0.25"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</row>
    <row r="95" spans="5:23" x14ac:dyDescent="0.25">
      <c r="E95"/>
      <c r="F95"/>
      <c r="G95" s="47" t="s">
        <v>43</v>
      </c>
      <c r="H95" s="47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 spans="5:23" x14ac:dyDescent="0.25">
      <c r="E96"/>
      <c r="F96"/>
      <c r="G96" s="19">
        <v>17</v>
      </c>
      <c r="H96" s="19">
        <f t="shared" ref="H96:H110" si="27">H97+H98</f>
        <v>2584</v>
      </c>
      <c r="I96"/>
      <c r="L96"/>
      <c r="M96"/>
      <c r="N96"/>
      <c r="O96"/>
      <c r="P96"/>
      <c r="Q96"/>
      <c r="R96"/>
      <c r="S96"/>
      <c r="T96"/>
      <c r="U96"/>
      <c r="V96"/>
      <c r="W96"/>
    </row>
    <row r="97" spans="5:23" x14ac:dyDescent="0.25">
      <c r="E97"/>
      <c r="F97"/>
      <c r="G97" s="19">
        <v>16</v>
      </c>
      <c r="H97" s="19">
        <f t="shared" si="27"/>
        <v>1597</v>
      </c>
      <c r="I97"/>
      <c r="L97"/>
      <c r="M97"/>
      <c r="N97"/>
      <c r="O97"/>
      <c r="P97"/>
      <c r="Q97"/>
      <c r="R97"/>
      <c r="S97"/>
      <c r="T97"/>
      <c r="U97"/>
      <c r="V97"/>
      <c r="W97"/>
    </row>
    <row r="98" spans="5:23" x14ac:dyDescent="0.25">
      <c r="E98"/>
      <c r="F98"/>
      <c r="G98" s="19">
        <v>15</v>
      </c>
      <c r="H98" s="19">
        <f t="shared" si="27"/>
        <v>987</v>
      </c>
      <c r="I98"/>
      <c r="L98"/>
      <c r="M98"/>
      <c r="N98"/>
      <c r="O98"/>
      <c r="P98"/>
      <c r="Q98"/>
      <c r="R98"/>
      <c r="S98"/>
      <c r="T98"/>
      <c r="U98"/>
      <c r="V98"/>
      <c r="W98"/>
    </row>
    <row r="99" spans="5:23" x14ac:dyDescent="0.25">
      <c r="E99"/>
      <c r="F99"/>
      <c r="G99" s="19">
        <v>14</v>
      </c>
      <c r="H99" s="19">
        <f t="shared" si="27"/>
        <v>610</v>
      </c>
      <c r="I99"/>
      <c r="L99"/>
      <c r="M99"/>
      <c r="N99"/>
      <c r="O99"/>
      <c r="P99"/>
      <c r="Q99"/>
      <c r="R99"/>
      <c r="S99"/>
      <c r="T99"/>
      <c r="U99"/>
      <c r="V99"/>
      <c r="W99"/>
    </row>
    <row r="100" spans="5:23" x14ac:dyDescent="0.25">
      <c r="E100"/>
      <c r="F100"/>
      <c r="G100" s="19">
        <v>13</v>
      </c>
      <c r="H100" s="19">
        <f t="shared" si="27"/>
        <v>377</v>
      </c>
      <c r="I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5:23" x14ac:dyDescent="0.25">
      <c r="E101"/>
      <c r="F101"/>
      <c r="G101" s="19">
        <v>12</v>
      </c>
      <c r="H101" s="19">
        <f t="shared" si="27"/>
        <v>233</v>
      </c>
      <c r="I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5:23" x14ac:dyDescent="0.25">
      <c r="E102"/>
      <c r="F102"/>
      <c r="G102" s="19">
        <v>11</v>
      </c>
      <c r="H102" s="19">
        <f t="shared" si="27"/>
        <v>144</v>
      </c>
      <c r="I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5:23" x14ac:dyDescent="0.25">
      <c r="E103"/>
      <c r="F103"/>
      <c r="G103" s="19">
        <v>10</v>
      </c>
      <c r="H103" s="19">
        <f t="shared" si="27"/>
        <v>89</v>
      </c>
      <c r="I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5:23" x14ac:dyDescent="0.25">
      <c r="E104"/>
      <c r="F104"/>
      <c r="G104" s="19">
        <v>9</v>
      </c>
      <c r="H104" s="19">
        <f t="shared" si="27"/>
        <v>55</v>
      </c>
      <c r="I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5:23" x14ac:dyDescent="0.25">
      <c r="E105"/>
      <c r="F105"/>
      <c r="G105" s="19">
        <v>8</v>
      </c>
      <c r="H105" s="19">
        <f t="shared" si="27"/>
        <v>34</v>
      </c>
      <c r="I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5:23" x14ac:dyDescent="0.25">
      <c r="E106"/>
      <c r="F106"/>
      <c r="G106" s="19">
        <v>7</v>
      </c>
      <c r="H106" s="19">
        <f t="shared" si="27"/>
        <v>21</v>
      </c>
      <c r="I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5:23" x14ac:dyDescent="0.25">
      <c r="E107"/>
      <c r="F107"/>
      <c r="G107" s="19">
        <v>6</v>
      </c>
      <c r="H107" s="19">
        <f t="shared" si="27"/>
        <v>13</v>
      </c>
      <c r="I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5:23" x14ac:dyDescent="0.25">
      <c r="E108"/>
      <c r="F108"/>
      <c r="G108" s="19">
        <v>5</v>
      </c>
      <c r="H108" s="19">
        <f t="shared" si="27"/>
        <v>8</v>
      </c>
      <c r="I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5:23" x14ac:dyDescent="0.25">
      <c r="E109"/>
      <c r="F109"/>
      <c r="G109" s="19">
        <v>4</v>
      </c>
      <c r="H109" s="19">
        <f t="shared" si="27"/>
        <v>5</v>
      </c>
      <c r="I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5:23" x14ac:dyDescent="0.25">
      <c r="E110"/>
      <c r="F110"/>
      <c r="G110" s="19">
        <v>3</v>
      </c>
      <c r="H110" s="19">
        <f t="shared" si="27"/>
        <v>3</v>
      </c>
      <c r="I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5:23" x14ac:dyDescent="0.25">
      <c r="E111"/>
      <c r="F111"/>
      <c r="G111" s="19">
        <v>2</v>
      </c>
      <c r="H111" s="19">
        <f>H112+H113</f>
        <v>2</v>
      </c>
      <c r="I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5:23" x14ac:dyDescent="0.25">
      <c r="E112"/>
      <c r="F112"/>
      <c r="G112" s="19">
        <v>1</v>
      </c>
      <c r="H112" s="19">
        <v>1</v>
      </c>
      <c r="I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5:23" x14ac:dyDescent="0.25">
      <c r="E113"/>
      <c r="F113"/>
      <c r="G113" s="19">
        <v>0</v>
      </c>
      <c r="H113" s="19">
        <v>1</v>
      </c>
      <c r="I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5:23" x14ac:dyDescent="0.25">
      <c r="E114"/>
      <c r="F114"/>
      <c r="G114" s="18"/>
      <c r="H114" s="18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5:23" x14ac:dyDescent="0.25"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</sheetData>
  <mergeCells count="25">
    <mergeCell ref="L9:S9"/>
    <mergeCell ref="L7:S7"/>
    <mergeCell ref="A3:B3"/>
    <mergeCell ref="A1:XFD1"/>
    <mergeCell ref="A26:XFD26"/>
    <mergeCell ref="J31:P31"/>
    <mergeCell ref="J33:M33"/>
    <mergeCell ref="J34:M34"/>
    <mergeCell ref="J35:M35"/>
    <mergeCell ref="J36:M36"/>
    <mergeCell ref="J37:M37"/>
    <mergeCell ref="J38:M38"/>
    <mergeCell ref="J40:P40"/>
    <mergeCell ref="A44:XFD44"/>
    <mergeCell ref="B54:H54"/>
    <mergeCell ref="B56:G56"/>
    <mergeCell ref="B67:H67"/>
    <mergeCell ref="B69:G69"/>
    <mergeCell ref="A72:XFD72"/>
    <mergeCell ref="G95:H95"/>
    <mergeCell ref="P81:S81"/>
    <mergeCell ref="P82:S82"/>
    <mergeCell ref="P83:S83"/>
    <mergeCell ref="P86:U86"/>
    <mergeCell ref="P78:V7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1536E-A1D0-4E8B-BC2C-1B32967FE079}">
  <dimension ref="A8:K47"/>
  <sheetViews>
    <sheetView tabSelected="1" topLeftCell="A4" zoomScale="85" zoomScaleNormal="85" workbookViewId="0">
      <selection activeCell="M12" sqref="M12"/>
    </sheetView>
  </sheetViews>
  <sheetFormatPr defaultRowHeight="15" x14ac:dyDescent="0.25"/>
  <cols>
    <col min="2" max="4" width="9.140625" customWidth="1"/>
    <col min="6" max="7" width="9.140625" customWidth="1"/>
    <col min="9" max="10" width="9.140625" customWidth="1"/>
  </cols>
  <sheetData>
    <row r="8" spans="1:10" s="52" customFormat="1" x14ac:dyDescent="0.25">
      <c r="A8" s="52" t="s">
        <v>50</v>
      </c>
    </row>
    <row r="10" spans="1:10" x14ac:dyDescent="0.25">
      <c r="B10" s="25" t="s">
        <v>38</v>
      </c>
      <c r="C10" s="25" t="s">
        <v>51</v>
      </c>
      <c r="D10" s="25" t="s">
        <v>52</v>
      </c>
      <c r="E10" s="25" t="s">
        <v>53</v>
      </c>
      <c r="F10" s="25" t="s">
        <v>54</v>
      </c>
      <c r="G10" s="25" t="s">
        <v>55</v>
      </c>
      <c r="H10" s="25" t="s">
        <v>56</v>
      </c>
      <c r="I10" s="25" t="s">
        <v>57</v>
      </c>
      <c r="J10" s="25" t="s">
        <v>58</v>
      </c>
    </row>
    <row r="11" spans="1:10" x14ac:dyDescent="0.25">
      <c r="B11" s="26">
        <v>1</v>
      </c>
      <c r="C11" s="26">
        <v>3000</v>
      </c>
      <c r="D11" s="26">
        <v>4</v>
      </c>
      <c r="E11" s="26">
        <v>40</v>
      </c>
      <c r="F11" s="26">
        <v>4</v>
      </c>
      <c r="G11" s="37">
        <f>SQRT(2*D11*C11/E11)</f>
        <v>24.494897427831781</v>
      </c>
      <c r="H11" s="37">
        <f>D11*C11/G11</f>
        <v>489.89794855663564</v>
      </c>
      <c r="I11" s="37">
        <f>E11*G11</f>
        <v>979.79589711327117</v>
      </c>
      <c r="J11" s="37">
        <f>F11*G11</f>
        <v>97.979589711327122</v>
      </c>
    </row>
    <row r="12" spans="1:10" x14ac:dyDescent="0.25">
      <c r="B12" s="26">
        <v>2</v>
      </c>
      <c r="C12" s="26">
        <v>5000</v>
      </c>
      <c r="D12" s="26">
        <v>6</v>
      </c>
      <c r="E12" s="26">
        <v>6</v>
      </c>
      <c r="F12" s="26">
        <v>3</v>
      </c>
      <c r="G12" s="37">
        <f>SQRT(2*D12*C12/E12)</f>
        <v>100</v>
      </c>
      <c r="H12" s="37">
        <f t="shared" ref="H12:H15" si="0">D12*C12/G12</f>
        <v>300</v>
      </c>
      <c r="I12" s="37">
        <f t="shared" ref="I12:I15" si="1">E12*G12</f>
        <v>600</v>
      </c>
      <c r="J12" s="37">
        <f t="shared" ref="J12:J15" si="2">F12*G12</f>
        <v>300</v>
      </c>
    </row>
    <row r="13" spans="1:10" x14ac:dyDescent="0.25">
      <c r="B13" s="26">
        <v>3</v>
      </c>
      <c r="C13" s="26">
        <v>6400</v>
      </c>
      <c r="D13" s="26">
        <v>7</v>
      </c>
      <c r="E13" s="26">
        <v>14</v>
      </c>
      <c r="F13" s="26">
        <v>5</v>
      </c>
      <c r="G13" s="37">
        <f>SQRT(2*D13*C13/E13)</f>
        <v>80</v>
      </c>
      <c r="H13" s="37">
        <f t="shared" si="0"/>
        <v>560</v>
      </c>
      <c r="I13" s="37">
        <f t="shared" si="1"/>
        <v>1120</v>
      </c>
      <c r="J13" s="37">
        <f t="shared" si="2"/>
        <v>400</v>
      </c>
    </row>
    <row r="14" spans="1:10" x14ac:dyDescent="0.25">
      <c r="B14" s="26">
        <v>4</v>
      </c>
      <c r="C14" s="26">
        <v>1500</v>
      </c>
      <c r="D14" s="26">
        <v>6</v>
      </c>
      <c r="E14" s="26">
        <v>6</v>
      </c>
      <c r="F14" s="26">
        <v>40</v>
      </c>
      <c r="G14" s="37">
        <f>SQRT(2*D14*C14/E14)</f>
        <v>54.772255750516614</v>
      </c>
      <c r="H14" s="37">
        <f t="shared" si="0"/>
        <v>164.31676725154983</v>
      </c>
      <c r="I14" s="37">
        <f t="shared" si="1"/>
        <v>328.63353450309967</v>
      </c>
      <c r="J14" s="37">
        <f t="shared" si="2"/>
        <v>2190.8902300206646</v>
      </c>
    </row>
    <row r="15" spans="1:10" x14ac:dyDescent="0.25">
      <c r="B15" s="27">
        <v>5</v>
      </c>
      <c r="C15" s="27">
        <v>80</v>
      </c>
      <c r="D15" s="27">
        <v>4</v>
      </c>
      <c r="E15" s="27">
        <v>16</v>
      </c>
      <c r="F15" s="27">
        <v>20</v>
      </c>
      <c r="G15" s="38">
        <f>SQRT(2*D15*C15/E15)</f>
        <v>6.324555320336759</v>
      </c>
      <c r="H15" s="38">
        <f t="shared" si="0"/>
        <v>50.596442562694065</v>
      </c>
      <c r="I15" s="38">
        <f t="shared" si="1"/>
        <v>101.19288512538814</v>
      </c>
      <c r="J15" s="38">
        <f t="shared" si="2"/>
        <v>126.49110640673518</v>
      </c>
    </row>
    <row r="16" spans="1:10" x14ac:dyDescent="0.25">
      <c r="B16" s="28" t="s">
        <v>61</v>
      </c>
      <c r="C16" s="28"/>
      <c r="D16" s="29"/>
      <c r="E16" s="29"/>
      <c r="F16" s="29"/>
      <c r="G16" s="39"/>
      <c r="H16" s="40">
        <f>SUM(H11:H15)</f>
        <v>1564.8111583708796</v>
      </c>
      <c r="I16" s="40">
        <f>SUM(I11:I15)</f>
        <v>3129.6223167417593</v>
      </c>
      <c r="J16" s="41">
        <f>SUM(J11:J15)</f>
        <v>3115.3609261387269</v>
      </c>
    </row>
    <row r="17" spans="1:10" x14ac:dyDescent="0.25">
      <c r="B17" s="19" t="s">
        <v>59</v>
      </c>
      <c r="C17" s="30">
        <v>1500</v>
      </c>
    </row>
    <row r="18" spans="1:10" x14ac:dyDescent="0.25">
      <c r="B18" s="19" t="s">
        <v>60</v>
      </c>
      <c r="C18" s="40">
        <f>H16 + I16/2</f>
        <v>3129.6223167417593</v>
      </c>
    </row>
    <row r="21" spans="1:10" s="52" customFormat="1" x14ac:dyDescent="0.25">
      <c r="A21" s="52" t="s">
        <v>62</v>
      </c>
    </row>
    <row r="23" spans="1:10" x14ac:dyDescent="0.25">
      <c r="B23" s="25" t="s">
        <v>38</v>
      </c>
      <c r="C23" s="25" t="s">
        <v>51</v>
      </c>
      <c r="D23" s="25" t="s">
        <v>52</v>
      </c>
      <c r="E23" s="25" t="s">
        <v>53</v>
      </c>
      <c r="F23" s="25" t="s">
        <v>54</v>
      </c>
      <c r="G23" s="25" t="s">
        <v>55</v>
      </c>
      <c r="H23" s="25" t="s">
        <v>56</v>
      </c>
      <c r="I23" s="25" t="s">
        <v>57</v>
      </c>
      <c r="J23" s="25" t="s">
        <v>58</v>
      </c>
    </row>
    <row r="24" spans="1:10" x14ac:dyDescent="0.25">
      <c r="B24" s="26">
        <v>1</v>
      </c>
      <c r="C24" s="26">
        <v>3000</v>
      </c>
      <c r="D24" s="26">
        <v>4</v>
      </c>
      <c r="E24" s="26">
        <v>40</v>
      </c>
      <c r="F24" s="26">
        <v>4</v>
      </c>
      <c r="G24" s="37">
        <v>23.213575424968742</v>
      </c>
      <c r="H24" s="37">
        <f>D24*C24/G24</f>
        <v>516.93889374286937</v>
      </c>
      <c r="I24" s="37">
        <f>E24*G24</f>
        <v>928.54301699874964</v>
      </c>
      <c r="J24" s="37">
        <f>F24*G24</f>
        <v>92.854301699874966</v>
      </c>
    </row>
    <row r="25" spans="1:10" x14ac:dyDescent="0.25">
      <c r="B25" s="26">
        <v>2</v>
      </c>
      <c r="C25" s="26">
        <v>5000</v>
      </c>
      <c r="D25" s="26">
        <v>6</v>
      </c>
      <c r="E25" s="26">
        <v>6</v>
      </c>
      <c r="F25" s="26">
        <v>3</v>
      </c>
      <c r="G25" s="37">
        <v>79.880045916095554</v>
      </c>
      <c r="H25" s="37">
        <f t="shared" ref="H25:H28" si="3">D25*C25/G25</f>
        <v>375.56312913880163</v>
      </c>
      <c r="I25" s="37">
        <f t="shared" ref="I25:I28" si="4">E25*G25</f>
        <v>479.28027549657332</v>
      </c>
      <c r="J25" s="37">
        <f t="shared" ref="J25:J28" si="5">F25*G25</f>
        <v>239.64013774828666</v>
      </c>
    </row>
    <row r="26" spans="1:10" x14ac:dyDescent="0.25">
      <c r="B26" s="26">
        <v>3</v>
      </c>
      <c r="C26" s="26">
        <v>6400</v>
      </c>
      <c r="D26" s="26">
        <v>7</v>
      </c>
      <c r="E26" s="26">
        <v>14</v>
      </c>
      <c r="F26" s="26">
        <v>5</v>
      </c>
      <c r="G26" s="37">
        <v>67.488551863246329</v>
      </c>
      <c r="H26" s="37">
        <f t="shared" si="3"/>
        <v>663.8162882910766</v>
      </c>
      <c r="I26" s="37">
        <f t="shared" si="4"/>
        <v>944.83972608544855</v>
      </c>
      <c r="J26" s="37">
        <f t="shared" si="5"/>
        <v>337.44275931623167</v>
      </c>
    </row>
    <row r="27" spans="1:10" x14ac:dyDescent="0.25">
      <c r="B27" s="26">
        <v>4</v>
      </c>
      <c r="C27" s="26">
        <v>1500</v>
      </c>
      <c r="D27" s="26">
        <v>6</v>
      </c>
      <c r="E27" s="26">
        <v>6</v>
      </c>
      <c r="F27" s="26">
        <v>40</v>
      </c>
      <c r="G27" s="37">
        <v>18.717935128265392</v>
      </c>
      <c r="H27" s="37">
        <f t="shared" si="3"/>
        <v>480.82226689681011</v>
      </c>
      <c r="I27" s="37">
        <f t="shared" si="4"/>
        <v>112.30761076959234</v>
      </c>
      <c r="J27" s="37">
        <f t="shared" si="5"/>
        <v>748.7174051306157</v>
      </c>
    </row>
    <row r="28" spans="1:10" x14ac:dyDescent="0.25">
      <c r="B28" s="27">
        <v>5</v>
      </c>
      <c r="C28" s="27">
        <v>80</v>
      </c>
      <c r="D28" s="27">
        <v>4</v>
      </c>
      <c r="E28" s="27">
        <v>16</v>
      </c>
      <c r="F28" s="27">
        <v>20</v>
      </c>
      <c r="G28" s="37">
        <v>4.0672698579829953</v>
      </c>
      <c r="H28" s="37">
        <f t="shared" si="3"/>
        <v>78.676854787966192</v>
      </c>
      <c r="I28" s="38">
        <f t="shared" si="4"/>
        <v>65.076317727727925</v>
      </c>
      <c r="J28" s="38">
        <f t="shared" si="5"/>
        <v>81.34539715965991</v>
      </c>
    </row>
    <row r="29" spans="1:10" x14ac:dyDescent="0.25">
      <c r="B29" s="28" t="s">
        <v>61</v>
      </c>
      <c r="C29" s="28"/>
      <c r="D29" s="29"/>
      <c r="E29" s="29"/>
      <c r="F29" s="29"/>
      <c r="G29" s="39"/>
      <c r="H29" s="40">
        <f>SUM(H24:H28)</f>
        <v>2115.8174328575237</v>
      </c>
      <c r="I29" s="40">
        <f>SUM(I24:I28)</f>
        <v>2530.0469470780922</v>
      </c>
      <c r="J29" s="41">
        <f>SUM(J24:J28)</f>
        <v>1500.0000010546692</v>
      </c>
    </row>
    <row r="30" spans="1:10" x14ac:dyDescent="0.25">
      <c r="B30" s="19" t="s">
        <v>59</v>
      </c>
      <c r="C30" s="30">
        <v>1500</v>
      </c>
    </row>
    <row r="31" spans="1:10" x14ac:dyDescent="0.25">
      <c r="B31" s="19" t="s">
        <v>60</v>
      </c>
      <c r="C31" s="40">
        <f>H29 + 1/2*I29</f>
        <v>3380.8409063965701</v>
      </c>
    </row>
    <row r="34" spans="2:11" x14ac:dyDescent="0.25">
      <c r="B34" s="47" t="s">
        <v>113</v>
      </c>
      <c r="C34" s="47"/>
      <c r="D34" s="47"/>
      <c r="E34" s="47" t="s">
        <v>116</v>
      </c>
      <c r="F34" s="47"/>
      <c r="G34" s="47"/>
      <c r="H34" s="47"/>
      <c r="I34" s="47" t="s">
        <v>117</v>
      </c>
      <c r="J34" s="47"/>
      <c r="K34" s="47"/>
    </row>
    <row r="35" spans="2:11" x14ac:dyDescent="0.25">
      <c r="B35" s="53" t="s">
        <v>114</v>
      </c>
      <c r="C35" s="53"/>
      <c r="D35" s="53"/>
      <c r="E35" s="48">
        <v>3115.36</v>
      </c>
      <c r="F35" s="48"/>
      <c r="G35" s="48"/>
      <c r="H35" s="48"/>
      <c r="I35" s="48">
        <v>3129.62</v>
      </c>
      <c r="J35" s="48"/>
      <c r="K35" s="48"/>
    </row>
    <row r="36" spans="2:11" x14ac:dyDescent="0.25">
      <c r="B36" s="53"/>
      <c r="C36" s="53"/>
      <c r="D36" s="53"/>
      <c r="E36" s="48"/>
      <c r="F36" s="48"/>
      <c r="G36" s="48"/>
      <c r="H36" s="48"/>
      <c r="I36" s="48"/>
      <c r="J36" s="48"/>
      <c r="K36" s="48"/>
    </row>
    <row r="37" spans="2:11" ht="15" customHeight="1" x14ac:dyDescent="0.25">
      <c r="B37" s="53" t="s">
        <v>115</v>
      </c>
      <c r="C37" s="53"/>
      <c r="D37" s="53"/>
      <c r="E37" s="48">
        <v>1500</v>
      </c>
      <c r="F37" s="48"/>
      <c r="G37" s="48"/>
      <c r="H37" s="48"/>
      <c r="I37" s="48">
        <v>3380.84</v>
      </c>
      <c r="J37" s="48"/>
      <c r="K37" s="48"/>
    </row>
    <row r="38" spans="2:11" x14ac:dyDescent="0.25">
      <c r="B38" s="53"/>
      <c r="C38" s="53"/>
      <c r="D38" s="53"/>
      <c r="E38" s="48"/>
      <c r="F38" s="48"/>
      <c r="G38" s="48"/>
      <c r="H38" s="48"/>
      <c r="I38" s="48"/>
      <c r="J38" s="48"/>
      <c r="K38" s="48"/>
    </row>
    <row r="39" spans="2:11" x14ac:dyDescent="0.25">
      <c r="B39" s="53"/>
      <c r="C39" s="53"/>
      <c r="D39" s="53"/>
      <c r="E39" s="48"/>
      <c r="F39" s="48"/>
      <c r="G39" s="48"/>
      <c r="H39" s="48"/>
      <c r="I39" s="48"/>
      <c r="J39" s="48"/>
      <c r="K39" s="48"/>
    </row>
    <row r="41" spans="2:11" x14ac:dyDescent="0.25">
      <c r="B41" s="54" t="s">
        <v>118</v>
      </c>
      <c r="C41" s="54"/>
      <c r="D41" s="54"/>
      <c r="E41" s="54"/>
    </row>
    <row r="42" spans="2:11" x14ac:dyDescent="0.25">
      <c r="B42" s="54" t="s">
        <v>119</v>
      </c>
      <c r="C42" s="54"/>
      <c r="D42" s="54" t="s">
        <v>120</v>
      </c>
      <c r="E42" s="54"/>
    </row>
    <row r="43" spans="2:11" x14ac:dyDescent="0.25">
      <c r="B43" s="55">
        <v>1</v>
      </c>
      <c r="C43" s="55"/>
      <c r="D43" s="55">
        <v>23.21</v>
      </c>
      <c r="E43" s="55"/>
    </row>
    <row r="44" spans="2:11" x14ac:dyDescent="0.25">
      <c r="B44" s="55">
        <v>2</v>
      </c>
      <c r="C44" s="55"/>
      <c r="D44" s="55">
        <v>79.88</v>
      </c>
      <c r="E44" s="55"/>
    </row>
    <row r="45" spans="2:11" x14ac:dyDescent="0.25">
      <c r="B45" s="55">
        <v>3</v>
      </c>
      <c r="C45" s="55"/>
      <c r="D45" s="55">
        <v>67.489999999999995</v>
      </c>
      <c r="E45" s="55"/>
    </row>
    <row r="46" spans="2:11" x14ac:dyDescent="0.25">
      <c r="B46" s="55">
        <v>4</v>
      </c>
      <c r="C46" s="55"/>
      <c r="D46" s="55">
        <v>18.72</v>
      </c>
      <c r="E46" s="55"/>
    </row>
    <row r="47" spans="2:11" x14ac:dyDescent="0.25">
      <c r="B47" s="55">
        <v>5</v>
      </c>
      <c r="C47" s="55"/>
      <c r="D47" s="55">
        <v>4.07</v>
      </c>
      <c r="E47" s="55"/>
    </row>
  </sheetData>
  <mergeCells count="24">
    <mergeCell ref="D45:E45"/>
    <mergeCell ref="D46:E46"/>
    <mergeCell ref="D47:E47"/>
    <mergeCell ref="B43:C43"/>
    <mergeCell ref="B44:C44"/>
    <mergeCell ref="B45:C45"/>
    <mergeCell ref="B46:C46"/>
    <mergeCell ref="B47:C47"/>
    <mergeCell ref="B41:E41"/>
    <mergeCell ref="B42:C42"/>
    <mergeCell ref="D42:E42"/>
    <mergeCell ref="D44:E44"/>
    <mergeCell ref="D43:E43"/>
    <mergeCell ref="A8:XFD8"/>
    <mergeCell ref="A21:XFD21"/>
    <mergeCell ref="B34:D34"/>
    <mergeCell ref="B35:D36"/>
    <mergeCell ref="B37:D39"/>
    <mergeCell ref="E34:H34"/>
    <mergeCell ref="I34:K34"/>
    <mergeCell ref="E35:H36"/>
    <mergeCell ref="I35:K36"/>
    <mergeCell ref="E37:H39"/>
    <mergeCell ref="I37:K3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BC71E-4730-4D48-B60B-ED832414739B}">
  <dimension ref="A1:G30"/>
  <sheetViews>
    <sheetView showGridLines="0" workbookViewId="0"/>
  </sheetViews>
  <sheetFormatPr defaultRowHeight="15" x14ac:dyDescent="0.25"/>
  <cols>
    <col min="1" max="1" width="2.28515625" customWidth="1"/>
    <col min="2" max="2" width="7.5703125" bestFit="1" customWidth="1"/>
    <col min="3" max="3" width="11.42578125" bestFit="1" customWidth="1"/>
    <col min="4" max="4" width="19.42578125" bestFit="1" customWidth="1"/>
    <col min="5" max="5" width="24.7109375" bestFit="1" customWidth="1"/>
    <col min="6" max="6" width="15.85546875" bestFit="1" customWidth="1"/>
    <col min="7" max="7" width="7.5703125" bestFit="1" customWidth="1"/>
  </cols>
  <sheetData>
    <row r="1" spans="1:5" x14ac:dyDescent="0.25">
      <c r="A1" s="31" t="s">
        <v>63</v>
      </c>
    </row>
    <row r="2" spans="1:5" x14ac:dyDescent="0.25">
      <c r="A2" s="31" t="s">
        <v>64</v>
      </c>
    </row>
    <row r="3" spans="1:5" x14ac:dyDescent="0.25">
      <c r="A3" s="31" t="s">
        <v>109</v>
      </c>
    </row>
    <row r="4" spans="1:5" x14ac:dyDescent="0.25">
      <c r="A4" s="31" t="s">
        <v>110</v>
      </c>
    </row>
    <row r="5" spans="1:5" x14ac:dyDescent="0.25">
      <c r="A5" s="31" t="s">
        <v>65</v>
      </c>
    </row>
    <row r="6" spans="1:5" x14ac:dyDescent="0.25">
      <c r="A6" s="31"/>
      <c r="B6" t="s">
        <v>66</v>
      </c>
    </row>
    <row r="7" spans="1:5" x14ac:dyDescent="0.25">
      <c r="A7" s="31"/>
      <c r="B7" t="s">
        <v>111</v>
      </c>
    </row>
    <row r="8" spans="1:5" x14ac:dyDescent="0.25">
      <c r="A8" s="31"/>
      <c r="B8" t="s">
        <v>112</v>
      </c>
    </row>
    <row r="9" spans="1:5" x14ac:dyDescent="0.25">
      <c r="A9" s="31" t="s">
        <v>67</v>
      </c>
    </row>
    <row r="10" spans="1:5" x14ac:dyDescent="0.25">
      <c r="B10" t="s">
        <v>68</v>
      </c>
    </row>
    <row r="11" spans="1:5" x14ac:dyDescent="0.25">
      <c r="B11" t="s">
        <v>69</v>
      </c>
    </row>
    <row r="12" spans="1:5" x14ac:dyDescent="0.25">
      <c r="B12" t="s">
        <v>70</v>
      </c>
    </row>
    <row r="14" spans="1:5" ht="15.75" thickBot="1" x14ac:dyDescent="0.3">
      <c r="A14" t="s">
        <v>71</v>
      </c>
    </row>
    <row r="15" spans="1:5" ht="15.75" thickBot="1" x14ac:dyDescent="0.3">
      <c r="B15" s="33" t="s">
        <v>72</v>
      </c>
      <c r="C15" s="33" t="s">
        <v>73</v>
      </c>
      <c r="D15" s="33" t="s">
        <v>74</v>
      </c>
      <c r="E15" s="33" t="s">
        <v>75</v>
      </c>
    </row>
    <row r="16" spans="1:5" ht="15.75" thickBot="1" x14ac:dyDescent="0.3">
      <c r="B16" s="32" t="s">
        <v>83</v>
      </c>
      <c r="C16" s="32" t="s">
        <v>84</v>
      </c>
      <c r="D16" s="42">
        <v>3381.2565585664079</v>
      </c>
      <c r="E16" s="42">
        <v>3380.8409063965701</v>
      </c>
    </row>
    <row r="19" spans="1:7" ht="15.75" thickBot="1" x14ac:dyDescent="0.3">
      <c r="A19" t="s">
        <v>76</v>
      </c>
    </row>
    <row r="20" spans="1:7" ht="15.75" thickBot="1" x14ac:dyDescent="0.3">
      <c r="B20" s="33" t="s">
        <v>72</v>
      </c>
      <c r="C20" s="33" t="s">
        <v>73</v>
      </c>
      <c r="D20" s="33" t="s">
        <v>74</v>
      </c>
      <c r="E20" s="33" t="s">
        <v>75</v>
      </c>
      <c r="F20" s="33" t="s">
        <v>77</v>
      </c>
    </row>
    <row r="21" spans="1:7" x14ac:dyDescent="0.25">
      <c r="B21" s="34" t="s">
        <v>85</v>
      </c>
      <c r="C21" s="34" t="s">
        <v>55</v>
      </c>
      <c r="D21" s="43">
        <v>22.725238828093943</v>
      </c>
      <c r="E21" s="43">
        <v>23.213575424968742</v>
      </c>
      <c r="F21" s="34" t="s">
        <v>86</v>
      </c>
    </row>
    <row r="22" spans="1:7" x14ac:dyDescent="0.25">
      <c r="B22" s="34" t="s">
        <v>87</v>
      </c>
      <c r="C22" s="34" t="s">
        <v>55</v>
      </c>
      <c r="D22" s="43">
        <v>78.714848759965633</v>
      </c>
      <c r="E22" s="43">
        <v>79.880045916095554</v>
      </c>
      <c r="F22" s="34" t="s">
        <v>86</v>
      </c>
    </row>
    <row r="23" spans="1:7" x14ac:dyDescent="0.25">
      <c r="B23" s="34" t="s">
        <v>88</v>
      </c>
      <c r="C23" s="34" t="s">
        <v>55</v>
      </c>
      <c r="D23" s="43">
        <v>66.930120760996658</v>
      </c>
      <c r="E23" s="43">
        <v>67.488551863246329</v>
      </c>
      <c r="F23" s="34" t="s">
        <v>86</v>
      </c>
    </row>
    <row r="24" spans="1:7" x14ac:dyDescent="0.25">
      <c r="B24" s="34" t="s">
        <v>89</v>
      </c>
      <c r="C24" s="34" t="s">
        <v>55</v>
      </c>
      <c r="D24" s="43">
        <v>18.902330563459003</v>
      </c>
      <c r="E24" s="43">
        <v>18.717935128265392</v>
      </c>
      <c r="F24" s="34" t="s">
        <v>86</v>
      </c>
    </row>
    <row r="25" spans="1:7" ht="15.75" thickBot="1" x14ac:dyDescent="0.3">
      <c r="B25" s="32" t="s">
        <v>90</v>
      </c>
      <c r="C25" s="32" t="s">
        <v>55</v>
      </c>
      <c r="D25" s="42">
        <v>4.1105336395681826</v>
      </c>
      <c r="E25" s="42">
        <v>4.0672698579829953</v>
      </c>
      <c r="F25" s="32" t="s">
        <v>86</v>
      </c>
    </row>
    <row r="28" spans="1:7" ht="15.75" thickBot="1" x14ac:dyDescent="0.3">
      <c r="A28" t="s">
        <v>78</v>
      </c>
    </row>
    <row r="29" spans="1:7" ht="15.75" thickBot="1" x14ac:dyDescent="0.3">
      <c r="B29" s="33" t="s">
        <v>72</v>
      </c>
      <c r="C29" s="33" t="s">
        <v>73</v>
      </c>
      <c r="D29" s="33" t="s">
        <v>79</v>
      </c>
      <c r="E29" s="33" t="s">
        <v>80</v>
      </c>
      <c r="F29" s="33" t="s">
        <v>81</v>
      </c>
      <c r="G29" s="33" t="s">
        <v>82</v>
      </c>
    </row>
    <row r="30" spans="1:7" ht="15.75" thickBot="1" x14ac:dyDescent="0.3">
      <c r="B30" s="32" t="s">
        <v>91</v>
      </c>
      <c r="C30" s="32" t="s">
        <v>92</v>
      </c>
      <c r="D30" s="42">
        <v>1500.0000010546692</v>
      </c>
      <c r="E30" s="32" t="s">
        <v>93</v>
      </c>
      <c r="F30" s="32" t="s">
        <v>94</v>
      </c>
      <c r="G30" s="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0746B-ADE0-41CF-B42B-ADF562879721}">
  <dimension ref="A1:E18"/>
  <sheetViews>
    <sheetView showGridLines="0" workbookViewId="0"/>
  </sheetViews>
  <sheetFormatPr defaultRowHeight="15" x14ac:dyDescent="0.25"/>
  <cols>
    <col min="1" max="1" width="2.28515625" customWidth="1"/>
    <col min="2" max="2" width="7.5703125" bestFit="1" customWidth="1"/>
    <col min="3" max="3" width="11.42578125" bestFit="1" customWidth="1"/>
    <col min="4" max="4" width="15.42578125" bestFit="1" customWidth="1"/>
    <col min="5" max="5" width="12.7109375" bestFit="1" customWidth="1"/>
  </cols>
  <sheetData>
    <row r="1" spans="1:5" x14ac:dyDescent="0.25">
      <c r="A1" s="31" t="s">
        <v>95</v>
      </c>
    </row>
    <row r="2" spans="1:5" x14ac:dyDescent="0.25">
      <c r="A2" s="31" t="s">
        <v>64</v>
      </c>
    </row>
    <row r="3" spans="1:5" x14ac:dyDescent="0.25">
      <c r="A3" s="31" t="s">
        <v>109</v>
      </c>
    </row>
    <row r="6" spans="1:5" ht="15.75" thickBot="1" x14ac:dyDescent="0.3">
      <c r="A6" t="s">
        <v>76</v>
      </c>
    </row>
    <row r="7" spans="1:5" x14ac:dyDescent="0.25">
      <c r="B7" s="35"/>
      <c r="C7" s="35"/>
      <c r="D7" s="35" t="s">
        <v>96</v>
      </c>
      <c r="E7" s="35" t="s">
        <v>98</v>
      </c>
    </row>
    <row r="8" spans="1:5" ht="15.75" thickBot="1" x14ac:dyDescent="0.3">
      <c r="B8" s="36" t="s">
        <v>72</v>
      </c>
      <c r="C8" s="36" t="s">
        <v>73</v>
      </c>
      <c r="D8" s="36" t="s">
        <v>97</v>
      </c>
      <c r="E8" s="36" t="s">
        <v>99</v>
      </c>
    </row>
    <row r="9" spans="1:5" x14ac:dyDescent="0.25">
      <c r="B9" s="34" t="s">
        <v>85</v>
      </c>
      <c r="C9" s="34" t="s">
        <v>55</v>
      </c>
      <c r="D9" s="34">
        <v>23.213575424968742</v>
      </c>
      <c r="E9" s="34">
        <v>0</v>
      </c>
    </row>
    <row r="10" spans="1:5" x14ac:dyDescent="0.25">
      <c r="B10" s="34" t="s">
        <v>87</v>
      </c>
      <c r="C10" s="34" t="s">
        <v>55</v>
      </c>
      <c r="D10" s="34">
        <v>79.880045916095554</v>
      </c>
      <c r="E10" s="34">
        <v>0</v>
      </c>
    </row>
    <row r="11" spans="1:5" x14ac:dyDescent="0.25">
      <c r="B11" s="34" t="s">
        <v>88</v>
      </c>
      <c r="C11" s="34" t="s">
        <v>55</v>
      </c>
      <c r="D11" s="34">
        <v>67.488551863246329</v>
      </c>
      <c r="E11" s="34">
        <v>0</v>
      </c>
    </row>
    <row r="12" spans="1:5" x14ac:dyDescent="0.25">
      <c r="B12" s="34" t="s">
        <v>89</v>
      </c>
      <c r="C12" s="34" t="s">
        <v>55</v>
      </c>
      <c r="D12" s="34">
        <v>18.717935128265392</v>
      </c>
      <c r="E12" s="34">
        <v>0</v>
      </c>
    </row>
    <row r="13" spans="1:5" ht="15.75" thickBot="1" x14ac:dyDescent="0.3">
      <c r="B13" s="32" t="s">
        <v>90</v>
      </c>
      <c r="C13" s="32" t="s">
        <v>55</v>
      </c>
      <c r="D13" s="32">
        <v>4.0672698579829953</v>
      </c>
      <c r="E13" s="32">
        <v>0</v>
      </c>
    </row>
    <row r="15" spans="1:5" ht="15.75" thickBot="1" x14ac:dyDescent="0.3">
      <c r="A15" t="s">
        <v>78</v>
      </c>
    </row>
    <row r="16" spans="1:5" x14ac:dyDescent="0.25">
      <c r="B16" s="35"/>
      <c r="C16" s="35"/>
      <c r="D16" s="35" t="s">
        <v>96</v>
      </c>
      <c r="E16" s="35" t="s">
        <v>100</v>
      </c>
    </row>
    <row r="17" spans="2:5" ht="15.75" thickBot="1" x14ac:dyDescent="0.3">
      <c r="B17" s="36" t="s">
        <v>72</v>
      </c>
      <c r="C17" s="36" t="s">
        <v>73</v>
      </c>
      <c r="D17" s="36" t="s">
        <v>97</v>
      </c>
      <c r="E17" s="36" t="s">
        <v>101</v>
      </c>
    </row>
    <row r="18" spans="2:5" ht="15.75" thickBot="1" x14ac:dyDescent="0.3">
      <c r="B18" s="32" t="s">
        <v>91</v>
      </c>
      <c r="C18" s="32" t="s">
        <v>92</v>
      </c>
      <c r="D18" s="32">
        <v>1500.0000010546692</v>
      </c>
      <c r="E18" s="32">
        <v>-0.56719326345252619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121A0-3F77-41FB-AFE7-92B96730AEEF}">
  <dimension ref="A1:J17"/>
  <sheetViews>
    <sheetView showGridLines="0" workbookViewId="0">
      <selection sqref="A1:A3"/>
    </sheetView>
  </sheetViews>
  <sheetFormatPr defaultRowHeight="15" x14ac:dyDescent="0.25"/>
  <cols>
    <col min="1" max="1" width="2.28515625" customWidth="1"/>
    <col min="2" max="2" width="7.5703125" bestFit="1" customWidth="1"/>
    <col min="3" max="3" width="12.7109375" bestFit="1" customWidth="1"/>
    <col min="4" max="4" width="9.7109375" bestFit="1" customWidth="1"/>
    <col min="5" max="5" width="2.28515625" customWidth="1"/>
    <col min="6" max="6" width="8.42578125" bestFit="1" customWidth="1"/>
    <col min="7" max="7" width="17.42578125" bestFit="1" customWidth="1"/>
    <col min="8" max="8" width="2.28515625" customWidth="1"/>
    <col min="9" max="9" width="8.85546875" bestFit="1" customWidth="1"/>
    <col min="10" max="10" width="17.42578125" bestFit="1" customWidth="1"/>
  </cols>
  <sheetData>
    <row r="1" spans="1:10" x14ac:dyDescent="0.25">
      <c r="A1" s="31" t="s">
        <v>102</v>
      </c>
    </row>
    <row r="2" spans="1:10" x14ac:dyDescent="0.25">
      <c r="A2" s="31" t="s">
        <v>64</v>
      </c>
    </row>
    <row r="3" spans="1:10" x14ac:dyDescent="0.25">
      <c r="A3" s="31" t="s">
        <v>109</v>
      </c>
    </row>
    <row r="5" spans="1:10" ht="15.75" thickBot="1" x14ac:dyDescent="0.3"/>
    <row r="6" spans="1:10" x14ac:dyDescent="0.25">
      <c r="B6" s="35"/>
      <c r="C6" s="35" t="s">
        <v>103</v>
      </c>
      <c r="D6" s="35"/>
    </row>
    <row r="7" spans="1:10" ht="15.75" thickBot="1" x14ac:dyDescent="0.3">
      <c r="B7" s="36" t="s">
        <v>72</v>
      </c>
      <c r="C7" s="36" t="s">
        <v>73</v>
      </c>
      <c r="D7" s="36" t="s">
        <v>97</v>
      </c>
    </row>
    <row r="8" spans="1:10" ht="15.75" thickBot="1" x14ac:dyDescent="0.3">
      <c r="B8" s="32" t="s">
        <v>83</v>
      </c>
      <c r="C8" s="32" t="s">
        <v>84</v>
      </c>
      <c r="D8" s="42">
        <v>3380.8409063965701</v>
      </c>
    </row>
    <row r="10" spans="1:10" ht="15.75" thickBot="1" x14ac:dyDescent="0.3"/>
    <row r="11" spans="1:10" x14ac:dyDescent="0.25">
      <c r="B11" s="35"/>
      <c r="C11" s="35" t="s">
        <v>104</v>
      </c>
      <c r="D11" s="35"/>
      <c r="F11" s="35" t="s">
        <v>105</v>
      </c>
      <c r="G11" s="35" t="s">
        <v>103</v>
      </c>
      <c r="I11" s="35" t="s">
        <v>108</v>
      </c>
      <c r="J11" s="35" t="s">
        <v>103</v>
      </c>
    </row>
    <row r="12" spans="1:10" ht="15.75" thickBot="1" x14ac:dyDescent="0.3">
      <c r="B12" s="36" t="s">
        <v>72</v>
      </c>
      <c r="C12" s="36" t="s">
        <v>73</v>
      </c>
      <c r="D12" s="36" t="s">
        <v>97</v>
      </c>
      <c r="F12" s="36" t="s">
        <v>106</v>
      </c>
      <c r="G12" s="36" t="s">
        <v>107</v>
      </c>
      <c r="I12" s="36" t="s">
        <v>106</v>
      </c>
      <c r="J12" s="36" t="s">
        <v>107</v>
      </c>
    </row>
    <row r="13" spans="1:10" x14ac:dyDescent="0.25">
      <c r="B13" s="34" t="s">
        <v>85</v>
      </c>
      <c r="C13" s="34" t="s">
        <v>55</v>
      </c>
      <c r="D13" s="43">
        <v>23.213575424968742</v>
      </c>
      <c r="F13" s="43">
        <v>0</v>
      </c>
      <c r="G13" s="43" t="e">
        <v>#DIV/0!</v>
      </c>
      <c r="I13" s="43">
        <v>23.213575161301531</v>
      </c>
      <c r="J13" s="43">
        <v>3380.8409069947829</v>
      </c>
    </row>
    <row r="14" spans="1:10" x14ac:dyDescent="0.25">
      <c r="B14" s="34" t="s">
        <v>87</v>
      </c>
      <c r="C14" s="34" t="s">
        <v>55</v>
      </c>
      <c r="D14" s="43">
        <v>79.880045916095554</v>
      </c>
      <c r="F14" s="43">
        <v>0</v>
      </c>
      <c r="G14" s="43" t="e">
        <v>#DIV/0!</v>
      </c>
      <c r="I14" s="43">
        <v>79.880045564539188</v>
      </c>
      <c r="J14" s="43">
        <v>3380.8409069947738</v>
      </c>
    </row>
    <row r="15" spans="1:10" x14ac:dyDescent="0.25">
      <c r="B15" s="34" t="s">
        <v>88</v>
      </c>
      <c r="C15" s="34" t="s">
        <v>55</v>
      </c>
      <c r="D15" s="43">
        <v>67.488551863246329</v>
      </c>
      <c r="F15" s="43">
        <v>0</v>
      </c>
      <c r="G15" s="43" t="e">
        <v>#DIV/0!</v>
      </c>
      <c r="I15" s="43">
        <v>67.488551652312537</v>
      </c>
      <c r="J15" s="43">
        <v>3380.8409069947747</v>
      </c>
    </row>
    <row r="16" spans="1:10" x14ac:dyDescent="0.25">
      <c r="B16" s="34" t="s">
        <v>89</v>
      </c>
      <c r="C16" s="34" t="s">
        <v>55</v>
      </c>
      <c r="D16" s="43">
        <v>18.717935128265392</v>
      </c>
      <c r="F16" s="43">
        <v>0</v>
      </c>
      <c r="G16" s="43" t="e">
        <v>#DIV/0!</v>
      </c>
      <c r="I16" s="43">
        <v>18.717935101898671</v>
      </c>
      <c r="J16" s="43">
        <v>3380.840906994772</v>
      </c>
    </row>
    <row r="17" spans="2:10" ht="15.75" thickBot="1" x14ac:dyDescent="0.3">
      <c r="B17" s="32" t="s">
        <v>90</v>
      </c>
      <c r="C17" s="32" t="s">
        <v>55</v>
      </c>
      <c r="D17" s="42">
        <v>4.0672698579829953</v>
      </c>
      <c r="F17" s="42">
        <v>0</v>
      </c>
      <c r="G17" s="42" t="e">
        <v>#DIV/0!</v>
      </c>
      <c r="I17" s="42">
        <v>4.0672698052495528</v>
      </c>
      <c r="J17" s="42">
        <v>3380.8409069947729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Задание 1</vt:lpstr>
      <vt:lpstr>Задание 2</vt:lpstr>
      <vt:lpstr>Отчет о результатах №2</vt:lpstr>
      <vt:lpstr>Отчет об устойчивости №2</vt:lpstr>
      <vt:lpstr>Отчет о пределах №2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2022-12-06T15:13:16Z</dcterms:created>
  <dcterms:modified xsi:type="dcterms:W3CDTF">2022-12-17T13:37:14Z</dcterms:modified>
</cp:coreProperties>
</file>