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4th Year\EEE4120F\"/>
    </mc:Choice>
  </mc:AlternateContent>
  <xr:revisionPtr revIDLastSave="0" documentId="13_ncr:1_{5298EAA4-9EDE-4E3D-B16E-C9DC653FF69B}" xr6:coauthVersionLast="47" xr6:coauthVersionMax="47" xr10:uidLastSave="{00000000-0000-0000-0000-000000000000}"/>
  <bookViews>
    <workbookView xWindow="-108" yWindow="-108" windowWidth="23256" windowHeight="12456" xr2:uid="{E0326FEB-6A41-4D2A-AECB-21C0C7DD69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M20" i="1"/>
  <c r="L20" i="1"/>
  <c r="K20" i="1"/>
  <c r="J20" i="1"/>
  <c r="F20" i="1"/>
  <c r="E20" i="1"/>
  <c r="D20" i="1"/>
  <c r="C20" i="1"/>
  <c r="O19" i="1"/>
  <c r="M19" i="1"/>
  <c r="L19" i="1"/>
  <c r="K19" i="1"/>
  <c r="J19" i="1"/>
  <c r="F19" i="1"/>
  <c r="E19" i="1"/>
  <c r="D19" i="1"/>
  <c r="C19" i="1"/>
  <c r="O18" i="1"/>
  <c r="M18" i="1"/>
  <c r="L18" i="1"/>
  <c r="K18" i="1"/>
  <c r="J18" i="1"/>
  <c r="N18" i="1"/>
  <c r="F18" i="1"/>
  <c r="E18" i="1"/>
  <c r="D18" i="1"/>
  <c r="C18" i="1"/>
  <c r="O17" i="1"/>
  <c r="M17" i="1"/>
  <c r="L17" i="1"/>
  <c r="K17" i="1"/>
  <c r="J17" i="1"/>
  <c r="F17" i="1"/>
  <c r="C17" i="1"/>
  <c r="D17" i="1"/>
  <c r="E17" i="1"/>
  <c r="N12" i="1"/>
  <c r="L12" i="1"/>
  <c r="K12" i="1"/>
  <c r="J12" i="1"/>
  <c r="I12" i="1"/>
  <c r="F12" i="1"/>
  <c r="E12" i="1"/>
  <c r="D12" i="1"/>
  <c r="C12" i="1"/>
  <c r="N11" i="1"/>
  <c r="L11" i="1"/>
  <c r="K11" i="1"/>
  <c r="J11" i="1"/>
  <c r="I11" i="1"/>
  <c r="F11" i="1"/>
  <c r="E11" i="1"/>
  <c r="D11" i="1"/>
  <c r="C11" i="1"/>
  <c r="N10" i="1"/>
  <c r="K10" i="1"/>
  <c r="J10" i="1"/>
  <c r="I10" i="1"/>
  <c r="E10" i="1"/>
  <c r="D10" i="1"/>
  <c r="C10" i="1"/>
  <c r="L10" i="1"/>
  <c r="F10" i="1"/>
  <c r="N9" i="1"/>
  <c r="L9" i="1"/>
  <c r="K9" i="1"/>
  <c r="I9" i="1"/>
  <c r="E9" i="1"/>
  <c r="D9" i="1"/>
  <c r="C9" i="1"/>
  <c r="F9" i="1"/>
  <c r="N3" i="1"/>
  <c r="N4" i="1"/>
  <c r="N5" i="1"/>
  <c r="N2" i="1"/>
  <c r="K5" i="1"/>
  <c r="J5" i="1"/>
  <c r="I5" i="1"/>
  <c r="K4" i="1"/>
  <c r="J4" i="1"/>
  <c r="I4" i="1"/>
  <c r="K3" i="1"/>
  <c r="J3" i="1"/>
  <c r="I3" i="1"/>
  <c r="K2" i="1"/>
  <c r="J2" i="1"/>
  <c r="I2" i="1"/>
  <c r="L2" i="1" s="1"/>
  <c r="E5" i="1"/>
  <c r="D5" i="1"/>
  <c r="C5" i="1"/>
  <c r="E4" i="1"/>
  <c r="D4" i="1"/>
  <c r="C4" i="1"/>
  <c r="E3" i="1"/>
  <c r="D3" i="1"/>
  <c r="C3" i="1"/>
  <c r="E2" i="1"/>
  <c r="D2" i="1"/>
  <c r="C2" i="1"/>
  <c r="F2" i="1" s="1"/>
  <c r="L5" i="1"/>
  <c r="F5" i="1"/>
  <c r="L4" i="1"/>
  <c r="F4" i="1"/>
  <c r="L3" i="1"/>
  <c r="F3" i="1"/>
</calcChain>
</file>

<file path=xl/sharedStrings.xml><?xml version="1.0" encoding="utf-8"?>
<sst xmlns="http://schemas.openxmlformats.org/spreadsheetml/2006/main" count="27" uniqueCount="14">
  <si>
    <t>N</t>
  </si>
  <si>
    <t>Optimized</t>
  </si>
  <si>
    <t>ours</t>
  </si>
  <si>
    <t>mean(ms)</t>
  </si>
  <si>
    <t>mean speedup  (Tcorr/Tcor)</t>
  </si>
  <si>
    <t>mean speedup  (Tcwn/Trand)</t>
  </si>
  <si>
    <t>0,0016674*1000</t>
  </si>
  <si>
    <t>part 2</t>
  </si>
  <si>
    <t>optimized</t>
  </si>
  <si>
    <t>r</t>
  </si>
  <si>
    <t>whiten vs whitenoise</t>
  </si>
  <si>
    <t>rand func</t>
  </si>
  <si>
    <t>createwn</t>
  </si>
  <si>
    <t>cor v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</si>
</sst>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mean speedup(Tcwn/Trand) vs n(sample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Speedup vs 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Sheet1!$N$2:$N$5</c:f>
              <c:numCache>
                <c:formatCode>General</c:formatCode>
                <c:ptCount val="4"/>
                <c:pt idx="0">
                  <c:v>8.6739982578397221</c:v>
                </c:pt>
                <c:pt idx="1">
                  <c:v>2.9791598184111194</c:v>
                </c:pt>
                <c:pt idx="2">
                  <c:v>1.5944643633202953</c:v>
                </c:pt>
                <c:pt idx="3">
                  <c:v>1.4521227904655716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63E-B752-91812A5C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292575"/>
        <c:axId val="1630289663"/>
      </c:lineChart>
      <c:catAx>
        <c:axId val="163029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89663"/>
        <c:crosses val="autoZero"/>
        <c:auto val="1"/>
        <c:lblAlgn val="ctr"/>
        <c:lblOffset val="100"/>
        <c:noMultiLvlLbl val="0"/>
      </c:catAx>
      <c:valAx>
        <c:axId val="16302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9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mean speedup(Tcorr/Tcor) vs sample size(n)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Speedup(Tcorr/Tcor) vs sample size(n)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Sheet1!$N$9:$N$12</c:f>
              <c:numCache>
                <c:formatCode>General</c:formatCode>
                <c:ptCount val="4"/>
                <c:pt idx="0">
                  <c:v>0.56511990079164809</c:v>
                </c:pt>
                <c:pt idx="1">
                  <c:v>2.3812563092253081</c:v>
                </c:pt>
                <c:pt idx="2">
                  <c:v>2.7376204243842142</c:v>
                </c:pt>
                <c:pt idx="3">
                  <c:v>2.9941922820686711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5-4A37-A3F0-5B42F853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985807"/>
        <c:axId val="1913999535"/>
      </c:lineChart>
      <c:catAx>
        <c:axId val="19139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99535"/>
        <c:crosses val="autoZero"/>
        <c:auto val="1"/>
        <c:lblAlgn val="ctr"/>
        <c:lblOffset val="100"/>
        <c:noMultiLvlLbl val="0"/>
      </c:catAx>
      <c:valAx>
        <c:axId val="19139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8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Mean speedup(Tcorr/Tcor) vs sample size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speedup(Tcorr/Tcor) vs sample size 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Sheet1!$O$17:$O$20</c:f>
              <c:numCache>
                <c:formatCode>General</c:formatCode>
                <c:ptCount val="4"/>
                <c:pt idx="0">
                  <c:v>1.1783005680635281</c:v>
                </c:pt>
                <c:pt idx="1">
                  <c:v>2.0465854949708842</c:v>
                </c:pt>
                <c:pt idx="2">
                  <c:v>2.5384408763991875</c:v>
                </c:pt>
                <c:pt idx="3">
                  <c:v>2.8193413107141985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2-4EF4-8E27-CE1F4A5F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198111"/>
        <c:axId val="1532199359"/>
      </c:lineChart>
      <c:catAx>
        <c:axId val="153219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99359"/>
        <c:crosses val="autoZero"/>
        <c:auto val="1"/>
        <c:lblAlgn val="ctr"/>
        <c:lblOffset val="100"/>
        <c:noMultiLvlLbl val="0"/>
      </c:catAx>
      <c:valAx>
        <c:axId val="15321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5</xdr:row>
      <xdr:rowOff>38100</xdr:rowOff>
    </xdr:from>
    <xdr:to>
      <xdr:col>7</xdr:col>
      <xdr:colOff>114300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15C9B-B054-8BC4-4ABA-A1A8B8FA6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5</xdr:row>
      <xdr:rowOff>167640</xdr:rowOff>
    </xdr:from>
    <xdr:to>
      <xdr:col>13</xdr:col>
      <xdr:colOff>1318260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9A40D4-22AE-6BE3-EFB4-403C3B2D6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22</xdr:row>
      <xdr:rowOff>60960</xdr:rowOff>
    </xdr:from>
    <xdr:to>
      <xdr:col>6</xdr:col>
      <xdr:colOff>1165860</xdr:colOff>
      <xdr:row>37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94821-AC41-9A25-FCC7-2B6AF1C1A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5691-561F-4918-8FE8-F8A26058F691}">
  <dimension ref="A1:O20"/>
  <sheetViews>
    <sheetView tabSelected="1" topLeftCell="A4" workbookViewId="0">
      <selection activeCell="L26" sqref="L26"/>
    </sheetView>
  </sheetViews>
  <sheetFormatPr defaultRowHeight="14.4" x14ac:dyDescent="0.3"/>
  <cols>
    <col min="2" max="2" width="9.21875" bestFit="1" customWidth="1"/>
    <col min="7" max="7" width="18.21875" bestFit="1" customWidth="1"/>
    <col min="14" max="14" width="24.88671875" bestFit="1" customWidth="1"/>
    <col min="15" max="15" width="23.88671875" bestFit="1" customWidth="1"/>
  </cols>
  <sheetData>
    <row r="1" spans="1:15" x14ac:dyDescent="0.3">
      <c r="A1" t="s">
        <v>0</v>
      </c>
      <c r="B1" t="s">
        <v>1</v>
      </c>
      <c r="C1">
        <v>1</v>
      </c>
      <c r="D1">
        <v>2</v>
      </c>
      <c r="E1">
        <v>3</v>
      </c>
      <c r="F1" t="s">
        <v>3</v>
      </c>
      <c r="H1" t="s">
        <v>2</v>
      </c>
      <c r="I1">
        <v>1</v>
      </c>
      <c r="J1">
        <v>2</v>
      </c>
      <c r="K1">
        <v>3</v>
      </c>
      <c r="L1" t="s">
        <v>3</v>
      </c>
      <c r="N1" t="s">
        <v>5</v>
      </c>
    </row>
    <row r="2" spans="1:15" x14ac:dyDescent="0.3">
      <c r="A2">
        <v>10</v>
      </c>
      <c r="B2">
        <v>48000</v>
      </c>
      <c r="C2">
        <f>0.0019482*1000</f>
        <v>1.9481999999999999</v>
      </c>
      <c r="D2">
        <f>0.0019793*1000</f>
        <v>1.9792999999999998</v>
      </c>
      <c r="E2">
        <f>0.0020421*1000</f>
        <v>2.0421</v>
      </c>
      <c r="F2">
        <f>AVERAGE(C2:E2)</f>
        <v>1.9898666666666667</v>
      </c>
      <c r="I2">
        <f>0.0188063*1000</f>
        <v>18.8063</v>
      </c>
      <c r="J2" s="1">
        <f>0.0182633*1000</f>
        <v>18.263300000000001</v>
      </c>
      <c r="K2">
        <f>0.0147107*1000</f>
        <v>14.710700000000001</v>
      </c>
      <c r="L2">
        <f>AVERAGE(I2:K2)</f>
        <v>17.260100000000001</v>
      </c>
      <c r="N2">
        <f>L2/F2</f>
        <v>8.6739982578397221</v>
      </c>
    </row>
    <row r="3" spans="1:15" x14ac:dyDescent="0.3">
      <c r="A3">
        <v>100</v>
      </c>
      <c r="B3">
        <v>480000</v>
      </c>
      <c r="C3">
        <f>0.0078543*1000</f>
        <v>7.8542999999999994</v>
      </c>
      <c r="D3">
        <f>0.0058589*1000</f>
        <v>5.8589000000000002</v>
      </c>
      <c r="E3">
        <f>0.0328315*1000</f>
        <v>32.831499999999998</v>
      </c>
      <c r="F3">
        <f>AVERAGE(C3:E3)</f>
        <v>15.514899999999999</v>
      </c>
      <c r="I3">
        <f>0.0436378*1000</f>
        <v>43.637799999999999</v>
      </c>
      <c r="J3">
        <f>0.0458136*1000</f>
        <v>45.813600000000001</v>
      </c>
      <c r="K3">
        <f>0.0492127*1000</f>
        <v>49.212699999999998</v>
      </c>
      <c r="L3">
        <f>AVERAGE(I3:K3)</f>
        <v>46.221366666666675</v>
      </c>
      <c r="N3">
        <f t="shared" ref="N3:N5" si="0">L3/F3</f>
        <v>2.9791598184111194</v>
      </c>
    </row>
    <row r="4" spans="1:15" x14ac:dyDescent="0.3">
      <c r="A4">
        <v>500</v>
      </c>
      <c r="B4">
        <v>2400000</v>
      </c>
      <c r="C4">
        <f>0.0371349*1000</f>
        <v>37.134900000000002</v>
      </c>
      <c r="D4">
        <f>0.0236054*1000</f>
        <v>23.605399999999999</v>
      </c>
      <c r="E4">
        <f>0.0497077*1000</f>
        <v>49.707700000000003</v>
      </c>
      <c r="F4">
        <f>AVERAGE(C4:E4)</f>
        <v>36.816000000000003</v>
      </c>
      <c r="I4">
        <f>0.0466375*1000</f>
        <v>46.637499999999996</v>
      </c>
      <c r="J4">
        <f>0.0580724*1000</f>
        <v>58.072400000000002</v>
      </c>
      <c r="K4">
        <f>0.0713955*1000</f>
        <v>71.395499999999998</v>
      </c>
      <c r="L4">
        <f>AVERAGE(I4:K4)</f>
        <v>58.701799999999999</v>
      </c>
      <c r="N4">
        <f t="shared" si="0"/>
        <v>1.5944643633202953</v>
      </c>
    </row>
    <row r="5" spans="1:15" x14ac:dyDescent="0.3">
      <c r="A5">
        <v>1000</v>
      </c>
      <c r="B5">
        <v>4800000</v>
      </c>
      <c r="C5">
        <f>0.0642398*1000</f>
        <v>64.239800000000002</v>
      </c>
      <c r="D5">
        <f>0.060803*1000</f>
        <v>60.803000000000004</v>
      </c>
      <c r="E5">
        <f>0.0673337*1000</f>
        <v>67.333699999999993</v>
      </c>
      <c r="F5">
        <f>AVERAGE(C5:E5)</f>
        <v>64.125500000000002</v>
      </c>
      <c r="I5">
        <f>0.095404*1000</f>
        <v>95.403999999999996</v>
      </c>
      <c r="J5">
        <f>0.0936528*1000</f>
        <v>93.652799999999999</v>
      </c>
      <c r="K5">
        <f>0.0902975*1000</f>
        <v>90.297499999999999</v>
      </c>
      <c r="L5">
        <f>AVERAGE(I5:K5)</f>
        <v>93.118100000000013</v>
      </c>
      <c r="N5">
        <f t="shared" si="0"/>
        <v>1.4521227904655716</v>
      </c>
    </row>
    <row r="6" spans="1:15" x14ac:dyDescent="0.3">
      <c r="A6" t="s">
        <v>11</v>
      </c>
      <c r="H6" t="s">
        <v>12</v>
      </c>
    </row>
    <row r="8" spans="1:15" x14ac:dyDescent="0.3">
      <c r="A8" t="s">
        <v>0</v>
      </c>
      <c r="B8" t="s">
        <v>1</v>
      </c>
      <c r="C8">
        <v>1</v>
      </c>
      <c r="D8">
        <v>2</v>
      </c>
      <c r="E8">
        <v>3</v>
      </c>
      <c r="F8" t="s">
        <v>3</v>
      </c>
      <c r="H8" t="s">
        <v>2</v>
      </c>
      <c r="I8">
        <v>1</v>
      </c>
      <c r="J8">
        <v>2</v>
      </c>
      <c r="K8">
        <v>3</v>
      </c>
      <c r="L8" t="s">
        <v>3</v>
      </c>
      <c r="N8" t="s">
        <v>4</v>
      </c>
    </row>
    <row r="9" spans="1:15" x14ac:dyDescent="0.3">
      <c r="A9">
        <v>10</v>
      </c>
      <c r="B9">
        <v>48000</v>
      </c>
      <c r="C9">
        <f>0.0014171*1000</f>
        <v>1.4170999999999998</v>
      </c>
      <c r="D9">
        <f>0.0010778*1000</f>
        <v>1.0778000000000001</v>
      </c>
      <c r="E9">
        <f>0.00444*1000</f>
        <v>4.4400000000000004</v>
      </c>
      <c r="F9">
        <f>AVERAGE(C9:E9)</f>
        <v>2.3116333333333334</v>
      </c>
      <c r="I9">
        <f>0.0010518*1000</f>
        <v>1.0518000000000001</v>
      </c>
      <c r="J9" t="s">
        <v>6</v>
      </c>
      <c r="K9">
        <f>0.0015609*1000</f>
        <v>1.5609</v>
      </c>
      <c r="L9">
        <f>AVERAGE(I9:K9)</f>
        <v>1.3063500000000001</v>
      </c>
      <c r="N9">
        <f>L9/F9</f>
        <v>0.56511990079164809</v>
      </c>
    </row>
    <row r="10" spans="1:15" x14ac:dyDescent="0.3">
      <c r="A10">
        <v>100</v>
      </c>
      <c r="B10">
        <v>480000</v>
      </c>
      <c r="C10">
        <f>0.0021192*1000</f>
        <v>2.1191999999999998</v>
      </c>
      <c r="D10">
        <f>0.0017927*1000</f>
        <v>1.7927</v>
      </c>
      <c r="E10">
        <f>0.0022299*1000</f>
        <v>2.2298999999999998</v>
      </c>
      <c r="F10">
        <f>AVERAGE(C10:E10)</f>
        <v>2.0472666666666668</v>
      </c>
      <c r="I10">
        <f>0.0050266*1000</f>
        <v>5.0266000000000002</v>
      </c>
      <c r="J10">
        <f>0.0051051*1000</f>
        <v>5.1050999999999993</v>
      </c>
      <c r="K10">
        <f>0.0044935*1000</f>
        <v>4.4935</v>
      </c>
      <c r="L10">
        <f>AVERAGE(I10:K10)</f>
        <v>4.8750666666666662</v>
      </c>
      <c r="N10">
        <f>L10/F10</f>
        <v>2.3812563092253081</v>
      </c>
    </row>
    <row r="11" spans="1:15" x14ac:dyDescent="0.3">
      <c r="A11">
        <v>500</v>
      </c>
      <c r="B11">
        <v>2400000</v>
      </c>
      <c r="C11">
        <f>0.0064082*1000</f>
        <v>6.4081999999999999</v>
      </c>
      <c r="D11">
        <f xml:space="preserve"> 0.0066472*1000</f>
        <v>6.6471999999999998</v>
      </c>
      <c r="E11">
        <f>0.0065212*1000</f>
        <v>6.5211999999999994</v>
      </c>
      <c r="F11">
        <f>AVERAGE(C11:E11)</f>
        <v>6.5255333333333327</v>
      </c>
      <c r="I11">
        <f>0.0161747*1000</f>
        <v>16.174700000000001</v>
      </c>
      <c r="J11">
        <f>0.0194952*1000</f>
        <v>19.495200000000001</v>
      </c>
      <c r="K11">
        <f>0.0179234*1000</f>
        <v>17.923399999999997</v>
      </c>
      <c r="L11">
        <f>AVERAGE(I11:K11)</f>
        <v>17.864433333333334</v>
      </c>
      <c r="N11">
        <f>L11/F11</f>
        <v>2.7376204243842142</v>
      </c>
    </row>
    <row r="12" spans="1:15" x14ac:dyDescent="0.3">
      <c r="A12">
        <v>1000</v>
      </c>
      <c r="B12">
        <v>4800000</v>
      </c>
      <c r="C12">
        <f>0.0096617*1000</f>
        <v>9.6616999999999997</v>
      </c>
      <c r="D12">
        <f>0.0106949*1000</f>
        <v>10.694900000000001</v>
      </c>
      <c r="E12">
        <f>0.0131161*1000</f>
        <v>13.116100000000001</v>
      </c>
      <c r="F12">
        <f>AVERAGE(C12:E12)</f>
        <v>11.157566666666668</v>
      </c>
      <c r="I12">
        <f>0.0348647*1000</f>
        <v>34.864699999999999</v>
      </c>
      <c r="J12">
        <f>0.0318031*1000</f>
        <v>31.803100000000001</v>
      </c>
      <c r="K12">
        <f>0.0335559*1000</f>
        <v>33.555900000000001</v>
      </c>
      <c r="L12">
        <f>AVERAGE(I12:K12)</f>
        <v>33.407900000000005</v>
      </c>
      <c r="N12">
        <f>L12/F12</f>
        <v>2.9941922820686711</v>
      </c>
    </row>
    <row r="13" spans="1:15" x14ac:dyDescent="0.3">
      <c r="A13" t="s">
        <v>13</v>
      </c>
    </row>
    <row r="15" spans="1:15" x14ac:dyDescent="0.3">
      <c r="A15" t="s">
        <v>7</v>
      </c>
      <c r="G15" t="s">
        <v>10</v>
      </c>
      <c r="N15" t="s">
        <v>10</v>
      </c>
    </row>
    <row r="16" spans="1:15" x14ac:dyDescent="0.3">
      <c r="A16" t="s">
        <v>0</v>
      </c>
      <c r="B16" t="s">
        <v>8</v>
      </c>
      <c r="C16">
        <v>1</v>
      </c>
      <c r="D16">
        <v>2</v>
      </c>
      <c r="E16">
        <v>3</v>
      </c>
      <c r="F16" t="s">
        <v>3</v>
      </c>
      <c r="G16" t="s">
        <v>9</v>
      </c>
      <c r="I16" t="s">
        <v>2</v>
      </c>
      <c r="J16">
        <v>1</v>
      </c>
      <c r="K16">
        <v>2</v>
      </c>
      <c r="L16">
        <v>3</v>
      </c>
      <c r="M16" t="s">
        <v>3</v>
      </c>
      <c r="N16" t="s">
        <v>9</v>
      </c>
      <c r="O16" t="s">
        <v>4</v>
      </c>
    </row>
    <row r="17" spans="1:15" x14ac:dyDescent="0.3">
      <c r="A17">
        <v>10</v>
      </c>
      <c r="B17">
        <v>48000</v>
      </c>
      <c r="C17">
        <f>0.0012975*1000</f>
        <v>1.2975000000000001</v>
      </c>
      <c r="D17">
        <f>0.0010841*1000</f>
        <v>1.0840999999999998</v>
      </c>
      <c r="E17">
        <f>0.0009807*1000</f>
        <v>0.98069999999999991</v>
      </c>
      <c r="F17">
        <f>AVERAGE(C17:E17)</f>
        <v>1.1207666666666665</v>
      </c>
      <c r="G17">
        <v>5.7000000000000002E-3</v>
      </c>
      <c r="J17">
        <f>0.0013077*1000</f>
        <v>1.3076999999999999</v>
      </c>
      <c r="K17">
        <f>0.0012348*1000</f>
        <v>1.2348000000000001</v>
      </c>
      <c r="L17">
        <f>0.0014193*1000</f>
        <v>1.4193</v>
      </c>
      <c r="M17">
        <f>AVERAGE(J17:L17)</f>
        <v>1.3206</v>
      </c>
      <c r="N17">
        <v>5.7000000000000002E-3</v>
      </c>
      <c r="O17">
        <f>M17/F17</f>
        <v>1.1783005680635281</v>
      </c>
    </row>
    <row r="18" spans="1:15" x14ac:dyDescent="0.3">
      <c r="A18">
        <v>100</v>
      </c>
      <c r="B18">
        <v>480000</v>
      </c>
      <c r="C18">
        <f>0.002552*1000</f>
        <v>2.552</v>
      </c>
      <c r="D18">
        <f>0.0021446*1000</f>
        <v>2.1446000000000001</v>
      </c>
      <c r="E18">
        <f>0.0021038*1000</f>
        <v>2.1037999999999997</v>
      </c>
      <c r="F18">
        <f>AVERAGE(C18:E18)</f>
        <v>2.2667999999999999</v>
      </c>
      <c r="G18">
        <v>6.4000000000000005E-4</v>
      </c>
      <c r="J18">
        <f>0.0047659*1000</f>
        <v>4.7659000000000002</v>
      </c>
      <c r="K18">
        <f>0.0047277*1000</f>
        <v>4.7276999999999996</v>
      </c>
      <c r="L18">
        <f>0.004424*1000</f>
        <v>4.4240000000000004</v>
      </c>
      <c r="M18">
        <f>AVERAGE(J18:L18)</f>
        <v>4.6391999999999998</v>
      </c>
      <c r="N18">
        <f>0.0006407</f>
        <v>6.4070000000000002E-4</v>
      </c>
      <c r="O18">
        <f>M18/F18</f>
        <v>2.0465854949708842</v>
      </c>
    </row>
    <row r="19" spans="1:15" x14ac:dyDescent="0.3">
      <c r="A19">
        <v>500</v>
      </c>
      <c r="B19">
        <v>2400000</v>
      </c>
      <c r="C19">
        <f>0.0071173*1000</f>
        <v>7.1173000000000002</v>
      </c>
      <c r="D19" s="1">
        <f>0.0069558*1000</f>
        <v>6.9558</v>
      </c>
      <c r="E19">
        <f>0.0075198*1000</f>
        <v>7.5198</v>
      </c>
      <c r="F19">
        <f>AVERAGE(C19:E19)</f>
        <v>7.1976333333333331</v>
      </c>
      <c r="G19">
        <v>2.5500000000000002E-4</v>
      </c>
      <c r="J19">
        <f>0.0191429*1000</f>
        <v>19.142900000000001</v>
      </c>
      <c r="K19">
        <f>0.0180212*1000</f>
        <v>18.0212</v>
      </c>
      <c r="L19">
        <f>0.0176482*1000</f>
        <v>17.648199999999999</v>
      </c>
      <c r="M19">
        <f>AVERAGE(J19:L19)</f>
        <v>18.27076666666667</v>
      </c>
      <c r="N19">
        <v>2.5500000000000002E-4</v>
      </c>
      <c r="O19">
        <f>M19/F19</f>
        <v>2.5384408763991875</v>
      </c>
    </row>
    <row r="20" spans="1:15" x14ac:dyDescent="0.3">
      <c r="A20">
        <v>1000</v>
      </c>
      <c r="B20">
        <v>4800000</v>
      </c>
      <c r="C20">
        <f>0.012587*1000</f>
        <v>12.587</v>
      </c>
      <c r="D20">
        <f>0.0118276*1000</f>
        <v>11.8276</v>
      </c>
      <c r="E20">
        <f>0.0124981*1000</f>
        <v>12.498099999999999</v>
      </c>
      <c r="F20">
        <f>AVERAGE(C20:E20)</f>
        <v>12.304233333333334</v>
      </c>
      <c r="G20">
        <v>-3.189E-4</v>
      </c>
      <c r="J20">
        <f>0.0342388*1000</f>
        <v>34.238799999999998</v>
      </c>
      <c r="K20">
        <f>0.0358504*1000</f>
        <v>35.8504</v>
      </c>
      <c r="L20">
        <f>0.0339803*1000</f>
        <v>33.9803</v>
      </c>
      <c r="M20">
        <f>AVERAGE(J20:L20)</f>
        <v>34.689833333333333</v>
      </c>
      <c r="N20">
        <v>-3.189E-4</v>
      </c>
      <c r="O20">
        <f>M20/F20</f>
        <v>2.8193413107141985</v>
      </c>
    </row>
  </sheetData>
  <pageMargins left="0.7" right="0.7" top="0.75" bottom="0.75" header="0.3" footer="0.3"/>
  <pageSetup orientation="portrait" r:id="rId1"/>
  <ignoredErrors>
    <ignoredError sqref="F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2023-02-20T16:59:34Z</dcterms:created>
  <dcterms:modified xsi:type="dcterms:W3CDTF">2023-02-23T13:52:59Z</dcterms:modified>
</cp:coreProperties>
</file>