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99F8D00-DE9F-4A77-B71A-DAD3CE5B7FC1}" xr6:coauthVersionLast="31" xr6:coauthVersionMax="31" xr10:uidLastSave="{00000000-0000-0000-0000-000000000000}"/>
  <bookViews>
    <workbookView xWindow="0" yWindow="0" windowWidth="28080" windowHeight="13056" tabRatio="594" xr2:uid="{00000000-000D-0000-FFFF-FFFF00000000}"/>
  </bookViews>
  <sheets>
    <sheet name="平台事业部 - 平台事业部" sheetId="1" r:id="rId1"/>
    <sheet name="买手事业部 - 买手事业部" sheetId="2" r:id="rId2"/>
    <sheet name="图表 - 平台 " sheetId="5" r:id="rId3"/>
    <sheet name="图表 - 买手" sheetId="4" r:id="rId4"/>
  </sheets>
  <calcPr calcId="179017"/>
</workbook>
</file>

<file path=xl/calcChain.xml><?xml version="1.0" encoding="utf-8"?>
<calcChain xmlns="http://schemas.openxmlformats.org/spreadsheetml/2006/main">
  <c r="W8" i="5" l="1"/>
  <c r="W7" i="5"/>
  <c r="W6" i="5"/>
  <c r="W5" i="5"/>
  <c r="W4" i="5"/>
  <c r="W9" i="5"/>
  <c r="AS35" i="1"/>
  <c r="AS25" i="1"/>
  <c r="AS16" i="1"/>
  <c r="AT16" i="1" s="1"/>
  <c r="W9" i="4"/>
  <c r="W8" i="4"/>
  <c r="W7" i="4"/>
  <c r="W6" i="4"/>
  <c r="W4" i="4"/>
  <c r="AT17" i="2"/>
  <c r="AT16" i="2"/>
  <c r="AT15" i="2"/>
  <c r="AT14" i="2"/>
  <c r="AT13" i="2"/>
  <c r="AT12" i="2"/>
  <c r="AT11" i="2"/>
  <c r="AT10" i="2"/>
  <c r="AT7" i="2"/>
  <c r="AT6" i="2"/>
  <c r="AT5" i="2"/>
  <c r="AT4" i="2"/>
  <c r="AS33" i="1"/>
  <c r="AS31" i="1"/>
  <c r="AS22" i="1"/>
  <c r="AT22" i="1" s="1"/>
  <c r="AS26" i="1"/>
  <c r="AT35" i="1"/>
  <c r="AT34" i="1"/>
  <c r="AT33" i="1"/>
  <c r="AT32" i="1"/>
  <c r="AT31" i="1"/>
  <c r="AT30" i="1"/>
  <c r="AT29" i="1"/>
  <c r="AT26" i="1"/>
  <c r="AT25" i="1"/>
  <c r="AT23" i="1"/>
  <c r="AT21" i="1"/>
  <c r="AT20" i="1"/>
  <c r="AT18" i="1"/>
  <c r="AT17" i="1"/>
  <c r="AT14" i="1"/>
  <c r="AT13" i="1"/>
  <c r="AT12" i="1"/>
  <c r="AT9" i="1"/>
  <c r="AT8" i="1"/>
  <c r="AT6" i="1"/>
  <c r="AT5" i="1"/>
  <c r="AT4" i="1"/>
  <c r="V9" i="4" l="1"/>
  <c r="V8" i="4"/>
  <c r="V7" i="4"/>
  <c r="V6" i="4"/>
  <c r="V4" i="4"/>
  <c r="V9" i="5"/>
  <c r="V8" i="5"/>
  <c r="V5" i="5"/>
  <c r="V4" i="5"/>
  <c r="AQ35" i="1"/>
  <c r="AQ33" i="1"/>
  <c r="AQ31" i="1"/>
  <c r="AQ26" i="1"/>
  <c r="AQ25" i="1"/>
  <c r="V7" i="5" s="1"/>
  <c r="AQ22" i="1"/>
  <c r="AQ16" i="1"/>
  <c r="V6" i="5" s="1"/>
  <c r="AR17" i="2" l="1"/>
  <c r="AR16" i="2"/>
  <c r="AR15" i="2"/>
  <c r="AR14" i="2"/>
  <c r="AR13" i="2"/>
  <c r="AR12" i="2"/>
  <c r="AR11" i="2"/>
  <c r="AR10" i="2"/>
  <c r="AR7" i="2"/>
  <c r="AR6" i="2"/>
  <c r="AR5" i="2"/>
  <c r="AR4" i="2"/>
  <c r="AR34" i="1" l="1"/>
  <c r="AR33" i="1"/>
  <c r="AR32" i="1"/>
  <c r="AR30" i="1"/>
  <c r="AR29" i="1"/>
  <c r="AR25" i="1"/>
  <c r="AR23" i="1"/>
  <c r="AR21" i="1"/>
  <c r="AR20" i="1"/>
  <c r="AR17" i="1"/>
  <c r="AR14" i="1"/>
  <c r="AR13" i="1"/>
  <c r="AR12" i="1"/>
  <c r="AR9" i="1"/>
  <c r="AR8" i="1"/>
  <c r="AR6" i="1"/>
  <c r="AR5" i="1"/>
  <c r="AR4" i="1"/>
  <c r="U9" i="4"/>
  <c r="T9" i="4"/>
  <c r="S9" i="4"/>
  <c r="R9" i="4"/>
  <c r="Q9" i="4"/>
  <c r="P9" i="4"/>
  <c r="O9" i="4"/>
  <c r="N9" i="4"/>
  <c r="M9" i="4"/>
  <c r="L9" i="4"/>
  <c r="K9" i="4"/>
  <c r="J9" i="4"/>
  <c r="I9" i="4"/>
  <c r="U8" i="4"/>
  <c r="T8" i="4"/>
  <c r="S8" i="4"/>
  <c r="R8" i="4"/>
  <c r="Q8" i="4"/>
  <c r="P8" i="4"/>
  <c r="O8" i="4"/>
  <c r="N8" i="4"/>
  <c r="M8" i="4"/>
  <c r="L8" i="4"/>
  <c r="K8" i="4"/>
  <c r="J8" i="4"/>
  <c r="I8" i="4"/>
  <c r="U7" i="4"/>
  <c r="T7" i="4"/>
  <c r="S7" i="4"/>
  <c r="R7" i="4"/>
  <c r="Q7" i="4"/>
  <c r="P7" i="4"/>
  <c r="O7" i="4"/>
  <c r="N7" i="4"/>
  <c r="M7" i="4"/>
  <c r="L7" i="4"/>
  <c r="K7" i="4"/>
  <c r="J7" i="4"/>
  <c r="I7" i="4"/>
  <c r="U6" i="4"/>
  <c r="T6" i="4"/>
  <c r="S6" i="4"/>
  <c r="R6" i="4"/>
  <c r="Q6" i="4"/>
  <c r="P6" i="4"/>
  <c r="O6" i="4"/>
  <c r="N6" i="4"/>
  <c r="M6" i="4"/>
  <c r="L6" i="4"/>
  <c r="K6" i="4"/>
  <c r="J6" i="4"/>
  <c r="I6" i="4"/>
  <c r="U4" i="4"/>
  <c r="T4" i="4"/>
  <c r="S4" i="4"/>
  <c r="R4" i="4"/>
  <c r="Q4" i="4"/>
  <c r="P4" i="4"/>
  <c r="O4" i="4"/>
  <c r="N4" i="4"/>
  <c r="M4" i="4"/>
  <c r="L4" i="4"/>
  <c r="K4" i="4"/>
  <c r="J4" i="4"/>
  <c r="I4" i="4"/>
  <c r="T10" i="5"/>
  <c r="S10" i="5"/>
  <c r="Q10" i="5"/>
  <c r="P10" i="5"/>
  <c r="O10" i="5"/>
  <c r="N10" i="5"/>
  <c r="M10" i="5"/>
  <c r="U9" i="5"/>
  <c r="T9" i="5"/>
  <c r="S9" i="5"/>
  <c r="R9" i="5"/>
  <c r="Q9" i="5"/>
  <c r="P9" i="5"/>
  <c r="O9" i="5"/>
  <c r="N9" i="5"/>
  <c r="M9" i="5"/>
  <c r="U8" i="5"/>
  <c r="T8" i="5"/>
  <c r="S8" i="5"/>
  <c r="R8" i="5"/>
  <c r="Q8" i="5"/>
  <c r="P8" i="5"/>
  <c r="O8" i="5"/>
  <c r="N8" i="5"/>
  <c r="M8" i="5"/>
  <c r="L8" i="5"/>
  <c r="K8" i="5"/>
  <c r="J8" i="5"/>
  <c r="I8" i="5"/>
  <c r="M7" i="5"/>
  <c r="U6" i="5"/>
  <c r="Q6" i="5"/>
  <c r="E6" i="5"/>
  <c r="U5" i="5"/>
  <c r="T5" i="5"/>
  <c r="S5" i="5"/>
  <c r="R5" i="5"/>
  <c r="Q5" i="5"/>
  <c r="P5" i="5"/>
  <c r="O5" i="5"/>
  <c r="N5" i="5"/>
  <c r="M5" i="5"/>
  <c r="L5" i="5"/>
  <c r="K5" i="5"/>
  <c r="J5" i="5"/>
  <c r="I5" i="5"/>
  <c r="U4" i="5"/>
  <c r="T4" i="5"/>
  <c r="S4" i="5"/>
  <c r="R4" i="5"/>
  <c r="Q4" i="5"/>
  <c r="P4" i="5"/>
  <c r="O4" i="5"/>
  <c r="N4" i="5"/>
  <c r="M4" i="5"/>
  <c r="L4" i="5"/>
  <c r="K4" i="5"/>
  <c r="J4" i="5"/>
  <c r="I4" i="5"/>
  <c r="AP17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AP16" i="2"/>
  <c r="AN16" i="2"/>
  <c r="AL16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D16" i="2"/>
  <c r="AP15" i="2"/>
  <c r="AN15" i="2"/>
  <c r="AL15" i="2"/>
  <c r="AJ15" i="2"/>
  <c r="AH15" i="2"/>
  <c r="AF15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D15" i="2"/>
  <c r="AP14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D14" i="2"/>
  <c r="AP13" i="2"/>
  <c r="AN13" i="2"/>
  <c r="AL13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J13" i="2"/>
  <c r="H13" i="2"/>
  <c r="F13" i="2"/>
  <c r="D13" i="2"/>
  <c r="AP12" i="2"/>
  <c r="AN12" i="2"/>
  <c r="AL12" i="2"/>
  <c r="AJ12" i="2"/>
  <c r="AH12" i="2"/>
  <c r="AF12" i="2"/>
  <c r="AD12" i="2"/>
  <c r="AB12" i="2"/>
  <c r="Z12" i="2"/>
  <c r="X12" i="2"/>
  <c r="V12" i="2"/>
  <c r="T12" i="2"/>
  <c r="R12" i="2"/>
  <c r="Q12" i="2"/>
  <c r="O12" i="2"/>
  <c r="M12" i="2"/>
  <c r="N12" i="2" s="1"/>
  <c r="K12" i="2"/>
  <c r="I12" i="2"/>
  <c r="J12" i="2" s="1"/>
  <c r="G12" i="2"/>
  <c r="H12" i="2" s="1"/>
  <c r="E12" i="2"/>
  <c r="C12" i="2"/>
  <c r="B12" i="2"/>
  <c r="AP11" i="2"/>
  <c r="AN11" i="2"/>
  <c r="AL11" i="2"/>
  <c r="AJ11" i="2"/>
  <c r="AH11" i="2"/>
  <c r="AF11" i="2"/>
  <c r="AD11" i="2"/>
  <c r="AB11" i="2"/>
  <c r="Z11" i="2"/>
  <c r="X11" i="2"/>
  <c r="V11" i="2"/>
  <c r="T11" i="2"/>
  <c r="R11" i="2"/>
  <c r="P11" i="2"/>
  <c r="N11" i="2"/>
  <c r="L11" i="2"/>
  <c r="J11" i="2"/>
  <c r="H11" i="2"/>
  <c r="F11" i="2"/>
  <c r="D11" i="2"/>
  <c r="AP10" i="2"/>
  <c r="AN10" i="2"/>
  <c r="AL10" i="2"/>
  <c r="AJ10" i="2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D10" i="2"/>
  <c r="P8" i="2"/>
  <c r="N8" i="2"/>
  <c r="L8" i="2"/>
  <c r="J8" i="2"/>
  <c r="H8" i="2"/>
  <c r="F8" i="2"/>
  <c r="D8" i="2"/>
  <c r="AP7" i="2"/>
  <c r="AN7" i="2"/>
  <c r="AL7" i="2"/>
  <c r="AJ7" i="2"/>
  <c r="AH7" i="2"/>
  <c r="AF7" i="2"/>
  <c r="AD7" i="2"/>
  <c r="AB7" i="2"/>
  <c r="Z7" i="2"/>
  <c r="X7" i="2"/>
  <c r="V7" i="2"/>
  <c r="T7" i="2"/>
  <c r="R7" i="2"/>
  <c r="P7" i="2"/>
  <c r="AP6" i="2"/>
  <c r="AN6" i="2"/>
  <c r="AL6" i="2"/>
  <c r="AJ6" i="2"/>
  <c r="AH6" i="2"/>
  <c r="AF6" i="2"/>
  <c r="AD6" i="2"/>
  <c r="AB6" i="2"/>
  <c r="Z6" i="2"/>
  <c r="X6" i="2"/>
  <c r="V6" i="2"/>
  <c r="T6" i="2"/>
  <c r="R6" i="2"/>
  <c r="P6" i="2"/>
  <c r="AP5" i="2"/>
  <c r="AN5" i="2"/>
  <c r="AL5" i="2"/>
  <c r="AJ5" i="2"/>
  <c r="AH5" i="2"/>
  <c r="AF5" i="2"/>
  <c r="AD5" i="2"/>
  <c r="AB5" i="2"/>
  <c r="Z5" i="2"/>
  <c r="X5" i="2"/>
  <c r="V5" i="2"/>
  <c r="T5" i="2"/>
  <c r="R5" i="2"/>
  <c r="P5" i="2"/>
  <c r="AP4" i="2"/>
  <c r="AN4" i="2"/>
  <c r="AL4" i="2"/>
  <c r="AJ4" i="2"/>
  <c r="AH4" i="2"/>
  <c r="AF4" i="2"/>
  <c r="AD4" i="2"/>
  <c r="AB4" i="2"/>
  <c r="Z4" i="2"/>
  <c r="X4" i="2"/>
  <c r="V4" i="2"/>
  <c r="T4" i="2"/>
  <c r="R4" i="2"/>
  <c r="P4" i="2"/>
  <c r="AN42" i="1"/>
  <c r="AH42" i="1"/>
  <c r="AF42" i="1"/>
  <c r="AD42" i="1"/>
  <c r="AB42" i="1"/>
  <c r="Z42" i="1"/>
  <c r="X42" i="1"/>
  <c r="P42" i="1"/>
  <c r="N42" i="1"/>
  <c r="L42" i="1"/>
  <c r="J42" i="1"/>
  <c r="H42" i="1"/>
  <c r="F42" i="1"/>
  <c r="D42" i="1"/>
  <c r="AB41" i="1"/>
  <c r="Z41" i="1"/>
  <c r="X41" i="1"/>
  <c r="V41" i="1"/>
  <c r="T41" i="1"/>
  <c r="R41" i="1"/>
  <c r="P41" i="1"/>
  <c r="N41" i="1"/>
  <c r="L41" i="1"/>
  <c r="H41" i="1"/>
  <c r="F41" i="1"/>
  <c r="D41" i="1"/>
  <c r="X40" i="1"/>
  <c r="V40" i="1"/>
  <c r="T40" i="1"/>
  <c r="R40" i="1"/>
  <c r="AN39" i="1"/>
  <c r="AL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X38" i="1"/>
  <c r="V38" i="1"/>
  <c r="T38" i="1"/>
  <c r="R38" i="1"/>
  <c r="P38" i="1"/>
  <c r="L38" i="1"/>
  <c r="H38" i="1"/>
  <c r="F38" i="1"/>
  <c r="D38" i="1"/>
  <c r="AN37" i="1"/>
  <c r="AL37" i="1"/>
  <c r="AJ37" i="1"/>
  <c r="AH37" i="1"/>
  <c r="AF37" i="1"/>
  <c r="AD37" i="1"/>
  <c r="AB37" i="1"/>
  <c r="Z37" i="1"/>
  <c r="X37" i="1"/>
  <c r="V37" i="1"/>
  <c r="T37" i="1"/>
  <c r="R37" i="1"/>
  <c r="P37" i="1"/>
  <c r="L37" i="1"/>
  <c r="J37" i="1"/>
  <c r="H37" i="1"/>
  <c r="AO35" i="1"/>
  <c r="AM35" i="1"/>
  <c r="AN35" i="1" s="1"/>
  <c r="AK35" i="1"/>
  <c r="AI35" i="1"/>
  <c r="AJ35" i="1" s="1"/>
  <c r="AG35" i="1"/>
  <c r="AH35" i="1" s="1"/>
  <c r="AE35" i="1"/>
  <c r="AC35" i="1"/>
  <c r="AD35" i="1" s="1"/>
  <c r="AB35" i="1"/>
  <c r="AA35" i="1"/>
  <c r="Y35" i="1"/>
  <c r="W35" i="1"/>
  <c r="X35" i="1" s="1"/>
  <c r="U35" i="1"/>
  <c r="S35" i="1"/>
  <c r="T35" i="1" s="1"/>
  <c r="Q35" i="1"/>
  <c r="R35" i="1" s="1"/>
  <c r="O35" i="1"/>
  <c r="M35" i="1"/>
  <c r="N35" i="1" s="1"/>
  <c r="L35" i="1"/>
  <c r="K35" i="1"/>
  <c r="I35" i="1"/>
  <c r="G35" i="1"/>
  <c r="H35" i="1" s="1"/>
  <c r="E35" i="1"/>
  <c r="C35" i="1"/>
  <c r="D35" i="1" s="1"/>
  <c r="B35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AO33" i="1"/>
  <c r="AP33" i="1" s="1"/>
  <c r="AM33" i="1"/>
  <c r="AK33" i="1"/>
  <c r="AI33" i="1"/>
  <c r="AJ33" i="1" s="1"/>
  <c r="AG33" i="1"/>
  <c r="AH33" i="1" s="1"/>
  <c r="AE33" i="1"/>
  <c r="AC33" i="1"/>
  <c r="AA33" i="1"/>
  <c r="AB33" i="1" s="1"/>
  <c r="Y33" i="1"/>
  <c r="Z33" i="1" s="1"/>
  <c r="W33" i="1"/>
  <c r="U33" i="1"/>
  <c r="S33" i="1"/>
  <c r="T33" i="1" s="1"/>
  <c r="Q33" i="1"/>
  <c r="R33" i="1" s="1"/>
  <c r="O33" i="1"/>
  <c r="M33" i="1"/>
  <c r="K33" i="1"/>
  <c r="L33" i="1" s="1"/>
  <c r="I33" i="1"/>
  <c r="J33" i="1" s="1"/>
  <c r="G33" i="1"/>
  <c r="E33" i="1"/>
  <c r="C33" i="1"/>
  <c r="D33" i="1" s="1"/>
  <c r="B33" i="1"/>
  <c r="AP32" i="1"/>
  <c r="AN32" i="1"/>
  <c r="AL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AO31" i="1"/>
  <c r="AR31" i="1" s="1"/>
  <c r="AM31" i="1"/>
  <c r="AK31" i="1"/>
  <c r="AI31" i="1"/>
  <c r="AL31" i="1" s="1"/>
  <c r="AH31" i="1"/>
  <c r="AG31" i="1"/>
  <c r="AE31" i="1"/>
  <c r="AC31" i="1"/>
  <c r="AF31" i="1" s="1"/>
  <c r="AA31" i="1"/>
  <c r="Y31" i="1"/>
  <c r="Z31" i="1" s="1"/>
  <c r="W31" i="1"/>
  <c r="X31" i="1" s="1"/>
  <c r="U31" i="1"/>
  <c r="S31" i="1"/>
  <c r="T31" i="1" s="1"/>
  <c r="R31" i="1"/>
  <c r="Q31" i="1"/>
  <c r="O31" i="1"/>
  <c r="M31" i="1"/>
  <c r="N31" i="1" s="1"/>
  <c r="K31" i="1"/>
  <c r="I31" i="1"/>
  <c r="J31" i="1" s="1"/>
  <c r="G31" i="1"/>
  <c r="H31" i="1" s="1"/>
  <c r="E31" i="1"/>
  <c r="C31" i="1"/>
  <c r="B31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AD27" i="1"/>
  <c r="AA27" i="1"/>
  <c r="Y27" i="1"/>
  <c r="Z27" i="1" s="1"/>
  <c r="W27" i="1"/>
  <c r="U27" i="1"/>
  <c r="V27" i="1" s="1"/>
  <c r="S27" i="1"/>
  <c r="T27" i="1" s="1"/>
  <c r="Q27" i="1"/>
  <c r="O27" i="1"/>
  <c r="P27" i="1" s="1"/>
  <c r="N27" i="1"/>
  <c r="M27" i="1"/>
  <c r="K27" i="1"/>
  <c r="AO26" i="1"/>
  <c r="AM26" i="1"/>
  <c r="AK26" i="1"/>
  <c r="AL26" i="1" s="1"/>
  <c r="AI26" i="1"/>
  <c r="AG26" i="1"/>
  <c r="AE26" i="1"/>
  <c r="AC26" i="1"/>
  <c r="AD26" i="1" s="1"/>
  <c r="AA26" i="1"/>
  <c r="Y26" i="1"/>
  <c r="W26" i="1"/>
  <c r="U26" i="1"/>
  <c r="V26" i="1" s="1"/>
  <c r="S26" i="1"/>
  <c r="Q26" i="1"/>
  <c r="O26" i="1"/>
  <c r="M26" i="1"/>
  <c r="N26" i="1" s="1"/>
  <c r="K26" i="1"/>
  <c r="I26" i="1"/>
  <c r="G26" i="1"/>
  <c r="H26" i="1" s="1"/>
  <c r="E26" i="1"/>
  <c r="F26" i="1" s="1"/>
  <c r="C26" i="1"/>
  <c r="B26" i="1"/>
  <c r="AP25" i="1"/>
  <c r="AO25" i="1"/>
  <c r="U7" i="5" s="1"/>
  <c r="AM25" i="1"/>
  <c r="AK25" i="1"/>
  <c r="S7" i="5" s="1"/>
  <c r="AI25" i="1"/>
  <c r="AG25" i="1"/>
  <c r="AH25" i="1" s="1"/>
  <c r="AE25" i="1"/>
  <c r="AF25" i="1" s="1"/>
  <c r="AC25" i="1"/>
  <c r="O7" i="5" s="1"/>
  <c r="AA25" i="1"/>
  <c r="AB25" i="1" s="1"/>
  <c r="Z25" i="1"/>
  <c r="Y25" i="1"/>
  <c r="W25" i="1"/>
  <c r="U25" i="1"/>
  <c r="K7" i="5" s="1"/>
  <c r="S25" i="1"/>
  <c r="Q25" i="1"/>
  <c r="I7" i="5" s="1"/>
  <c r="O25" i="1"/>
  <c r="P25" i="1" s="1"/>
  <c r="M25" i="1"/>
  <c r="G7" i="5" s="1"/>
  <c r="K25" i="1"/>
  <c r="L25" i="1" s="1"/>
  <c r="J25" i="1"/>
  <c r="I25" i="1"/>
  <c r="E7" i="5" s="1"/>
  <c r="G25" i="1"/>
  <c r="E25" i="1"/>
  <c r="C7" i="5" s="1"/>
  <c r="C25" i="1"/>
  <c r="D25" i="1" s="1"/>
  <c r="B25" i="1"/>
  <c r="AD24" i="1"/>
  <c r="AB24" i="1"/>
  <c r="Z24" i="1"/>
  <c r="X24" i="1"/>
  <c r="V24" i="1"/>
  <c r="T24" i="1"/>
  <c r="R24" i="1"/>
  <c r="P24" i="1"/>
  <c r="N24" i="1"/>
  <c r="AP23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AO22" i="1"/>
  <c r="AP22" i="1" s="1"/>
  <c r="AM22" i="1"/>
  <c r="AK22" i="1"/>
  <c r="AL22" i="1" s="1"/>
  <c r="AJ22" i="1"/>
  <c r="AI22" i="1"/>
  <c r="AG22" i="1"/>
  <c r="AE22" i="1"/>
  <c r="AF22" i="1" s="1"/>
  <c r="AC22" i="1"/>
  <c r="AA22" i="1"/>
  <c r="AB22" i="1" s="1"/>
  <c r="Y22" i="1"/>
  <c r="Z22" i="1" s="1"/>
  <c r="W22" i="1"/>
  <c r="U22" i="1"/>
  <c r="V22" i="1" s="1"/>
  <c r="T22" i="1"/>
  <c r="S22" i="1"/>
  <c r="Q22" i="1"/>
  <c r="O22" i="1"/>
  <c r="P22" i="1" s="1"/>
  <c r="M22" i="1"/>
  <c r="K22" i="1"/>
  <c r="L22" i="1" s="1"/>
  <c r="I22" i="1"/>
  <c r="J22" i="1" s="1"/>
  <c r="G22" i="1"/>
  <c r="E22" i="1"/>
  <c r="F22" i="1" s="1"/>
  <c r="D22" i="1"/>
  <c r="C22" i="1"/>
  <c r="B22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AD19" i="1"/>
  <c r="AB19" i="1"/>
  <c r="Z19" i="1"/>
  <c r="X19" i="1"/>
  <c r="V19" i="1"/>
  <c r="T19" i="1"/>
  <c r="O19" i="1"/>
  <c r="M19" i="1"/>
  <c r="N19" i="1" s="1"/>
  <c r="K19" i="1"/>
  <c r="AO18" i="1"/>
  <c r="AP18" i="1" s="1"/>
  <c r="AM18" i="1"/>
  <c r="AK18" i="1"/>
  <c r="AI18" i="1"/>
  <c r="AG18" i="1"/>
  <c r="AH18" i="1" s="1"/>
  <c r="AE18" i="1"/>
  <c r="AC18" i="1"/>
  <c r="AA18" i="1"/>
  <c r="Y18" i="1"/>
  <c r="Z18" i="1" s="1"/>
  <c r="W18" i="1"/>
  <c r="U18" i="1"/>
  <c r="S18" i="1"/>
  <c r="Q18" i="1"/>
  <c r="R18" i="1" s="1"/>
  <c r="O18" i="1"/>
  <c r="M18" i="1"/>
  <c r="K18" i="1"/>
  <c r="AP17" i="1"/>
  <c r="AN17" i="1"/>
  <c r="AL17" i="1"/>
  <c r="AF17" i="1"/>
  <c r="AD17" i="1"/>
  <c r="AB17" i="1"/>
  <c r="Z17" i="1"/>
  <c r="X17" i="1"/>
  <c r="V17" i="1"/>
  <c r="T17" i="1"/>
  <c r="O17" i="1"/>
  <c r="R17" i="1" s="1"/>
  <c r="M17" i="1"/>
  <c r="N17" i="1" s="1"/>
  <c r="K17" i="1"/>
  <c r="I17" i="1"/>
  <c r="G17" i="1"/>
  <c r="E17" i="1"/>
  <c r="F17" i="1" s="1"/>
  <c r="C17" i="1"/>
  <c r="B17" i="1"/>
  <c r="D17" i="1" s="1"/>
  <c r="AP16" i="1"/>
  <c r="AO16" i="1"/>
  <c r="AR16" i="1" s="1"/>
  <c r="AM16" i="1"/>
  <c r="AK16" i="1"/>
  <c r="S6" i="5" s="1"/>
  <c r="AI16" i="1"/>
  <c r="AG16" i="1"/>
  <c r="AH16" i="1" s="1"/>
  <c r="AE16" i="1"/>
  <c r="AF16" i="1" s="1"/>
  <c r="AC16" i="1"/>
  <c r="O6" i="5" s="1"/>
  <c r="AA16" i="1"/>
  <c r="AB16" i="1" s="1"/>
  <c r="Z16" i="1"/>
  <c r="Y16" i="1"/>
  <c r="M6" i="5" s="1"/>
  <c r="W16" i="1"/>
  <c r="U16" i="1"/>
  <c r="K6" i="5" s="1"/>
  <c r="S16" i="1"/>
  <c r="Q16" i="1"/>
  <c r="I6" i="5" s="1"/>
  <c r="O16" i="1"/>
  <c r="P16" i="1" s="1"/>
  <c r="M16" i="1"/>
  <c r="G6" i="5" s="1"/>
  <c r="K16" i="1"/>
  <c r="L16" i="1" s="1"/>
  <c r="J16" i="1"/>
  <c r="I16" i="1"/>
  <c r="G16" i="1"/>
  <c r="E16" i="1"/>
  <c r="C6" i="5" s="1"/>
  <c r="C16" i="1"/>
  <c r="D16" i="1" s="1"/>
  <c r="B16" i="1"/>
  <c r="AD15" i="1"/>
  <c r="AB15" i="1"/>
  <c r="Z15" i="1"/>
  <c r="X15" i="1"/>
  <c r="V15" i="1"/>
  <c r="T15" i="1"/>
  <c r="R15" i="1"/>
  <c r="P15" i="1"/>
  <c r="N15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AP12" i="1"/>
  <c r="AN12" i="1"/>
  <c r="AL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AD10" i="1"/>
  <c r="AB10" i="1"/>
  <c r="Z10" i="1"/>
  <c r="X10" i="1"/>
  <c r="V10" i="1"/>
  <c r="T10" i="1"/>
  <c r="R10" i="1"/>
  <c r="P10" i="1"/>
  <c r="N10" i="1"/>
  <c r="AP9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AP8" i="1"/>
  <c r="AN8" i="1"/>
  <c r="AL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AP6" i="1"/>
  <c r="AN6" i="1"/>
  <c r="AL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AP5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F5" i="1"/>
  <c r="D5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F16" i="1" l="1"/>
  <c r="V16" i="1"/>
  <c r="AL16" i="1"/>
  <c r="J17" i="1"/>
  <c r="N18" i="1"/>
  <c r="V18" i="1"/>
  <c r="AD18" i="1"/>
  <c r="AL18" i="1"/>
  <c r="F25" i="1"/>
  <c r="V25" i="1"/>
  <c r="AL25" i="1"/>
  <c r="J26" i="1"/>
  <c r="R26" i="1"/>
  <c r="Z26" i="1"/>
  <c r="AH26" i="1"/>
  <c r="D31" i="1"/>
  <c r="AD31" i="1"/>
  <c r="F33" i="1"/>
  <c r="N33" i="1"/>
  <c r="V33" i="1"/>
  <c r="AD33" i="1"/>
  <c r="AL33" i="1"/>
  <c r="D12" i="2"/>
  <c r="Q7" i="5"/>
  <c r="H16" i="1"/>
  <c r="R16" i="1"/>
  <c r="X16" i="1"/>
  <c r="AN16" i="1"/>
  <c r="R22" i="1"/>
  <c r="AH22" i="1"/>
  <c r="H25" i="1"/>
  <c r="R25" i="1"/>
  <c r="X25" i="1"/>
  <c r="AN25" i="1"/>
  <c r="D26" i="1"/>
  <c r="L26" i="1"/>
  <c r="AB27" i="1"/>
  <c r="P31" i="1"/>
  <c r="AN31" i="1"/>
  <c r="AP31" i="1"/>
  <c r="H33" i="1"/>
  <c r="P33" i="1"/>
  <c r="X33" i="1"/>
  <c r="AF33" i="1"/>
  <c r="AN33" i="1"/>
  <c r="J35" i="1"/>
  <c r="Z35" i="1"/>
  <c r="AP35" i="1"/>
  <c r="P12" i="2"/>
  <c r="AR22" i="1"/>
  <c r="N16" i="1"/>
  <c r="T16" i="1"/>
  <c r="AD16" i="1"/>
  <c r="AJ16" i="1"/>
  <c r="P19" i="1"/>
  <c r="H22" i="1"/>
  <c r="N22" i="1"/>
  <c r="X22" i="1"/>
  <c r="AD22" i="1"/>
  <c r="AN22" i="1"/>
  <c r="N25" i="1"/>
  <c r="T25" i="1"/>
  <c r="AD25" i="1"/>
  <c r="AJ25" i="1"/>
  <c r="R27" i="1"/>
  <c r="X27" i="1"/>
  <c r="F31" i="1"/>
  <c r="L31" i="1"/>
  <c r="V31" i="1"/>
  <c r="AB31" i="1"/>
  <c r="AJ31" i="1"/>
  <c r="F35" i="1"/>
  <c r="P35" i="1"/>
  <c r="V35" i="1"/>
  <c r="AF35" i="1"/>
  <c r="AL35" i="1"/>
  <c r="F12" i="2"/>
  <c r="L12" i="2"/>
  <c r="AR18" i="1"/>
  <c r="AR35" i="1"/>
  <c r="AP26" i="1"/>
  <c r="AR26" i="1"/>
  <c r="H17" i="1"/>
  <c r="L17" i="1"/>
  <c r="P17" i="1"/>
  <c r="P18" i="1"/>
  <c r="T18" i="1"/>
  <c r="X18" i="1"/>
  <c r="AB18" i="1"/>
  <c r="AF18" i="1"/>
  <c r="AJ18" i="1"/>
  <c r="AN18" i="1"/>
  <c r="R19" i="1"/>
  <c r="P26" i="1"/>
  <c r="T26" i="1"/>
  <c r="X26" i="1"/>
  <c r="AB26" i="1"/>
  <c r="AF26" i="1"/>
  <c r="AJ26" i="1"/>
  <c r="AN26" i="1"/>
  <c r="D6" i="5"/>
  <c r="H6" i="5"/>
  <c r="L6" i="5"/>
  <c r="P6" i="5"/>
  <c r="T6" i="5"/>
  <c r="D7" i="5"/>
  <c r="H7" i="5"/>
  <c r="L7" i="5"/>
  <c r="P7" i="5"/>
  <c r="T7" i="5"/>
  <c r="B6" i="5"/>
  <c r="F6" i="5"/>
  <c r="J6" i="5"/>
  <c r="N6" i="5"/>
  <c r="R6" i="5"/>
  <c r="B7" i="5"/>
  <c r="F7" i="5"/>
  <c r="J7" i="5"/>
  <c r="N7" i="5"/>
  <c r="R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周的起始日</t>
        </r>
      </text>
    </comment>
    <comment ref="A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友盟的周从周日开始</t>
        </r>
      </text>
    </comment>
    <comment ref="A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一周：上周六-这周五</t>
        </r>
      </text>
    </comment>
    <comment ref="A6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一周：上周六-这周五
</t>
        </r>
      </text>
    </comment>
    <comment ref="A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市场部表示暂时估计不出</t>
        </r>
      </text>
    </comment>
    <comment ref="AE8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市场部反馈：
春节期间市场推广无费用支出消耗，只有马克那边自己的微博粉丝通涨粉消耗</t>
        </r>
      </text>
    </comment>
    <comment ref="AG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市场部反馈：
春节期间市场推广无费用支出消耗，只有马克那边自己的微博粉丝通涨粉消耗</t>
        </r>
      </text>
    </comment>
    <comment ref="S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毛估值，ios暂时只更新到周三，实际值是485
</t>
        </r>
      </text>
    </comment>
    <comment ref="U9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1.5开始接入moblink 文章分享没有了,预计少了2/3+
</t>
        </r>
      </text>
    </comment>
    <comment ref="W9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1.5开始接入moblink 文章分享没有了,预计少了2/3+
</t>
        </r>
      </text>
    </comment>
    <comment ref="Y9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1.5开始接入moblink 文章分享没有了,预计少了2/3+
</t>
        </r>
      </text>
    </comment>
    <comment ref="AA9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1.5开始接入moblink 文章分享没有了,预计少了2/3+
</t>
        </r>
      </text>
    </comment>
    <comment ref="AC9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1.5开始接入moblink 文章分享没有了,预计少了2/3+
</t>
        </r>
      </text>
    </comment>
    <comment ref="AE9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此为1分购数据，其他数据缺失（新人红包及拼团从2月10号开始没有；文章分享1月5号（接入moblink之后），开始没有）
</t>
        </r>
      </text>
    </comment>
    <comment ref="AG9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此为1分购数据，其他数据缺失（新人红包及拼团从2月10号开始没有；文章分享1月5号（接入moblink之后），开始没有）
</t>
        </r>
      </text>
    </comment>
    <comment ref="AI9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此为1分购数据，其他数据缺失（新人红包及拼团从2月10号开始没有；文章分享1月5号（接入moblink之后），开始没有）
</t>
        </r>
      </text>
    </comment>
    <comment ref="AE12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市场部反馈：
春节期间市场推广无费用支出消耗，只有马克那边自己的微博粉丝通涨粉消耗</t>
        </r>
      </text>
    </comment>
    <comment ref="AG12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市场部反馈：
春节期间市场推广无费用支出消耗，只有马克那边自己的微博粉丝通涨粉消耗</t>
        </r>
      </text>
    </comment>
    <comment ref="AE17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市场部反馈：
春节期间市场推广无费用支出消耗，只有马克那边自己的微博粉丝通涨粉消耗</t>
        </r>
      </text>
    </comment>
    <comment ref="AG17" authorId="0" shapeId="0" xr:uid="{00000000-0006-0000-0000-00001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市场部反馈：
春节期间市场推广无费用支出消耗，只有马克那边自己的微博粉丝通涨粉消耗</t>
        </r>
      </text>
    </comment>
    <comment ref="A22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= 周新付费用户量/周新增激活用户量</t>
        </r>
      </text>
    </comment>
    <comment ref="AM23" authorId="0" shapeId="0" xr:uid="{33CF57F5-F6BC-4A64-B8D1-E57985C1330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桔子反馈：数值调整</t>
        </r>
      </text>
    </comment>
    <comment ref="AO23" authorId="0" shapeId="0" xr:uid="{B4E22FA8-F3BC-4C9A-9750-095A0EAA7F3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桔子反馈：数值调整</t>
        </r>
      </text>
    </comment>
    <comment ref="A30" authorId="0" shapeId="0" xr:uid="{00000000-0006-0000-00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在某周内注册的新用户 在某周的所有消费总额</t>
        </r>
      </text>
    </comment>
    <comment ref="A33" authorId="0" shapeId="0" xr:uid="{00000000-0006-0000-0000-00001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人均订单量</t>
        </r>
      </text>
    </comment>
    <comment ref="C39" authorId="0" shapeId="0" xr:uid="{00000000-0006-0000-0000-00001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偏少，双十一被后端关掉了数据更新任务，以减轻服务器压力</t>
        </r>
      </text>
    </comment>
    <comment ref="E39" authorId="0" shapeId="0" xr:uid="{00000000-0006-0000-0000-00001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偏少，双十一被后端关掉了数据更新任务，以减轻服务器压力
</t>
        </r>
      </text>
    </comment>
    <comment ref="M39" authorId="0" shapeId="0" xr:uid="{00000000-0006-0000-0000-00001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偏少，双十二被后端关掉了数据更新任务，以减轻服务器压力</t>
        </r>
      </text>
    </comment>
    <comment ref="A40" authorId="0" shapeId="0" xr:uid="{00000000-0006-0000-0000-00001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若要记录，需买手们自行记录，后端结构暂不支持翻新</t>
        </r>
      </text>
    </comment>
    <comment ref="Q42" authorId="0" shapeId="0" xr:uid="{00000000-0006-0000-0000-00001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
</t>
        </r>
      </text>
    </comment>
    <comment ref="S42" authorId="0" shapeId="0" xr:uid="{00000000-0006-0000-0000-00001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周的起始日</t>
        </r>
      </text>
    </comment>
    <comment ref="Q8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
</t>
        </r>
      </text>
    </comment>
    <comment ref="S8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
</t>
        </r>
      </text>
    </comment>
    <comment ref="U8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
</t>
        </r>
      </text>
    </comment>
    <comment ref="C10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偏少，双十一被后端关掉了数据更新任务，以减轻服务器压力
</t>
        </r>
      </text>
    </comment>
    <comment ref="E10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偏少，双十一被后端关掉了数据更新任务，以减轻服务器压力
</t>
        </r>
      </text>
    </comment>
    <comment ref="M10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偏少，双十二被后端关掉了数据更新任务，以减轻服务器压力
</t>
        </r>
      </text>
    </comment>
    <comment ref="S10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数据偏少，原因：1.3下午3点半起后端用户行为数据丢失，至1.5下午3点修好。</t>
        </r>
      </text>
    </comment>
    <comment ref="A12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= 单量 / 总点击数</t>
        </r>
      </text>
    </comment>
    <comment ref="W15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停更频道占了一部分GMV，但是没有加进去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9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双十一双十二期间更新篇数数据丢失 / 内部买手数据不全</t>
        </r>
      </text>
    </comment>
    <comment ref="I10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</t>
        </r>
      </text>
    </comment>
    <comment ref="J10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4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双十一双十二期间更新篇数数据丢失 / 内部买手数据不全
</t>
        </r>
      </text>
    </comment>
    <comment ref="I5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</t>
        </r>
      </text>
    </comment>
    <comment ref="J5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</t>
        </r>
      </text>
    </comment>
    <comment ref="K5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</t>
        </r>
      </text>
    </comment>
    <comment ref="L5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新版数据待补充</t>
        </r>
      </text>
    </comment>
    <comment ref="A6" authorId="0" shapeId="0" xr:uid="{00000000-0006-0000-03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双十一双十二期间点击数据丢失
</t>
        </r>
      </text>
    </comment>
  </commentList>
</comments>
</file>

<file path=xl/sharedStrings.xml><?xml version="1.0" encoding="utf-8"?>
<sst xmlns="http://schemas.openxmlformats.org/spreadsheetml/2006/main" count="230" uniqueCount="125">
  <si>
    <t>平台事业部</t>
  </si>
  <si>
    <t>环比</t>
  </si>
  <si>
    <t>01.06</t>
  </si>
  <si>
    <t>01.13</t>
  </si>
  <si>
    <t>01.20</t>
  </si>
  <si>
    <t>01.27</t>
  </si>
  <si>
    <t>02.03</t>
  </si>
  <si>
    <t>02.10</t>
  </si>
  <si>
    <t>02.17</t>
  </si>
  <si>
    <t>02.24</t>
  </si>
  <si>
    <r>
      <rPr>
        <sz val="11"/>
        <color theme="1"/>
        <rFont val="黑体"/>
        <family val="3"/>
        <charset val="134"/>
      </rPr>
      <t>0</t>
    </r>
    <r>
      <rPr>
        <sz val="11"/>
        <color theme="1"/>
        <rFont val="黑体"/>
        <family val="3"/>
        <charset val="134"/>
      </rPr>
      <t>3.03</t>
    </r>
  </si>
  <si>
    <t>03.10</t>
  </si>
  <si>
    <t>03.17</t>
  </si>
  <si>
    <t>周活</t>
  </si>
  <si>
    <t>平均日活</t>
  </si>
  <si>
    <t>新增用户量</t>
  </si>
  <si>
    <t>自然新增量</t>
  </si>
  <si>
    <t>市场拉新量</t>
  </si>
  <si>
    <t>产品拉新量</t>
  </si>
  <si>
    <t>短信拉新量</t>
  </si>
  <si>
    <t>其他</t>
  </si>
  <si>
    <t>市场花费</t>
  </si>
  <si>
    <t>产品拉新核销</t>
  </si>
  <si>
    <t>周优惠券核销金额</t>
  </si>
  <si>
    <t>短信花费</t>
  </si>
  <si>
    <t>CPA</t>
  </si>
  <si>
    <t>市场CPA</t>
  </si>
  <si>
    <t>产品CPA</t>
  </si>
  <si>
    <t>短信CPA</t>
  </si>
  <si>
    <t>平均次日留存</t>
  </si>
  <si>
    <t>周新付费用户</t>
  </si>
  <si>
    <t>周付费转化率</t>
  </si>
  <si>
    <t>产品拉新新增付费量</t>
  </si>
  <si>
    <t>短信新增付费量</t>
  </si>
  <si>
    <t>周CAC</t>
  </si>
  <si>
    <t>产品CAC</t>
  </si>
  <si>
    <t>短信CAC</t>
  </si>
  <si>
    <t>总GMV</t>
  </si>
  <si>
    <t>新用户GMV</t>
  </si>
  <si>
    <t>老用户GMV</t>
  </si>
  <si>
    <t>付费人数</t>
  </si>
  <si>
    <t>周复购频次</t>
  </si>
  <si>
    <t>单量</t>
  </si>
  <si>
    <t>单单价</t>
  </si>
  <si>
    <t>买手总数</t>
  </si>
  <si>
    <t>29（外）</t>
  </si>
  <si>
    <t>32（外）</t>
  </si>
  <si>
    <t>31（外）</t>
  </si>
  <si>
    <t>35（外）</t>
  </si>
  <si>
    <t>66（合）</t>
  </si>
  <si>
    <t>70（合）</t>
  </si>
  <si>
    <t>71（合）</t>
  </si>
  <si>
    <t>78（合）</t>
  </si>
  <si>
    <t>79(合）</t>
  </si>
  <si>
    <t>79（合）</t>
  </si>
  <si>
    <t>发布篇数</t>
  </si>
  <si>
    <t>110（外）</t>
  </si>
  <si>
    <t>101（外）</t>
  </si>
  <si>
    <t>92（外）</t>
  </si>
  <si>
    <t>141（外）</t>
  </si>
  <si>
    <t>148（外）</t>
  </si>
  <si>
    <t>351（合）</t>
  </si>
  <si>
    <t>438（合）</t>
  </si>
  <si>
    <t>391（合）</t>
  </si>
  <si>
    <t>389（合）</t>
  </si>
  <si>
    <t>363(合）</t>
  </si>
  <si>
    <t>393（合）</t>
  </si>
  <si>
    <t>/</t>
  </si>
  <si>
    <t xml:space="preserve">更新篇数 </t>
  </si>
  <si>
    <t>305（合）</t>
  </si>
  <si>
    <t>330(合）</t>
  </si>
  <si>
    <t>277（合）</t>
  </si>
  <si>
    <t>306（合）</t>
  </si>
  <si>
    <t>330（合）</t>
  </si>
  <si>
    <t>327（合）</t>
  </si>
  <si>
    <t>234（合）</t>
  </si>
  <si>
    <t>376（合）</t>
  </si>
  <si>
    <t>324（合）</t>
  </si>
  <si>
    <t>337（合）</t>
  </si>
  <si>
    <t>307(合）</t>
  </si>
  <si>
    <t>345（合）</t>
  </si>
  <si>
    <t>翻新篇数</t>
  </si>
  <si>
    <t>62（合）</t>
  </si>
  <si>
    <t>67（合）</t>
  </si>
  <si>
    <t>52（合）</t>
  </si>
  <si>
    <r>
      <rPr>
        <sz val="10"/>
        <color theme="0" tint="-0.34998626667073579"/>
        <rFont val="黑体"/>
        <family val="3"/>
        <charset val="134"/>
      </rPr>
      <t>5</t>
    </r>
    <r>
      <rPr>
        <sz val="10"/>
        <color theme="0" tint="-0.34998626667073579"/>
        <rFont val="黑体"/>
        <family val="3"/>
        <charset val="134"/>
      </rPr>
      <t>6</t>
    </r>
    <r>
      <rPr>
        <sz val="10"/>
        <color theme="0" tint="-0.34998626667073579"/>
        <rFont val="黑体"/>
        <family val="3"/>
        <charset val="134"/>
      </rPr>
      <t>(合）</t>
    </r>
  </si>
  <si>
    <t>48（合）</t>
  </si>
  <si>
    <t>人均发布数</t>
  </si>
  <si>
    <t>3.79（外）</t>
  </si>
  <si>
    <t>3.48（外）</t>
  </si>
  <si>
    <t>3.17（外）</t>
  </si>
  <si>
    <t>4.41（外）</t>
  </si>
  <si>
    <t>4.23（外）</t>
  </si>
  <si>
    <t>5.32（外）</t>
  </si>
  <si>
    <t>6.26（合）</t>
  </si>
  <si>
    <t>5.51（合）</t>
  </si>
  <si>
    <t>4.99（合）</t>
  </si>
  <si>
    <t>4.59(合）</t>
  </si>
  <si>
    <t>4.59（合）</t>
  </si>
  <si>
    <t>买手均分</t>
  </si>
  <si>
    <t>14.87（合）</t>
  </si>
  <si>
    <t>16.16（合）</t>
  </si>
  <si>
    <t>24.14（合）</t>
  </si>
  <si>
    <t>15.28（合）</t>
  </si>
  <si>
    <t>15.74（合）</t>
  </si>
  <si>
    <t>14.65（合）</t>
  </si>
  <si>
    <t>15.97（合）</t>
  </si>
  <si>
    <t>15.58（合）</t>
  </si>
  <si>
    <t>5.82（合）</t>
  </si>
  <si>
    <t>6.08（合）</t>
  </si>
  <si>
    <t>内部买手</t>
  </si>
  <si>
    <t>总点击数</t>
  </si>
  <si>
    <t>购买转化率</t>
  </si>
  <si>
    <t>GMV</t>
  </si>
  <si>
    <t>全平台内部买手GMV占比</t>
  </si>
  <si>
    <t>优惠券金额</t>
  </si>
  <si>
    <t>利润率</t>
  </si>
  <si>
    <t>平台</t>
  </si>
  <si>
    <t>3.10</t>
  </si>
  <si>
    <t>3.17</t>
  </si>
  <si>
    <t>全平台GMV占比</t>
  </si>
  <si>
    <r>
      <t>03.</t>
    </r>
    <r>
      <rPr>
        <sz val="11"/>
        <color theme="1"/>
        <rFont val="黑体"/>
        <family val="3"/>
        <charset val="134"/>
      </rPr>
      <t>24</t>
    </r>
    <phoneticPr fontId="14" type="noConversion"/>
  </si>
  <si>
    <t>3.24</t>
    <phoneticPr fontId="14" type="noConversion"/>
  </si>
  <si>
    <t>03.31</t>
    <phoneticPr fontId="14" type="noConversion"/>
  </si>
  <si>
    <t>3.31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</si>
</sst>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￥&quot;#,##0_);[Red]\(&quot;￥&quot;#,##0\)"/>
    <numFmt numFmtId="177" formatCode="&quot;￥&quot;#,##0.00_);[Red]\(&quot;￥&quot;#,##0.00\)"/>
    <numFmt numFmtId="178" formatCode="0_);[Red]\(0\)"/>
    <numFmt numFmtId="179" formatCode="0.00_);[Red]\(0.00\)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theme="0" tint="-0.249977111117893"/>
      <name val="黑体"/>
      <family val="3"/>
      <charset val="134"/>
    </font>
    <font>
      <sz val="10"/>
      <color theme="0" tint="-0.34998626667073579"/>
      <name val="黑体"/>
      <family val="3"/>
      <charset val="134"/>
    </font>
    <font>
      <sz val="11"/>
      <color theme="5"/>
      <name val="黑体"/>
      <family val="3"/>
      <charset val="134"/>
    </font>
    <font>
      <sz val="11"/>
      <name val="黑体"/>
      <family val="3"/>
      <charset val="134"/>
    </font>
    <font>
      <sz val="11"/>
      <color theme="0" tint="-0.499984740745262"/>
      <name val="黑体"/>
      <family val="3"/>
      <charset val="134"/>
    </font>
    <font>
      <sz val="10"/>
      <color theme="0" tint="-0.14993743705557422"/>
      <name val="黑体"/>
      <family val="3"/>
      <charset val="134"/>
    </font>
    <font>
      <sz val="11"/>
      <color theme="0" tint="-0.34998626667073579"/>
      <name val="黑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3" fillId="0" borderId="0" xfId="0" applyNumberFormat="1" applyFont="1" applyAlignment="1">
      <alignment horizontal="center" vertical="center"/>
    </xf>
    <xf numFmtId="0" fontId="1" fillId="2" borderId="3" xfId="0" applyFont="1" applyFill="1" applyBorder="1">
      <alignment vertical="center"/>
    </xf>
    <xf numFmtId="176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0" xfId="0" applyFont="1" applyFill="1" applyBorder="1" applyAlignment="1">
      <alignment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" fillId="3" borderId="0" xfId="0" applyFont="1" applyFill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10" fontId="1" fillId="0" borderId="0" xfId="0" applyNumberFormat="1" applyFont="1">
      <alignment vertical="center"/>
    </xf>
    <xf numFmtId="0" fontId="4" fillId="3" borderId="3" xfId="0" applyFont="1" applyFill="1" applyBorder="1">
      <alignment vertical="center"/>
    </xf>
    <xf numFmtId="178" fontId="1" fillId="0" borderId="0" xfId="0" applyNumberFormat="1" applyFont="1">
      <alignment vertical="center"/>
    </xf>
    <xf numFmtId="10" fontId="1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10" fontId="3" fillId="0" borderId="0" xfId="0" applyNumberFormat="1" applyFont="1">
      <alignment vertical="center"/>
    </xf>
    <xf numFmtId="177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  <xf numFmtId="0" fontId="4" fillId="3" borderId="3" xfId="0" applyFont="1" applyFill="1" applyBorder="1" applyAlignment="1">
      <alignment vertical="center" wrapText="1"/>
    </xf>
    <xf numFmtId="10" fontId="1" fillId="3" borderId="0" xfId="0" applyNumberFormat="1" applyFont="1" applyFill="1">
      <alignment vertical="center"/>
    </xf>
    <xf numFmtId="10" fontId="1" fillId="3" borderId="0" xfId="1" applyNumberFormat="1" applyFont="1" applyFill="1">
      <alignment vertical="center"/>
    </xf>
    <xf numFmtId="2" fontId="1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0" fontId="6" fillId="0" borderId="0" xfId="0" applyNumberFormat="1" applyFont="1" applyFill="1">
      <alignment vertical="center"/>
    </xf>
    <xf numFmtId="179" fontId="1" fillId="0" borderId="0" xfId="0" applyNumberFormat="1" applyFont="1">
      <alignment vertical="center"/>
    </xf>
    <xf numFmtId="0" fontId="4" fillId="3" borderId="0" xfId="0" applyFont="1" applyFill="1">
      <alignment vertical="center"/>
    </xf>
    <xf numFmtId="10" fontId="7" fillId="0" borderId="0" xfId="0" applyNumberFormat="1" applyFont="1" applyFill="1">
      <alignment vertical="center"/>
    </xf>
    <xf numFmtId="178" fontId="1" fillId="0" borderId="0" xfId="0" applyNumberFormat="1" applyFont="1" applyFill="1">
      <alignment vertical="center"/>
    </xf>
    <xf numFmtId="10" fontId="4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7" fontId="1" fillId="0" borderId="0" xfId="0" applyNumberFormat="1" applyFont="1">
      <alignment vertical="center"/>
    </xf>
    <xf numFmtId="177" fontId="4" fillId="3" borderId="0" xfId="0" applyNumberFormat="1" applyFont="1" applyFill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10" fontId="7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10" fontId="1" fillId="0" borderId="0" xfId="1" applyNumberFormat="1" applyFont="1">
      <alignment vertical="center"/>
    </xf>
    <xf numFmtId="1" fontId="1" fillId="0" borderId="0" xfId="0" applyNumberFormat="1" applyFont="1">
      <alignment vertical="center"/>
    </xf>
    <xf numFmtId="0" fontId="4" fillId="3" borderId="0" xfId="0" applyFont="1" applyFill="1" applyAlignment="1">
      <alignment horizontal="right" vertical="center"/>
    </xf>
    <xf numFmtId="10" fontId="8" fillId="3" borderId="0" xfId="0" applyNumberFormat="1" applyFont="1" applyFill="1">
      <alignment vertical="center"/>
    </xf>
    <xf numFmtId="10" fontId="9" fillId="0" borderId="0" xfId="0" applyNumberFormat="1" applyFont="1" applyFill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  <cellStyle name="超链接 2" xfId="4" xr:uid="{00000000-0005-0000-0000-000033000000}"/>
    <cellStyle name="超链接 3" xfId="5" xr:uid="{00000000-0005-0000-0000-000034000000}"/>
  </cellStyles>
  <dxfs count="654"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theme="9" tint="-0.249977111117893"/>
      </font>
    </dxf>
    <dxf>
      <font>
        <color rgb="FFFF0000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theme="9" tint="-0.249977111117893"/>
      </font>
    </dxf>
    <dxf>
      <font>
        <color rgb="FFFF0000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theme="9" tint="-0.249977111117893"/>
      </font>
    </dxf>
    <dxf>
      <font>
        <color rgb="FFFF0000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theme="9" tint="-0.249977111117893"/>
      </font>
    </dxf>
    <dxf>
      <font>
        <color rgb="FFFF0000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  <dxf>
      <font>
        <color theme="9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10225047592203E-3"/>
          <c:y val="1.3888423521527899E-2"/>
          <c:w val="0.86555928946459504"/>
          <c:h val="0.98611188829822705"/>
        </c:manualLayout>
      </c:layout>
      <c:lineChart>
        <c:grouping val="standard"/>
        <c:varyColors val="0"/>
        <c:ser>
          <c:idx val="0"/>
          <c:order val="0"/>
          <c:tx>
            <c:strRef>
              <c:f>'图表 - 平台 '!$A$10</c:f>
              <c:strCache>
                <c:ptCount val="1"/>
                <c:pt idx="0">
                  <c:v>买手均分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平台 '!$B$10:$H$10</c:f>
              <c:numCache>
                <c:formatCode>General</c:formatCode>
                <c:ptCount val="7"/>
                <c:pt idx="0">
                  <c:v>16.16</c:v>
                </c:pt>
                <c:pt idx="1">
                  <c:v>24.14</c:v>
                </c:pt>
                <c:pt idx="2">
                  <c:v>15.28</c:v>
                </c:pt>
                <c:pt idx="3">
                  <c:v>15.74</c:v>
                </c:pt>
                <c:pt idx="4">
                  <c:v>14.65</c:v>
                </c:pt>
                <c:pt idx="5">
                  <c:v>15.97</c:v>
                </c:pt>
                <c:pt idx="6">
                  <c:v>15.58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9-408B-B38F-1ED3B840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12808"/>
        <c:axId val="25844650"/>
      </c:lineChart>
      <c:catAx>
        <c:axId val="821412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844650"/>
        <c:crosses val="autoZero"/>
        <c:auto val="1"/>
        <c:lblAlgn val="ctr"/>
        <c:lblOffset val="100"/>
        <c:noMultiLvlLbl val="0"/>
      </c:catAx>
      <c:valAx>
        <c:axId val="25844650"/>
        <c:scaling>
          <c:orientation val="minMax"/>
          <c:min val="14"/>
        </c:scaling>
        <c:delete val="1"/>
        <c:axPos val="l"/>
        <c:numFmt formatCode="General" sourceLinked="1"/>
        <c:majorTickMark val="none"/>
        <c:minorTickMark val="none"/>
        <c:tickLblPos val="nextTo"/>
        <c:crossAx val="82141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  <a:alpha val="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577679272505099E-3"/>
          <c:y val="3.07377049180328E-2"/>
          <c:w val="0.99574226725085302"/>
          <c:h val="0.986110752549373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买手'!$B$5:$H$5</c:f>
              <c:numCache>
                <c:formatCode>General</c:formatCode>
                <c:ptCount val="7"/>
                <c:pt idx="0">
                  <c:v>17.66</c:v>
                </c:pt>
                <c:pt idx="1">
                  <c:v>26.64</c:v>
                </c:pt>
                <c:pt idx="2">
                  <c:v>17.149999999999999</c:v>
                </c:pt>
                <c:pt idx="3">
                  <c:v>17.03</c:v>
                </c:pt>
                <c:pt idx="4">
                  <c:v>16.59</c:v>
                </c:pt>
                <c:pt idx="5">
                  <c:v>17.89</c:v>
                </c:pt>
                <c:pt idx="6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6-4A12-AE96-847151FB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630436"/>
        <c:axId val="544859137"/>
      </c:lineChart>
      <c:catAx>
        <c:axId val="6456304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44859137"/>
        <c:crosses val="autoZero"/>
        <c:auto val="1"/>
        <c:lblAlgn val="ctr"/>
        <c:lblOffset val="100"/>
        <c:noMultiLvlLbl val="0"/>
      </c:catAx>
      <c:valAx>
        <c:axId val="544859137"/>
        <c:scaling>
          <c:orientation val="minMax"/>
          <c:max val="27"/>
          <c:min val="15"/>
        </c:scaling>
        <c:delete val="1"/>
        <c:axPos val="l"/>
        <c:numFmt formatCode="General" sourceLinked="1"/>
        <c:majorTickMark val="none"/>
        <c:minorTickMark val="none"/>
        <c:tickLblPos val="nextTo"/>
        <c:crossAx val="6456304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  <a:alpha val="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89855954358101E-3"/>
          <c:y val="1.3889093650527699E-2"/>
          <c:w val="0.99715112713714504"/>
          <c:h val="0.98611150878867404"/>
        </c:manualLayout>
      </c:layout>
      <c:lineChart>
        <c:grouping val="standard"/>
        <c:varyColors val="0"/>
        <c:ser>
          <c:idx val="0"/>
          <c:order val="0"/>
          <c:tx>
            <c:strRef>
              <c:f>'图表 - 买手'!$B$4:$F$4</c:f>
              <c:strCache>
                <c:ptCount val="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买手'!$G$4:$W$4</c:f>
              <c:numCache>
                <c:formatCode>General</c:formatCode>
                <c:ptCount val="17"/>
                <c:pt idx="0">
                  <c:v>197</c:v>
                </c:pt>
                <c:pt idx="1">
                  <c:v>203</c:v>
                </c:pt>
                <c:pt idx="2">
                  <c:v>180</c:v>
                </c:pt>
                <c:pt idx="3">
                  <c:v>181</c:v>
                </c:pt>
                <c:pt idx="4">
                  <c:v>178</c:v>
                </c:pt>
                <c:pt idx="5">
                  <c:v>175</c:v>
                </c:pt>
                <c:pt idx="6">
                  <c:v>391</c:v>
                </c:pt>
                <c:pt idx="7">
                  <c:v>200</c:v>
                </c:pt>
                <c:pt idx="8">
                  <c:v>153</c:v>
                </c:pt>
                <c:pt idx="9">
                  <c:v>130</c:v>
                </c:pt>
                <c:pt idx="10">
                  <c:v>152</c:v>
                </c:pt>
                <c:pt idx="11">
                  <c:v>175</c:v>
                </c:pt>
                <c:pt idx="12">
                  <c:v>167</c:v>
                </c:pt>
                <c:pt idx="13">
                  <c:v>183</c:v>
                </c:pt>
                <c:pt idx="14">
                  <c:v>162</c:v>
                </c:pt>
                <c:pt idx="15">
                  <c:v>169</c:v>
                </c:pt>
                <c:pt idx="1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1-4E30-836D-78B5C69D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6399"/>
        <c:axId val="674129251"/>
      </c:lineChart>
      <c:catAx>
        <c:axId val="376376399"/>
        <c:scaling>
          <c:orientation val="minMax"/>
        </c:scaling>
        <c:delete val="1"/>
        <c:axPos val="b"/>
        <c:majorTickMark val="none"/>
        <c:minorTickMark val="none"/>
        <c:tickLblPos val="nextTo"/>
        <c:crossAx val="674129251"/>
        <c:crosses val="autoZero"/>
        <c:auto val="1"/>
        <c:lblAlgn val="ctr"/>
        <c:lblOffset val="100"/>
        <c:noMultiLvlLbl val="0"/>
      </c:catAx>
      <c:valAx>
        <c:axId val="674129251"/>
        <c:scaling>
          <c:orientation val="minMax"/>
          <c:min val="0.67"/>
        </c:scaling>
        <c:delete val="1"/>
        <c:axPos val="l"/>
        <c:numFmt formatCode="General" sourceLinked="1"/>
        <c:majorTickMark val="none"/>
        <c:minorTickMark val="none"/>
        <c:tickLblPos val="nextTo"/>
        <c:crossAx val="376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  <a:alpha val="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买手'!$D$6:$W$6</c:f>
              <c:numCache>
                <c:formatCode>General</c:formatCode>
                <c:ptCount val="20"/>
                <c:pt idx="0">
                  <c:v>2574419</c:v>
                </c:pt>
                <c:pt idx="1">
                  <c:v>2264533</c:v>
                </c:pt>
                <c:pt idx="2">
                  <c:v>2695189</c:v>
                </c:pt>
                <c:pt idx="4">
                  <c:v>3954702</c:v>
                </c:pt>
                <c:pt idx="5">
                  <c:v>3268776</c:v>
                </c:pt>
                <c:pt idx="6">
                  <c:v>2749272</c:v>
                </c:pt>
                <c:pt idx="7">
                  <c:v>2808985</c:v>
                </c:pt>
                <c:pt idx="8">
                  <c:v>2656170</c:v>
                </c:pt>
                <c:pt idx="9">
                  <c:v>2967533</c:v>
                </c:pt>
                <c:pt idx="10">
                  <c:v>3004059</c:v>
                </c:pt>
                <c:pt idx="11">
                  <c:v>2011053</c:v>
                </c:pt>
                <c:pt idx="12">
                  <c:v>1677792</c:v>
                </c:pt>
                <c:pt idx="13">
                  <c:v>2198206</c:v>
                </c:pt>
                <c:pt idx="14">
                  <c:v>2981012</c:v>
                </c:pt>
                <c:pt idx="15">
                  <c:v>2655956</c:v>
                </c:pt>
                <c:pt idx="16">
                  <c:v>3082842</c:v>
                </c:pt>
                <c:pt idx="17">
                  <c:v>3045924</c:v>
                </c:pt>
                <c:pt idx="18">
                  <c:v>2501180</c:v>
                </c:pt>
                <c:pt idx="19">
                  <c:v>2233381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0-48CB-A672-99E00CD1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15829"/>
        <c:axId val="777396592"/>
      </c:lineChart>
      <c:catAx>
        <c:axId val="262615829"/>
        <c:scaling>
          <c:orientation val="minMax"/>
        </c:scaling>
        <c:delete val="1"/>
        <c:axPos val="b"/>
        <c:majorTickMark val="none"/>
        <c:minorTickMark val="none"/>
        <c:tickLblPos val="nextTo"/>
        <c:crossAx val="777396592"/>
        <c:crosses val="autoZero"/>
        <c:auto val="1"/>
        <c:lblAlgn val="ctr"/>
        <c:lblOffset val="100"/>
        <c:noMultiLvlLbl val="0"/>
      </c:catAx>
      <c:valAx>
        <c:axId val="77739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26158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3338891522379E-2"/>
          <c:y val="3.2751091703056803E-2"/>
          <c:w val="0.984537357743691"/>
          <c:h val="0.89499335400974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买手'!$B$7:$W$7</c:f>
              <c:numCache>
                <c:formatCode>"￥"#,##0_);[Red]\("￥"#,##0\)</c:formatCode>
                <c:ptCount val="22"/>
                <c:pt idx="0">
                  <c:v>4249982</c:v>
                </c:pt>
                <c:pt idx="1">
                  <c:v>3505174</c:v>
                </c:pt>
                <c:pt idx="2">
                  <c:v>2012264</c:v>
                </c:pt>
                <c:pt idx="3">
                  <c:v>1918434</c:v>
                </c:pt>
                <c:pt idx="4">
                  <c:v>1983797</c:v>
                </c:pt>
                <c:pt idx="5">
                  <c:v>2349034</c:v>
                </c:pt>
                <c:pt idx="6">
                  <c:v>2483911</c:v>
                </c:pt>
                <c:pt idx="7">
                  <c:v>1953634</c:v>
                </c:pt>
                <c:pt idx="8">
                  <c:v>1794895</c:v>
                </c:pt>
                <c:pt idx="9">
                  <c:v>1972134</c:v>
                </c:pt>
                <c:pt idx="10">
                  <c:v>1808326</c:v>
                </c:pt>
                <c:pt idx="11">
                  <c:v>2314396</c:v>
                </c:pt>
                <c:pt idx="12">
                  <c:v>2355005</c:v>
                </c:pt>
                <c:pt idx="13">
                  <c:v>933884.61980486801</c:v>
                </c:pt>
                <c:pt idx="14">
                  <c:v>481414.80987540598</c:v>
                </c:pt>
                <c:pt idx="15">
                  <c:v>1333979.3493918499</c:v>
                </c:pt>
                <c:pt idx="16">
                  <c:v>2597215.9892012901</c:v>
                </c:pt>
                <c:pt idx="17">
                  <c:v>2531466.4191912101</c:v>
                </c:pt>
                <c:pt idx="18">
                  <c:v>2242197.2292833398</c:v>
                </c:pt>
                <c:pt idx="19">
                  <c:v>2190244.8996439702</c:v>
                </c:pt>
                <c:pt idx="20">
                  <c:v>1897184.39</c:v>
                </c:pt>
                <c:pt idx="21">
                  <c:v>1769842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5-4C84-8DF5-3359AD0D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912468"/>
        <c:axId val="215038548"/>
      </c:lineChart>
      <c:catAx>
        <c:axId val="9549124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15038548"/>
        <c:crosses val="autoZero"/>
        <c:auto val="1"/>
        <c:lblAlgn val="ctr"/>
        <c:lblOffset val="100"/>
        <c:noMultiLvlLbl val="0"/>
      </c:catAx>
      <c:valAx>
        <c:axId val="215038548"/>
        <c:scaling>
          <c:orientation val="minMax"/>
        </c:scaling>
        <c:delete val="1"/>
        <c:axPos val="l"/>
        <c:numFmt formatCode="&quot;￥&quot;#,##0_);[Red]\(&quot;￥&quot;#,##0\)" sourceLinked="1"/>
        <c:majorTickMark val="none"/>
        <c:minorTickMark val="none"/>
        <c:tickLblPos val="nextTo"/>
        <c:crossAx val="9549124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买手'!$B$9:$W$9</c:f>
              <c:numCache>
                <c:formatCode>0.00%</c:formatCode>
                <c:ptCount val="22"/>
                <c:pt idx="0">
                  <c:v>0.2107</c:v>
                </c:pt>
                <c:pt idx="1">
                  <c:v>0.2112</c:v>
                </c:pt>
                <c:pt idx="2">
                  <c:v>0.2155</c:v>
                </c:pt>
                <c:pt idx="3">
                  <c:v>0.2122</c:v>
                </c:pt>
                <c:pt idx="4">
                  <c:v>0.21870000000000001</c:v>
                </c:pt>
                <c:pt idx="5">
                  <c:v>0.21310000000000001</c:v>
                </c:pt>
                <c:pt idx="6">
                  <c:v>0.21859999999999999</c:v>
                </c:pt>
                <c:pt idx="7">
                  <c:v>0.2092</c:v>
                </c:pt>
                <c:pt idx="8">
                  <c:v>0.2213</c:v>
                </c:pt>
                <c:pt idx="9">
                  <c:v>0.22159999999999999</c:v>
                </c:pt>
                <c:pt idx="10">
                  <c:v>0.21279999999999999</c:v>
                </c:pt>
                <c:pt idx="11">
                  <c:v>0.20530000000000001</c:v>
                </c:pt>
                <c:pt idx="12">
                  <c:v>0.2087</c:v>
                </c:pt>
                <c:pt idx="13">
                  <c:v>0.19819999999999999</c:v>
                </c:pt>
                <c:pt idx="14">
                  <c:v>0.2089</c:v>
                </c:pt>
                <c:pt idx="15">
                  <c:v>0.2104</c:v>
                </c:pt>
                <c:pt idx="16">
                  <c:v>0.20930000000000001</c:v>
                </c:pt>
                <c:pt idx="17">
                  <c:v>0.20730000000000001</c:v>
                </c:pt>
                <c:pt idx="18">
                  <c:v>0.20849999999999999</c:v>
                </c:pt>
                <c:pt idx="19">
                  <c:v>0.19620000000000001</c:v>
                </c:pt>
                <c:pt idx="20">
                  <c:v>0.20499999999999999</c:v>
                </c:pt>
                <c:pt idx="21">
                  <c:v>0.20860000000000001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8-49D4-BD12-EA9934E5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7346"/>
        <c:axId val="519351089"/>
      </c:lineChart>
      <c:catAx>
        <c:axId val="212517346"/>
        <c:scaling>
          <c:orientation val="minMax"/>
        </c:scaling>
        <c:delete val="1"/>
        <c:axPos val="b"/>
        <c:majorTickMark val="none"/>
        <c:minorTickMark val="none"/>
        <c:tickLblPos val="nextTo"/>
        <c:crossAx val="519351089"/>
        <c:crosses val="autoZero"/>
        <c:auto val="1"/>
        <c:lblAlgn val="ctr"/>
        <c:lblOffset val="100"/>
        <c:noMultiLvlLbl val="0"/>
      </c:catAx>
      <c:valAx>
        <c:axId val="51935108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125173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买手'!$B$8:$W$8</c:f>
              <c:numCache>
                <c:formatCode>0.00%</c:formatCode>
                <c:ptCount val="22"/>
                <c:pt idx="0">
                  <c:v>0.73650000000000004</c:v>
                </c:pt>
                <c:pt idx="1">
                  <c:v>0.70040000000000002</c:v>
                </c:pt>
                <c:pt idx="2">
                  <c:v>0.68440000000000001</c:v>
                </c:pt>
                <c:pt idx="3">
                  <c:v>0.67549999999999999</c:v>
                </c:pt>
                <c:pt idx="4">
                  <c:v>0.69450000000000001</c:v>
                </c:pt>
                <c:pt idx="5">
                  <c:v>0.71179999999999999</c:v>
                </c:pt>
                <c:pt idx="6">
                  <c:v>0.72799999999999998</c:v>
                </c:pt>
                <c:pt idx="7">
                  <c:v>0.72589999999999999</c:v>
                </c:pt>
                <c:pt idx="8">
                  <c:v>0.68200000000000005</c:v>
                </c:pt>
                <c:pt idx="9">
                  <c:v>0.70299999999999996</c:v>
                </c:pt>
                <c:pt idx="10">
                  <c:v>0.64</c:v>
                </c:pt>
                <c:pt idx="11">
                  <c:v>0.61739999999999995</c:v>
                </c:pt>
                <c:pt idx="12">
                  <c:v>0.64849999999999997</c:v>
                </c:pt>
                <c:pt idx="13">
                  <c:v>0.67790547770647203</c:v>
                </c:pt>
                <c:pt idx="14">
                  <c:v>0.60824476041548403</c:v>
                </c:pt>
                <c:pt idx="15">
                  <c:v>0.61024621143856494</c:v>
                </c:pt>
                <c:pt idx="16">
                  <c:v>0.63367047692192902</c:v>
                </c:pt>
                <c:pt idx="17">
                  <c:v>0.65335449505369603</c:v>
                </c:pt>
                <c:pt idx="18">
                  <c:v>0.61025100681629196</c:v>
                </c:pt>
                <c:pt idx="19">
                  <c:v>0.59420895736310997</c:v>
                </c:pt>
                <c:pt idx="20">
                  <c:v>0.56379999999999997</c:v>
                </c:pt>
                <c:pt idx="21">
                  <c:v>0.51770000000000005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3-4A06-A876-62D11F15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38106"/>
        <c:axId val="894383211"/>
      </c:lineChart>
      <c:catAx>
        <c:axId val="877038106"/>
        <c:scaling>
          <c:orientation val="minMax"/>
        </c:scaling>
        <c:delete val="1"/>
        <c:axPos val="b"/>
        <c:majorTickMark val="none"/>
        <c:minorTickMark val="none"/>
        <c:tickLblPos val="nextTo"/>
        <c:crossAx val="894383211"/>
        <c:crosses val="autoZero"/>
        <c:auto val="1"/>
        <c:lblAlgn val="ctr"/>
        <c:lblOffset val="100"/>
        <c:noMultiLvlLbl val="0"/>
      </c:catAx>
      <c:valAx>
        <c:axId val="8943832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770381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65419199025996E-3"/>
          <c:y val="6.9437153689122198E-3"/>
          <c:w val="0.99583345808009704"/>
          <c:h val="0.99305628463108797"/>
        </c:manualLayout>
      </c:layout>
      <c:lineChart>
        <c:grouping val="standard"/>
        <c:varyColors val="0"/>
        <c:ser>
          <c:idx val="0"/>
          <c:order val="0"/>
          <c:tx>
            <c:strRef>
              <c:f>'图表 - 平台 '!$B$9:$F$9</c:f>
              <c:strCache>
                <c:ptCount val="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平台 '!$G$9:$T$9</c:f>
              <c:numCache>
                <c:formatCode>General</c:formatCode>
                <c:ptCount val="14"/>
                <c:pt idx="0">
                  <c:v>351</c:v>
                </c:pt>
                <c:pt idx="1">
                  <c:v>414</c:v>
                </c:pt>
                <c:pt idx="2">
                  <c:v>391</c:v>
                </c:pt>
                <c:pt idx="3">
                  <c:v>389</c:v>
                </c:pt>
                <c:pt idx="4">
                  <c:v>363</c:v>
                </c:pt>
                <c:pt idx="5">
                  <c:v>393</c:v>
                </c:pt>
                <c:pt idx="6">
                  <c:v>237</c:v>
                </c:pt>
                <c:pt idx="7">
                  <c:v>281</c:v>
                </c:pt>
                <c:pt idx="8">
                  <c:v>201</c:v>
                </c:pt>
                <c:pt idx="9">
                  <c:v>156</c:v>
                </c:pt>
                <c:pt idx="10">
                  <c:v>176</c:v>
                </c:pt>
                <c:pt idx="11">
                  <c:v>234</c:v>
                </c:pt>
                <c:pt idx="12">
                  <c:v>254</c:v>
                </c:pt>
                <c:pt idx="13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8-440B-A050-F2C77B82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12808"/>
        <c:axId val="25844650"/>
      </c:lineChart>
      <c:catAx>
        <c:axId val="821412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844650"/>
        <c:crosses val="autoZero"/>
        <c:auto val="1"/>
        <c:lblAlgn val="ctr"/>
        <c:lblOffset val="100"/>
        <c:noMultiLvlLbl val="0"/>
      </c:catAx>
      <c:valAx>
        <c:axId val="25844650"/>
        <c:scaling>
          <c:orientation val="minMax"/>
          <c:min val="14"/>
        </c:scaling>
        <c:delete val="1"/>
        <c:axPos val="l"/>
        <c:numFmt formatCode="General" sourceLinked="1"/>
        <c:majorTickMark val="none"/>
        <c:minorTickMark val="none"/>
        <c:tickLblPos val="nextTo"/>
        <c:crossAx val="82141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  <a:alpha val="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72797401542799E-3"/>
          <c:y val="3.2188841201716702E-2"/>
          <c:w val="0.99166666666666703"/>
          <c:h val="0.986111111111111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平台 '!$B$7:$H$7</c:f>
              <c:numCache>
                <c:formatCode>"￥"#,##0.00_);[Red]\("￥"#,##0.00\)</c:formatCode>
                <c:ptCount val="7"/>
                <c:pt idx="0">
                  <c:v>99.663928239889941</c:v>
                </c:pt>
                <c:pt idx="1">
                  <c:v>137.90035719414399</c:v>
                </c:pt>
                <c:pt idx="2">
                  <c:v>85.644974346565661</c:v>
                </c:pt>
                <c:pt idx="3">
                  <c:v>110.61268043682846</c:v>
                </c:pt>
                <c:pt idx="4">
                  <c:v>115.25863962403865</c:v>
                </c:pt>
                <c:pt idx="5">
                  <c:v>81.366605991824983</c:v>
                </c:pt>
                <c:pt idx="6">
                  <c:v>40.379573023403687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BEC-A6DF-90AB6C9D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37225"/>
        <c:axId val="322377533"/>
      </c:lineChart>
      <c:catAx>
        <c:axId val="797737225"/>
        <c:scaling>
          <c:orientation val="minMax"/>
        </c:scaling>
        <c:delete val="1"/>
        <c:axPos val="b"/>
        <c:majorTickMark val="none"/>
        <c:minorTickMark val="none"/>
        <c:tickLblPos val="nextTo"/>
        <c:crossAx val="322377533"/>
        <c:crosses val="autoZero"/>
        <c:auto val="1"/>
        <c:lblAlgn val="ctr"/>
        <c:lblOffset val="100"/>
        <c:noMultiLvlLbl val="0"/>
      </c:catAx>
      <c:valAx>
        <c:axId val="322377533"/>
        <c:scaling>
          <c:orientation val="minMax"/>
          <c:max val="24"/>
          <c:min val="10"/>
        </c:scaling>
        <c:delete val="1"/>
        <c:axPos val="l"/>
        <c:numFmt formatCode="&quot;￥&quot;#,##0.00_);[Red]\(&quot;￥&quot;#,##0.00\)" sourceLinked="1"/>
        <c:majorTickMark val="none"/>
        <c:minorTickMark val="none"/>
        <c:tickLblPos val="nextTo"/>
        <c:crossAx val="7977372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  <a:alpha val="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46139674994965E-3"/>
          <c:y val="1.3889188508970625E-2"/>
          <c:w val="0.99187538603250047"/>
          <c:h val="0.986110811491029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平台 '!$B$7:$W$7</c:f>
              <c:numCache>
                <c:formatCode>"￥"#,##0.00_);[Red]\("￥"#,##0.00\)</c:formatCode>
                <c:ptCount val="22"/>
                <c:pt idx="0">
                  <c:v>99.663928239889941</c:v>
                </c:pt>
                <c:pt idx="1">
                  <c:v>137.90035719414399</c:v>
                </c:pt>
                <c:pt idx="2">
                  <c:v>85.644974346565661</c:v>
                </c:pt>
                <c:pt idx="3">
                  <c:v>110.61268043682846</c:v>
                </c:pt>
                <c:pt idx="4">
                  <c:v>115.25863962403865</c:v>
                </c:pt>
                <c:pt idx="5">
                  <c:v>81.366605991824983</c:v>
                </c:pt>
                <c:pt idx="6">
                  <c:v>40.379573023403687</c:v>
                </c:pt>
                <c:pt idx="7">
                  <c:v>34.411415579088391</c:v>
                </c:pt>
                <c:pt idx="8">
                  <c:v>53.565518142897226</c:v>
                </c:pt>
                <c:pt idx="9">
                  <c:v>50.11609830996958</c:v>
                </c:pt>
                <c:pt idx="10">
                  <c:v>31.295494205348735</c:v>
                </c:pt>
                <c:pt idx="11">
                  <c:v>44.580871639808748</c:v>
                </c:pt>
                <c:pt idx="12">
                  <c:v>63.378750594960763</c:v>
                </c:pt>
                <c:pt idx="13">
                  <c:v>14.812278718062341</c:v>
                </c:pt>
                <c:pt idx="14">
                  <c:v>24.739395010094782</c:v>
                </c:pt>
                <c:pt idx="15">
                  <c:v>22.088821274649639</c:v>
                </c:pt>
                <c:pt idx="16">
                  <c:v>49.845483427524009</c:v>
                </c:pt>
                <c:pt idx="17">
                  <c:v>68.376783077444202</c:v>
                </c:pt>
                <c:pt idx="18">
                  <c:v>44.540237588313857</c:v>
                </c:pt>
                <c:pt idx="19">
                  <c:v>72.942408762253038</c:v>
                </c:pt>
                <c:pt idx="20">
                  <c:v>57.112273154677943</c:v>
                </c:pt>
                <c:pt idx="21">
                  <c:v>64.315097636176773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D-4E6B-ABDC-AD1D4F9C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6399"/>
        <c:axId val="674129251"/>
      </c:lineChart>
      <c:catAx>
        <c:axId val="376376399"/>
        <c:scaling>
          <c:orientation val="minMax"/>
        </c:scaling>
        <c:delete val="1"/>
        <c:axPos val="b"/>
        <c:majorTickMark val="none"/>
        <c:minorTickMark val="none"/>
        <c:tickLblPos val="nextTo"/>
        <c:crossAx val="674129251"/>
        <c:crosses val="autoZero"/>
        <c:auto val="1"/>
        <c:lblAlgn val="ctr"/>
        <c:lblOffset val="100"/>
        <c:noMultiLvlLbl val="0"/>
      </c:catAx>
      <c:valAx>
        <c:axId val="674129251"/>
        <c:scaling>
          <c:orientation val="minMax"/>
          <c:min val="0.67"/>
        </c:scaling>
        <c:delete val="1"/>
        <c:axPos val="l"/>
        <c:numFmt formatCode="&quot;￥&quot;#,##0.00_);[Red]\(&quot;￥&quot;#,##0.00\)" sourceLinked="1"/>
        <c:majorTickMark val="none"/>
        <c:minorTickMark val="none"/>
        <c:tickLblPos val="nextTo"/>
        <c:crossAx val="376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  <a:alpha val="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382248884787E-2"/>
          <c:y val="0.20467836257309899"/>
          <c:w val="0.98461775111521299"/>
          <c:h val="0.649122807017543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平台 '!$B$4:$W$4</c:f>
              <c:numCache>
                <c:formatCode>General</c:formatCode>
                <c:ptCount val="22"/>
                <c:pt idx="0">
                  <c:v>153559</c:v>
                </c:pt>
                <c:pt idx="1">
                  <c:v>152291</c:v>
                </c:pt>
                <c:pt idx="2">
                  <c:v>149038</c:v>
                </c:pt>
                <c:pt idx="3">
                  <c:v>147934</c:v>
                </c:pt>
                <c:pt idx="4">
                  <c:v>152093</c:v>
                </c:pt>
                <c:pt idx="5">
                  <c:v>148414</c:v>
                </c:pt>
                <c:pt idx="6">
                  <c:v>140805</c:v>
                </c:pt>
                <c:pt idx="7">
                  <c:v>143088</c:v>
                </c:pt>
                <c:pt idx="8">
                  <c:v>134949</c:v>
                </c:pt>
                <c:pt idx="9">
                  <c:v>128504</c:v>
                </c:pt>
                <c:pt idx="10">
                  <c:v>127131</c:v>
                </c:pt>
                <c:pt idx="11">
                  <c:v>138958</c:v>
                </c:pt>
                <c:pt idx="12">
                  <c:v>148306</c:v>
                </c:pt>
                <c:pt idx="13">
                  <c:v>126192</c:v>
                </c:pt>
                <c:pt idx="14">
                  <c:v>111593</c:v>
                </c:pt>
                <c:pt idx="15">
                  <c:v>120482</c:v>
                </c:pt>
                <c:pt idx="16">
                  <c:v>134046</c:v>
                </c:pt>
                <c:pt idx="17">
                  <c:v>137358</c:v>
                </c:pt>
                <c:pt idx="18">
                  <c:v>146871</c:v>
                </c:pt>
                <c:pt idx="19">
                  <c:v>141836</c:v>
                </c:pt>
                <c:pt idx="20">
                  <c:v>144638</c:v>
                </c:pt>
                <c:pt idx="21">
                  <c:v>149435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3-4AD1-AC86-894379D6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647154"/>
        <c:axId val="733156050"/>
      </c:lineChart>
      <c:catAx>
        <c:axId val="364647154"/>
        <c:scaling>
          <c:orientation val="minMax"/>
        </c:scaling>
        <c:delete val="1"/>
        <c:axPos val="b"/>
        <c:majorTickMark val="none"/>
        <c:minorTickMark val="none"/>
        <c:tickLblPos val="nextTo"/>
        <c:crossAx val="733156050"/>
        <c:crosses val="autoZero"/>
        <c:auto val="1"/>
        <c:lblAlgn val="ctr"/>
        <c:lblOffset val="100"/>
        <c:noMultiLvlLbl val="0"/>
      </c:catAx>
      <c:valAx>
        <c:axId val="73315605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46471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406711253752E-2"/>
          <c:y val="0.184716030550751"/>
          <c:w val="0.97962756987549804"/>
          <c:h val="0.751811485441152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平台 '!$B$5:$W$5</c:f>
              <c:numCache>
                <c:formatCode>General</c:formatCode>
                <c:ptCount val="22"/>
                <c:pt idx="0">
                  <c:v>29491</c:v>
                </c:pt>
                <c:pt idx="1">
                  <c:v>34818</c:v>
                </c:pt>
                <c:pt idx="2">
                  <c:v>32635</c:v>
                </c:pt>
                <c:pt idx="3">
                  <c:v>28575</c:v>
                </c:pt>
                <c:pt idx="4">
                  <c:v>32869</c:v>
                </c:pt>
                <c:pt idx="5">
                  <c:v>31008</c:v>
                </c:pt>
                <c:pt idx="6">
                  <c:v>21248</c:v>
                </c:pt>
                <c:pt idx="7">
                  <c:v>28121</c:v>
                </c:pt>
                <c:pt idx="8">
                  <c:v>19488</c:v>
                </c:pt>
                <c:pt idx="9">
                  <c:v>16790</c:v>
                </c:pt>
                <c:pt idx="10">
                  <c:v>13056</c:v>
                </c:pt>
                <c:pt idx="11">
                  <c:v>19174</c:v>
                </c:pt>
                <c:pt idx="12">
                  <c:v>29617</c:v>
                </c:pt>
                <c:pt idx="13">
                  <c:v>14680</c:v>
                </c:pt>
                <c:pt idx="14">
                  <c:v>7918</c:v>
                </c:pt>
                <c:pt idx="15">
                  <c:v>9796</c:v>
                </c:pt>
                <c:pt idx="16">
                  <c:v>15115</c:v>
                </c:pt>
                <c:pt idx="17">
                  <c:v>16985</c:v>
                </c:pt>
                <c:pt idx="18">
                  <c:v>21304</c:v>
                </c:pt>
                <c:pt idx="19">
                  <c:v>25333</c:v>
                </c:pt>
                <c:pt idx="20">
                  <c:v>22809</c:v>
                </c:pt>
                <c:pt idx="21">
                  <c:v>25994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7-4192-8E39-8391FF62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70369"/>
        <c:axId val="318395384"/>
      </c:lineChart>
      <c:catAx>
        <c:axId val="509170369"/>
        <c:scaling>
          <c:orientation val="minMax"/>
        </c:scaling>
        <c:delete val="1"/>
        <c:axPos val="b"/>
        <c:majorTickMark val="none"/>
        <c:minorTickMark val="none"/>
        <c:tickLblPos val="nextTo"/>
        <c:crossAx val="318395384"/>
        <c:crosses val="autoZero"/>
        <c:auto val="1"/>
        <c:lblAlgn val="ctr"/>
        <c:lblOffset val="100"/>
        <c:noMultiLvlLbl val="0"/>
      </c:catAx>
      <c:valAx>
        <c:axId val="318395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9170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平台 '!$B$6:$W$6</c:f>
              <c:numCache>
                <c:formatCode>"￥"#,##0.00_);[Red]\("￥"#,##0.00\)</c:formatCode>
                <c:ptCount val="22"/>
                <c:pt idx="0">
                  <c:v>14.504682106595491</c:v>
                </c:pt>
                <c:pt idx="1">
                  <c:v>20.626832680426848</c:v>
                </c:pt>
                <c:pt idx="2">
                  <c:v>11.253122414526539</c:v>
                </c:pt>
                <c:pt idx="3">
                  <c:v>15.929000174892357</c:v>
                </c:pt>
                <c:pt idx="4">
                  <c:v>15.646476923619838</c:v>
                </c:pt>
                <c:pt idx="5">
                  <c:v>11.388385900558578</c:v>
                </c:pt>
                <c:pt idx="6">
                  <c:v>7.8334243224054028</c:v>
                </c:pt>
                <c:pt idx="7">
                  <c:v>5.2471871556179019</c:v>
                </c:pt>
                <c:pt idx="8">
                  <c:v>8.4080931855050611</c:v>
                </c:pt>
                <c:pt idx="9">
                  <c:v>9.7157772482996414</c:v>
                </c:pt>
                <c:pt idx="10">
                  <c:v>7.0328569239041965</c:v>
                </c:pt>
                <c:pt idx="11">
                  <c:v>8.2958459377718583</c:v>
                </c:pt>
                <c:pt idx="12">
                  <c:v>9.0262879430578558</c:v>
                </c:pt>
                <c:pt idx="13">
                  <c:v>1.6073542232883726</c:v>
                </c:pt>
                <c:pt idx="14">
                  <c:v>2.633911340428126</c:v>
                </c:pt>
                <c:pt idx="15">
                  <c:v>5.3373050180783688</c:v>
                </c:pt>
                <c:pt idx="16">
                  <c:v>21.283675159857093</c:v>
                </c:pt>
                <c:pt idx="17">
                  <c:v>34.238712986379923</c:v>
                </c:pt>
                <c:pt idx="18">
                  <c:v>13.727525347581148</c:v>
                </c:pt>
                <c:pt idx="19">
                  <c:v>13.017511941504992</c:v>
                </c:pt>
                <c:pt idx="20">
                  <c:v>10.651743171555088</c:v>
                </c:pt>
                <c:pt idx="21">
                  <c:v>9.6296976225282744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E-4BD4-ACC3-890F05BD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150042"/>
        <c:axId val="443604389"/>
      </c:lineChart>
      <c:catAx>
        <c:axId val="831150042"/>
        <c:scaling>
          <c:orientation val="minMax"/>
        </c:scaling>
        <c:delete val="1"/>
        <c:axPos val="b"/>
        <c:majorTickMark val="none"/>
        <c:minorTickMark val="none"/>
        <c:tickLblPos val="nextTo"/>
        <c:crossAx val="443604389"/>
        <c:crosses val="autoZero"/>
        <c:auto val="1"/>
        <c:lblAlgn val="ctr"/>
        <c:lblOffset val="100"/>
        <c:noMultiLvlLbl val="0"/>
      </c:catAx>
      <c:valAx>
        <c:axId val="443604389"/>
        <c:scaling>
          <c:orientation val="minMax"/>
        </c:scaling>
        <c:delete val="1"/>
        <c:axPos val="l"/>
        <c:numFmt formatCode="&quot;￥&quot;#,##0.00_);[Red]\(&quot;￥&quot;#,##0.00\)" sourceLinked="1"/>
        <c:majorTickMark val="none"/>
        <c:minorTickMark val="none"/>
        <c:tickLblPos val="nextTo"/>
        <c:crossAx val="8311500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平台 '!$B$8:$W$8</c:f>
              <c:numCache>
                <c:formatCode>"￥"#,##0_);[Red]\("￥"#,##0\)</c:formatCode>
                <c:ptCount val="22"/>
                <c:pt idx="0">
                  <c:v>3249029</c:v>
                </c:pt>
                <c:pt idx="1">
                  <c:v>4726273</c:v>
                </c:pt>
                <c:pt idx="2">
                  <c:v>2933708</c:v>
                </c:pt>
                <c:pt idx="3">
                  <c:v>2809491.1306067598</c:v>
                </c:pt>
                <c:pt idx="4">
                  <c:v>2826323.34015112</c:v>
                </c:pt>
                <c:pt idx="5">
                  <c:v>3287268.1800463102</c:v>
                </c:pt>
                <c:pt idx="6">
                  <c:v>3408563.7406075299</c:v>
                </c:pt>
                <c:pt idx="7">
                  <c:v>2691495.5</c:v>
                </c:pt>
                <c:pt idx="8">
                  <c:v>2632351.21</c:v>
                </c:pt>
                <c:pt idx="9">
                  <c:v>2805003</c:v>
                </c:pt>
                <c:pt idx="10">
                  <c:v>2827414.75</c:v>
                </c:pt>
                <c:pt idx="11">
                  <c:v>3749011.85</c:v>
                </c:pt>
                <c:pt idx="12">
                  <c:v>3631547.47</c:v>
                </c:pt>
                <c:pt idx="13">
                  <c:v>1377777.3602742001</c:v>
                </c:pt>
                <c:pt idx="14">
                  <c:v>791408.84998782398</c:v>
                </c:pt>
                <c:pt idx="15">
                  <c:v>2185895.2798632602</c:v>
                </c:pt>
                <c:pt idx="16">
                  <c:v>4099041.88945489</c:v>
                </c:pt>
                <c:pt idx="17">
                  <c:v>3874342.72</c:v>
                </c:pt>
                <c:pt idx="18">
                  <c:v>3674280.3679376999</c:v>
                </c:pt>
                <c:pt idx="19">
                  <c:v>3686194.31903025</c:v>
                </c:pt>
                <c:pt idx="20">
                  <c:v>3365220.85</c:v>
                </c:pt>
                <c:pt idx="21">
                  <c:v>3418208.01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7-4DF7-92AF-5F8FD1BF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80366"/>
        <c:axId val="83013434"/>
      </c:lineChart>
      <c:catAx>
        <c:axId val="60078036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013434"/>
        <c:crosses val="autoZero"/>
        <c:auto val="1"/>
        <c:lblAlgn val="ctr"/>
        <c:lblOffset val="100"/>
        <c:noMultiLvlLbl val="0"/>
      </c:catAx>
      <c:valAx>
        <c:axId val="83013434"/>
        <c:scaling>
          <c:orientation val="minMax"/>
        </c:scaling>
        <c:delete val="1"/>
        <c:axPos val="l"/>
        <c:numFmt formatCode="&quot;￥&quot;#,##0_);[Red]\(&quot;￥&quot;#,##0\)" sourceLinked="1"/>
        <c:majorTickMark val="none"/>
        <c:minorTickMark val="none"/>
        <c:tickLblPos val="nextTo"/>
        <c:crossAx val="600780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'图表 - 平台 '!$K$10:$T$10</c:f>
              <c:numCache>
                <c:formatCode>General</c:formatCode>
                <c:ptCount val="10"/>
                <c:pt idx="0">
                  <c:v>5.82</c:v>
                </c:pt>
                <c:pt idx="1">
                  <c:v>6.08</c:v>
                </c:pt>
                <c:pt idx="2">
                  <c:v>5.95</c:v>
                </c:pt>
                <c:pt idx="3">
                  <c:v>5.66</c:v>
                </c:pt>
                <c:pt idx="4">
                  <c:v>4.45</c:v>
                </c:pt>
                <c:pt idx="5">
                  <c:v>4.29</c:v>
                </c:pt>
                <c:pt idx="6">
                  <c:v>4.97</c:v>
                </c:pt>
                <c:pt idx="8">
                  <c:v>4.8600000000000003</c:v>
                </c:pt>
                <c:pt idx="9">
                  <c:v>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5-43B4-9CA5-121888A2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23981"/>
        <c:axId val="30013828"/>
      </c:lineChart>
      <c:catAx>
        <c:axId val="440323981"/>
        <c:scaling>
          <c:orientation val="minMax"/>
        </c:scaling>
        <c:delete val="1"/>
        <c:axPos val="b"/>
        <c:majorTickMark val="none"/>
        <c:minorTickMark val="none"/>
        <c:tickLblPos val="nextTo"/>
        <c:crossAx val="30013828"/>
        <c:crosses val="autoZero"/>
        <c:auto val="1"/>
        <c:lblAlgn val="ctr"/>
        <c:lblOffset val="100"/>
        <c:noMultiLvlLbl val="0"/>
      </c:catAx>
      <c:valAx>
        <c:axId val="300138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3239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</xdr:colOff>
      <xdr:row>8</xdr:row>
      <xdr:rowOff>613410</xdr:rowOff>
    </xdr:from>
    <xdr:to>
      <xdr:col>9</xdr:col>
      <xdr:colOff>30480</xdr:colOff>
      <xdr:row>9</xdr:row>
      <xdr:rowOff>624840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44450</xdr:rowOff>
    </xdr:from>
    <xdr:to>
      <xdr:col>19</xdr:col>
      <xdr:colOff>967105</xdr:colOff>
      <xdr:row>8</xdr:row>
      <xdr:rowOff>689610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41275</xdr:colOff>
      <xdr:row>6</xdr:row>
      <xdr:rowOff>50165</xdr:rowOff>
    </xdr:from>
    <xdr:to>
      <xdr:col>8</xdr:col>
      <xdr:colOff>60325</xdr:colOff>
      <xdr:row>6</xdr:row>
      <xdr:rowOff>641985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49530</xdr:colOff>
      <xdr:row>6</xdr:row>
      <xdr:rowOff>11430</xdr:rowOff>
    </xdr:from>
    <xdr:to>
      <xdr:col>23</xdr:col>
      <xdr:colOff>45720</xdr:colOff>
      <xdr:row>7</xdr:row>
      <xdr:rowOff>121920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3</xdr:row>
      <xdr:rowOff>39370</xdr:rowOff>
    </xdr:from>
    <xdr:to>
      <xdr:col>23</xdr:col>
      <xdr:colOff>106680</xdr:colOff>
      <xdr:row>4</xdr:row>
      <xdr:rowOff>106680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939800</xdr:colOff>
      <xdr:row>4</xdr:row>
      <xdr:rowOff>48260</xdr:rowOff>
    </xdr:from>
    <xdr:to>
      <xdr:col>23</xdr:col>
      <xdr:colOff>121920</xdr:colOff>
      <xdr:row>5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52070</xdr:colOff>
      <xdr:row>5</xdr:row>
      <xdr:rowOff>44450</xdr:rowOff>
    </xdr:from>
    <xdr:to>
      <xdr:col>23</xdr:col>
      <xdr:colOff>167640</xdr:colOff>
      <xdr:row>6</xdr:row>
      <xdr:rowOff>99060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</xdr:colOff>
      <xdr:row>7</xdr:row>
      <xdr:rowOff>104140</xdr:rowOff>
    </xdr:from>
    <xdr:to>
      <xdr:col>23</xdr:col>
      <xdr:colOff>182880</xdr:colOff>
      <xdr:row>8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60325</xdr:colOff>
      <xdr:row>9</xdr:row>
      <xdr:rowOff>85725</xdr:rowOff>
    </xdr:from>
    <xdr:to>
      <xdr:col>19</xdr:col>
      <xdr:colOff>1022350</xdr:colOff>
      <xdr:row>10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1096644</xdr:colOff>
      <xdr:row>4</xdr:row>
      <xdr:rowOff>50800</xdr:rowOff>
    </xdr:from>
    <xdr:to>
      <xdr:col>8</xdr:col>
      <xdr:colOff>68580</xdr:colOff>
      <xdr:row>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53340</xdr:rowOff>
    </xdr:from>
    <xdr:to>
      <xdr:col>23</xdr:col>
      <xdr:colOff>0</xdr:colOff>
      <xdr:row>4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</xdr:colOff>
      <xdr:row>5</xdr:row>
      <xdr:rowOff>48260</xdr:rowOff>
    </xdr:from>
    <xdr:to>
      <xdr:col>23</xdr:col>
      <xdr:colOff>76200</xdr:colOff>
      <xdr:row>6</xdr:row>
      <xdr:rowOff>91440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902335</xdr:colOff>
      <xdr:row>6</xdr:row>
      <xdr:rowOff>67310</xdr:rowOff>
    </xdr:from>
    <xdr:to>
      <xdr:col>23</xdr:col>
      <xdr:colOff>30480</xdr:colOff>
      <xdr:row>7</xdr:row>
      <xdr:rowOff>137160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91440</xdr:colOff>
      <xdr:row>7</xdr:row>
      <xdr:rowOff>723265</xdr:rowOff>
    </xdr:from>
    <xdr:to>
      <xdr:col>23</xdr:col>
      <xdr:colOff>213360</xdr:colOff>
      <xdr:row>9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62230</xdr:colOff>
      <xdr:row>7</xdr:row>
      <xdr:rowOff>8890</xdr:rowOff>
    </xdr:from>
    <xdr:to>
      <xdr:col>23</xdr:col>
      <xdr:colOff>152400</xdr:colOff>
      <xdr:row>8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bile.umeng.com/apps/group_trend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mobile.umeng.com/apps/group_trend" TargetMode="External"/><Relationship Id="rId1" Type="http://schemas.openxmlformats.org/officeDocument/2006/relationships/hyperlink" Target="http://mobile.umeng.com/apps/group_trend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bile.umeng.com/apps/d706004ad1e85e76fda57765/reports/reten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tabSelected="1" workbookViewId="0">
      <pane xSplit="1" ySplit="3" topLeftCell="AL4" activePane="bottomRight" state="frozen"/>
      <selection pane="topRight"/>
      <selection pane="bottomLeft"/>
      <selection pane="bottomRight" activeCell="AW13" sqref="AW13"/>
    </sheetView>
  </sheetViews>
  <sheetFormatPr defaultColWidth="9" defaultRowHeight="14.4" x14ac:dyDescent="0.25"/>
  <cols>
    <col min="1" max="1" width="19" style="1" customWidth="1"/>
    <col min="2" max="3" width="14.6640625" style="2" customWidth="1"/>
    <col min="4" max="4" width="10.109375" style="2" customWidth="1"/>
    <col min="5" max="5" width="14.6640625" style="2" customWidth="1"/>
    <col min="6" max="6" width="10.109375" style="2" customWidth="1"/>
    <col min="7" max="7" width="14.6640625" style="2" customWidth="1"/>
    <col min="8" max="8" width="10.109375" style="2" customWidth="1"/>
    <col min="9" max="9" width="14.6640625" style="2" customWidth="1"/>
    <col min="10" max="10" width="10.109375" style="2" customWidth="1"/>
    <col min="11" max="11" width="14.6640625" style="2" customWidth="1"/>
    <col min="12" max="12" width="10.109375" style="2" customWidth="1"/>
    <col min="13" max="13" width="14.6640625" style="2" customWidth="1"/>
    <col min="14" max="14" width="10.109375" style="2" customWidth="1"/>
    <col min="15" max="15" width="14.6640625" style="2" customWidth="1"/>
    <col min="16" max="16" width="10.109375" style="2" customWidth="1"/>
    <col min="17" max="17" width="14.6640625" style="2" customWidth="1"/>
    <col min="18" max="18" width="10.109375" style="2" customWidth="1"/>
    <col min="19" max="19" width="15.44140625" style="2" customWidth="1"/>
    <col min="20" max="20" width="9" style="2"/>
    <col min="21" max="21" width="15.33203125" style="2" customWidth="1"/>
    <col min="22" max="22" width="9" style="2"/>
    <col min="23" max="23" width="12.77734375" style="2" customWidth="1"/>
    <col min="24" max="24" width="9.5546875" style="2" customWidth="1"/>
    <col min="25" max="25" width="13.88671875" style="2" customWidth="1"/>
    <col min="26" max="26" width="9" style="2"/>
    <col min="27" max="27" width="13.88671875" style="2" customWidth="1"/>
    <col min="28" max="28" width="9" style="2"/>
    <col min="29" max="29" width="13.88671875" style="2" customWidth="1"/>
    <col min="30" max="30" width="9.33203125" style="2"/>
    <col min="31" max="31" width="13.88671875" style="2" customWidth="1"/>
    <col min="32" max="32" width="9.33203125" style="2"/>
    <col min="33" max="33" width="13.88671875" style="2" customWidth="1"/>
    <col min="34" max="34" width="9" style="2"/>
    <col min="35" max="35" width="13.88671875" style="2" customWidth="1"/>
    <col min="36" max="36" width="9" style="2"/>
    <col min="37" max="37" width="15" style="2" customWidth="1"/>
    <col min="38" max="38" width="9.33203125" style="2"/>
    <col min="39" max="39" width="14.88671875" style="2" customWidth="1"/>
    <col min="40" max="40" width="9" style="2"/>
    <col min="41" max="41" width="14.88671875" style="2" customWidth="1"/>
    <col min="42" max="42" width="9" style="2"/>
    <col min="43" max="43" width="13.88671875" style="2" bestFit="1" customWidth="1"/>
    <col min="44" max="44" width="9" style="2"/>
    <col min="45" max="45" width="15" style="2" bestFit="1" customWidth="1"/>
    <col min="46" max="16384" width="9" style="2"/>
  </cols>
  <sheetData>
    <row r="1" spans="1:46" s="1" customFormat="1" x14ac:dyDescent="0.25">
      <c r="A1" s="54"/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46" s="1" customFormat="1" x14ac:dyDescent="0.25">
      <c r="A2" s="54"/>
      <c r="B2" s="14">
        <v>10.28</v>
      </c>
      <c r="C2" s="17">
        <v>11.04</v>
      </c>
      <c r="D2" s="55" t="s">
        <v>1</v>
      </c>
      <c r="E2" s="17">
        <v>11.11</v>
      </c>
      <c r="F2" s="55" t="s">
        <v>1</v>
      </c>
      <c r="G2" s="17">
        <v>11.18</v>
      </c>
      <c r="H2" s="55" t="s">
        <v>1</v>
      </c>
      <c r="I2" s="17">
        <v>11.25</v>
      </c>
      <c r="J2" s="55" t="s">
        <v>1</v>
      </c>
      <c r="K2" s="17">
        <v>12.02</v>
      </c>
      <c r="L2" s="55" t="s">
        <v>1</v>
      </c>
      <c r="M2" s="17">
        <v>12.09</v>
      </c>
      <c r="N2" s="55" t="s">
        <v>1</v>
      </c>
      <c r="O2" s="17">
        <v>12.16</v>
      </c>
      <c r="P2" s="55" t="s">
        <v>1</v>
      </c>
      <c r="Q2" s="17">
        <v>12.23</v>
      </c>
      <c r="R2" s="55" t="s">
        <v>1</v>
      </c>
      <c r="S2" s="30">
        <v>12.3</v>
      </c>
      <c r="T2" s="55" t="s">
        <v>1</v>
      </c>
      <c r="U2" s="30" t="s">
        <v>2</v>
      </c>
      <c r="V2" s="55" t="s">
        <v>1</v>
      </c>
      <c r="W2" s="31" t="s">
        <v>3</v>
      </c>
      <c r="X2" s="55" t="s">
        <v>1</v>
      </c>
      <c r="Y2" s="31" t="s">
        <v>4</v>
      </c>
      <c r="Z2" s="55" t="s">
        <v>1</v>
      </c>
      <c r="AA2" s="31" t="s">
        <v>5</v>
      </c>
      <c r="AB2" s="55" t="s">
        <v>1</v>
      </c>
      <c r="AC2" s="31" t="s">
        <v>6</v>
      </c>
      <c r="AD2" s="55" t="s">
        <v>1</v>
      </c>
      <c r="AE2" s="31" t="s">
        <v>7</v>
      </c>
      <c r="AF2" s="55" t="s">
        <v>1</v>
      </c>
      <c r="AG2" s="31" t="s">
        <v>8</v>
      </c>
      <c r="AH2" s="55" t="s">
        <v>1</v>
      </c>
      <c r="AI2" s="31" t="s">
        <v>9</v>
      </c>
      <c r="AJ2" s="55" t="s">
        <v>1</v>
      </c>
      <c r="AK2" s="31" t="s">
        <v>10</v>
      </c>
      <c r="AL2" s="55" t="s">
        <v>1</v>
      </c>
      <c r="AM2" s="31" t="s">
        <v>11</v>
      </c>
      <c r="AN2" s="55" t="s">
        <v>1</v>
      </c>
      <c r="AO2" s="31" t="s">
        <v>12</v>
      </c>
      <c r="AP2" s="55" t="s">
        <v>1</v>
      </c>
      <c r="AQ2" s="31" t="s">
        <v>121</v>
      </c>
      <c r="AR2" s="55" t="s">
        <v>1</v>
      </c>
      <c r="AS2" s="31" t="s">
        <v>123</v>
      </c>
      <c r="AT2" s="55" t="s">
        <v>1</v>
      </c>
    </row>
    <row r="3" spans="1:46" s="1" customFormat="1" x14ac:dyDescent="0.25">
      <c r="A3" s="54"/>
      <c r="B3" s="14">
        <v>301</v>
      </c>
      <c r="C3" s="17">
        <v>308</v>
      </c>
      <c r="D3" s="55"/>
      <c r="E3" s="17">
        <v>315</v>
      </c>
      <c r="F3" s="55"/>
      <c r="G3" s="17">
        <v>322</v>
      </c>
      <c r="H3" s="55"/>
      <c r="I3" s="17">
        <v>329</v>
      </c>
      <c r="J3" s="55"/>
      <c r="K3" s="17">
        <v>336</v>
      </c>
      <c r="L3" s="55"/>
      <c r="M3" s="17">
        <v>343</v>
      </c>
      <c r="N3" s="55"/>
      <c r="O3" s="17">
        <v>350</v>
      </c>
      <c r="P3" s="55"/>
      <c r="Q3" s="17">
        <v>357</v>
      </c>
      <c r="R3" s="55"/>
      <c r="S3" s="17">
        <v>364</v>
      </c>
      <c r="T3" s="55"/>
      <c r="U3" s="17">
        <v>371</v>
      </c>
      <c r="V3" s="55"/>
      <c r="W3" s="17">
        <v>378</v>
      </c>
      <c r="X3" s="55"/>
      <c r="Y3" s="17">
        <v>385</v>
      </c>
      <c r="Z3" s="55"/>
      <c r="AA3" s="17">
        <v>392</v>
      </c>
      <c r="AB3" s="55"/>
      <c r="AC3" s="17">
        <v>399</v>
      </c>
      <c r="AD3" s="55"/>
      <c r="AE3" s="17">
        <v>406</v>
      </c>
      <c r="AF3" s="55"/>
      <c r="AG3" s="17">
        <v>413</v>
      </c>
      <c r="AH3" s="55"/>
      <c r="AI3" s="17">
        <v>420</v>
      </c>
      <c r="AJ3" s="55"/>
      <c r="AK3" s="17">
        <v>427</v>
      </c>
      <c r="AL3" s="55"/>
      <c r="AM3" s="17">
        <v>434</v>
      </c>
      <c r="AN3" s="55"/>
      <c r="AO3" s="17">
        <v>441</v>
      </c>
      <c r="AP3" s="55"/>
      <c r="AQ3" s="17">
        <v>448</v>
      </c>
      <c r="AR3" s="55"/>
      <c r="AS3" s="17">
        <v>455</v>
      </c>
      <c r="AT3" s="55"/>
    </row>
    <row r="4" spans="1:46" x14ac:dyDescent="0.25">
      <c r="A4" s="18" t="s">
        <v>13</v>
      </c>
      <c r="B4" s="10">
        <v>142382</v>
      </c>
      <c r="C4" s="10">
        <v>153559</v>
      </c>
      <c r="D4" s="36">
        <f>(C4-B4)/B4</f>
        <v>7.8500091303676023E-2</v>
      </c>
      <c r="E4" s="10">
        <v>152291</v>
      </c>
      <c r="F4" s="36">
        <f>(E4-C4)/C4</f>
        <v>-8.2574124603572562E-3</v>
      </c>
      <c r="G4" s="10">
        <v>149038</v>
      </c>
      <c r="H4" s="36">
        <f>(G4-E4)/E4</f>
        <v>-2.1360421824007984E-2</v>
      </c>
      <c r="I4" s="10">
        <v>147934</v>
      </c>
      <c r="J4" s="36">
        <f>(I4-G4)/G4</f>
        <v>-7.407506810343671E-3</v>
      </c>
      <c r="K4" s="10">
        <v>152093</v>
      </c>
      <c r="L4" s="36">
        <f t="shared" ref="L4:N4" si="0">(K4-I4)/I4</f>
        <v>2.8113888626008898E-2</v>
      </c>
      <c r="M4" s="10">
        <v>148414</v>
      </c>
      <c r="N4" s="36">
        <f t="shared" si="0"/>
        <v>-2.4189147429533247E-2</v>
      </c>
      <c r="O4" s="2">
        <v>140805</v>
      </c>
      <c r="P4" s="36">
        <f>(O4-M4)/M4</f>
        <v>-5.1268748231298934E-2</v>
      </c>
      <c r="Q4" s="2">
        <v>143088</v>
      </c>
      <c r="R4" s="36">
        <f>(Q4-O4)/O4</f>
        <v>1.6213912858208161E-2</v>
      </c>
      <c r="S4" s="2">
        <v>134949</v>
      </c>
      <c r="T4" s="36">
        <f>(S4-Q4)/Q4</f>
        <v>-5.688108017443811E-2</v>
      </c>
      <c r="U4" s="2">
        <v>128504</v>
      </c>
      <c r="V4" s="36">
        <f>(U4-S4)/S4</f>
        <v>-4.775878294763207E-2</v>
      </c>
      <c r="W4" s="2">
        <v>127131</v>
      </c>
      <c r="X4" s="36">
        <f>(W4-U4)/U4</f>
        <v>-1.0684492311523377E-2</v>
      </c>
      <c r="Y4" s="2">
        <v>138958</v>
      </c>
      <c r="Z4" s="36">
        <f t="shared" ref="Z4:AB4" si="1">(Y4-W4)/W4</f>
        <v>9.3030024148319457E-2</v>
      </c>
      <c r="AA4" s="2">
        <v>148306</v>
      </c>
      <c r="AB4" s="36">
        <f t="shared" si="1"/>
        <v>6.7272125390405738E-2</v>
      </c>
      <c r="AC4" s="2">
        <v>126192</v>
      </c>
      <c r="AD4" s="36">
        <f>(AC4-AA4)/AA4</f>
        <v>-0.14911062263158603</v>
      </c>
      <c r="AE4" s="2">
        <v>111593</v>
      </c>
      <c r="AF4" s="36">
        <f t="shared" ref="AF4:AF6" si="2">(AE4-AC4)/AC4</f>
        <v>-0.11568879168251553</v>
      </c>
      <c r="AG4" s="2">
        <v>120482</v>
      </c>
      <c r="AH4" s="36">
        <f t="shared" ref="AH4:AH6" si="3">(AG4-AE4)/AE4</f>
        <v>7.9655533949262045E-2</v>
      </c>
      <c r="AI4" s="2">
        <v>134046</v>
      </c>
      <c r="AJ4" s="36">
        <f t="shared" ref="AJ4:AL4" si="4">(AI4-AG4)/AG4</f>
        <v>0.11258113245132052</v>
      </c>
      <c r="AK4" s="2">
        <v>137358</v>
      </c>
      <c r="AL4" s="36">
        <f t="shared" si="4"/>
        <v>2.4707936081643615E-2</v>
      </c>
      <c r="AM4" s="2">
        <v>146871</v>
      </c>
      <c r="AN4" s="36">
        <f>(AM4-AK4)/AK4</f>
        <v>6.925697811558118E-2</v>
      </c>
      <c r="AO4" s="2">
        <v>141836</v>
      </c>
      <c r="AP4" s="36">
        <f t="shared" ref="AP4:AP6" si="5">(AO4-AM4)/AM4</f>
        <v>-3.428178469541298E-2</v>
      </c>
      <c r="AQ4" s="2">
        <v>144638</v>
      </c>
      <c r="AR4" s="36">
        <f t="shared" ref="AR4:AR6" si="6">(AQ4-AO4)/AO4</f>
        <v>1.9755210242815645E-2</v>
      </c>
      <c r="AS4" s="2">
        <v>149435</v>
      </c>
      <c r="AT4" s="36">
        <f t="shared" ref="AT4:AT6" si="7">(AS4-AQ4)/AQ4</f>
        <v>3.3165558152076217E-2</v>
      </c>
    </row>
    <row r="5" spans="1:46" x14ac:dyDescent="0.25">
      <c r="A5" s="6" t="s">
        <v>14</v>
      </c>
      <c r="B5" s="37">
        <v>60447.428571428602</v>
      </c>
      <c r="C5" s="37">
        <v>62566.857142857101</v>
      </c>
      <c r="D5" s="36">
        <f>(C5-B5)/B5</f>
        <v>3.5062344611136692E-2</v>
      </c>
      <c r="E5" s="37">
        <v>64833.857142857101</v>
      </c>
      <c r="F5" s="36">
        <f>(E5-C5)/C5</f>
        <v>3.623324078471489E-2</v>
      </c>
      <c r="G5" s="37">
        <v>63165.142857142899</v>
      </c>
      <c r="H5" s="36">
        <f>(G5-E5)/E5</f>
        <v>-2.57383157389094E-2</v>
      </c>
      <c r="I5" s="37">
        <v>62323.714285714297</v>
      </c>
      <c r="J5" s="36">
        <f>(I5-G5)/G5</f>
        <v>-1.3321090293923881E-2</v>
      </c>
      <c r="K5" s="37">
        <v>63443.142857142899</v>
      </c>
      <c r="L5" s="36">
        <f>(K5-I5)/I5</f>
        <v>1.7961518889852084E-2</v>
      </c>
      <c r="M5" s="37">
        <v>62407.714285714297</v>
      </c>
      <c r="N5" s="36">
        <f>(M5-K5)/K5</f>
        <v>-1.6320575003040308E-2</v>
      </c>
      <c r="O5" s="2">
        <v>61854</v>
      </c>
      <c r="P5" s="36">
        <f>(O5-M5)/M5</f>
        <v>-8.872529494980198E-3</v>
      </c>
      <c r="Q5" s="47">
        <v>62287.285714285703</v>
      </c>
      <c r="R5" s="36">
        <f>(Q5-O5)/O5</f>
        <v>7.0049748486064418E-3</v>
      </c>
      <c r="S5" s="47">
        <v>57134.43</v>
      </c>
      <c r="T5" s="36">
        <f>(S5-Q5)/Q5</f>
        <v>-8.2727247707053087E-2</v>
      </c>
      <c r="U5" s="47">
        <v>56831.142857142899</v>
      </c>
      <c r="V5" s="36">
        <f>(U5-S5)/S5</f>
        <v>-5.3083078426983798E-3</v>
      </c>
      <c r="W5" s="47">
        <v>57177.714285714297</v>
      </c>
      <c r="X5" s="36">
        <f>(W5-U5)/U5</f>
        <v>6.0982660412545117E-3</v>
      </c>
      <c r="Y5" s="47">
        <v>59590.43</v>
      </c>
      <c r="Z5" s="36">
        <f t="shared" ref="Z5:AD5" si="8">(Y5-W5)/W5</f>
        <v>4.2196784961173482E-2</v>
      </c>
      <c r="AA5" s="47">
        <v>63760.285714285703</v>
      </c>
      <c r="AB5" s="36">
        <f t="shared" si="8"/>
        <v>6.9975258011826774E-2</v>
      </c>
      <c r="AC5" s="47">
        <v>55116.857142857101</v>
      </c>
      <c r="AD5" s="36">
        <f t="shared" si="8"/>
        <v>-0.13556132119859701</v>
      </c>
      <c r="AE5" s="47">
        <v>45926.714285714297</v>
      </c>
      <c r="AF5" s="36">
        <f t="shared" si="2"/>
        <v>-0.16673923974516397</v>
      </c>
      <c r="AG5" s="47">
        <v>48294.857142857101</v>
      </c>
      <c r="AH5" s="36">
        <f t="shared" si="3"/>
        <v>5.1563515787573448E-2</v>
      </c>
      <c r="AI5" s="47">
        <v>58996</v>
      </c>
      <c r="AJ5" s="36">
        <f t="shared" ref="AJ5:AL6" si="9">(AI5-AG5)/AG5</f>
        <v>0.22157934592266659</v>
      </c>
      <c r="AK5" s="47">
        <v>62333.714285714297</v>
      </c>
      <c r="AL5" s="36">
        <f t="shared" si="9"/>
        <v>5.6575264182559787E-2</v>
      </c>
      <c r="AM5" s="47">
        <v>63829.142857142899</v>
      </c>
      <c r="AN5" s="36">
        <f t="shared" ref="AN5:AN9" si="10">(AM5-AK5)/AK5</f>
        <v>2.3990686076785343E-2</v>
      </c>
      <c r="AO5" s="47">
        <v>64491.571428571398</v>
      </c>
      <c r="AP5" s="36">
        <f t="shared" si="5"/>
        <v>1.0378152388965844E-2</v>
      </c>
      <c r="AQ5" s="47">
        <v>65530.714285714283</v>
      </c>
      <c r="AR5" s="36">
        <f t="shared" si="6"/>
        <v>1.611284752603373E-2</v>
      </c>
      <c r="AS5" s="47">
        <v>66619.71428571429</v>
      </c>
      <c r="AT5" s="36">
        <f t="shared" si="7"/>
        <v>1.6618161603610196E-2</v>
      </c>
    </row>
    <row r="6" spans="1:46" x14ac:dyDescent="0.25">
      <c r="A6" s="6" t="s">
        <v>15</v>
      </c>
      <c r="B6" s="10">
        <v>23587</v>
      </c>
      <c r="C6" s="10">
        <v>29491</v>
      </c>
      <c r="D6" s="36">
        <f>(C6-B6)/B6</f>
        <v>0.25030737270530379</v>
      </c>
      <c r="E6" s="10">
        <v>34818</v>
      </c>
      <c r="F6" s="36">
        <f>(E6-C6)/C6</f>
        <v>0.18063137906479942</v>
      </c>
      <c r="G6" s="10">
        <v>32635</v>
      </c>
      <c r="H6" s="36">
        <f>(G6-E6)/E6</f>
        <v>-6.2697455339192368E-2</v>
      </c>
      <c r="I6" s="10">
        <v>28575</v>
      </c>
      <c r="J6" s="36">
        <f>(I6-G6)/G6</f>
        <v>-0.12440631224145855</v>
      </c>
      <c r="K6" s="10">
        <v>32869</v>
      </c>
      <c r="L6" s="36">
        <f>(K6-I6)/I6</f>
        <v>0.15027121609798774</v>
      </c>
      <c r="M6" s="10">
        <v>31008</v>
      </c>
      <c r="N6" s="36">
        <f>(M6-K6)/K6</f>
        <v>-5.6618698469682677E-2</v>
      </c>
      <c r="O6" s="2">
        <v>21248</v>
      </c>
      <c r="P6" s="36">
        <f>(O6-M6)/M6</f>
        <v>-0.31475748194014447</v>
      </c>
      <c r="Q6" s="2">
        <v>28121</v>
      </c>
      <c r="R6" s="36">
        <f>(Q6-O6)/O6</f>
        <v>0.32346573795180722</v>
      </c>
      <c r="S6" s="2">
        <v>19488</v>
      </c>
      <c r="T6" s="36">
        <f>(S6-Q6)/Q6</f>
        <v>-0.30699477258987945</v>
      </c>
      <c r="U6" s="2">
        <v>16790</v>
      </c>
      <c r="V6" s="36">
        <f>(U6-S6)/S6</f>
        <v>-0.13844417077175697</v>
      </c>
      <c r="W6" s="2">
        <v>13056</v>
      </c>
      <c r="X6" s="36">
        <f>(W6-U6)/U6</f>
        <v>-0.22239428231089933</v>
      </c>
      <c r="Y6" s="2">
        <v>19174</v>
      </c>
      <c r="Z6" s="36">
        <f t="shared" ref="Z6:AD6" si="11">(Y6-W6)/W6</f>
        <v>0.46859681372549017</v>
      </c>
      <c r="AA6" s="2">
        <v>29617</v>
      </c>
      <c r="AB6" s="36">
        <f t="shared" si="11"/>
        <v>0.54464378846354433</v>
      </c>
      <c r="AC6" s="2">
        <v>14680</v>
      </c>
      <c r="AD6" s="36">
        <f t="shared" si="11"/>
        <v>-0.50433872438126748</v>
      </c>
      <c r="AE6" s="2">
        <v>7918</v>
      </c>
      <c r="AF6" s="36">
        <f t="shared" si="2"/>
        <v>-0.46062670299727521</v>
      </c>
      <c r="AG6" s="2">
        <v>9796</v>
      </c>
      <c r="AH6" s="36">
        <f t="shared" si="3"/>
        <v>0.23718110633998485</v>
      </c>
      <c r="AI6" s="2">
        <v>15115</v>
      </c>
      <c r="AJ6" s="36">
        <f t="shared" si="9"/>
        <v>0.54297672519395668</v>
      </c>
      <c r="AK6" s="2">
        <v>16985</v>
      </c>
      <c r="AL6" s="36">
        <f t="shared" si="9"/>
        <v>0.12371816076744956</v>
      </c>
      <c r="AM6" s="2">
        <v>21304</v>
      </c>
      <c r="AN6" s="36">
        <f t="shared" si="10"/>
        <v>0.25428319105092728</v>
      </c>
      <c r="AO6" s="2">
        <v>25333</v>
      </c>
      <c r="AP6" s="36">
        <f t="shared" si="5"/>
        <v>0.18911941419451747</v>
      </c>
      <c r="AQ6" s="2">
        <v>22809</v>
      </c>
      <c r="AR6" s="36">
        <f t="shared" si="6"/>
        <v>-9.9632889906446143E-2</v>
      </c>
      <c r="AS6" s="2">
        <v>25994</v>
      </c>
      <c r="AT6" s="36">
        <f t="shared" si="7"/>
        <v>0.1396378622473585</v>
      </c>
    </row>
    <row r="7" spans="1:46" s="35" customFormat="1" ht="12" x14ac:dyDescent="0.25">
      <c r="A7" s="20" t="s">
        <v>16</v>
      </c>
      <c r="D7" s="38"/>
      <c r="F7" s="38"/>
      <c r="H7" s="38"/>
      <c r="J7" s="38"/>
      <c r="L7" s="38"/>
      <c r="N7" s="38"/>
      <c r="P7" s="38"/>
      <c r="R7" s="38"/>
      <c r="T7" s="38"/>
      <c r="V7" s="38"/>
      <c r="X7" s="38"/>
      <c r="Z7" s="38"/>
      <c r="AB7" s="38"/>
      <c r="AD7" s="38"/>
      <c r="AF7" s="38"/>
      <c r="AH7" s="38"/>
      <c r="AJ7" s="38"/>
      <c r="AL7" s="38"/>
      <c r="AN7" s="38"/>
      <c r="AP7" s="38"/>
      <c r="AR7" s="38"/>
      <c r="AT7" s="38"/>
    </row>
    <row r="8" spans="1:46" s="35" customFormat="1" ht="12" x14ac:dyDescent="0.25">
      <c r="A8" s="20" t="s">
        <v>17</v>
      </c>
      <c r="B8" s="35">
        <v>15951</v>
      </c>
      <c r="C8" s="35">
        <v>22491</v>
      </c>
      <c r="D8" s="38">
        <f>(C8-B8)/B8</f>
        <v>0.41000564227948089</v>
      </c>
      <c r="E8" s="35">
        <v>27828</v>
      </c>
      <c r="F8" s="38">
        <f>(E8-C8)/C8</f>
        <v>0.23729491796718688</v>
      </c>
      <c r="G8" s="35">
        <v>25635</v>
      </c>
      <c r="H8" s="38">
        <f>(G8-E8)/E8</f>
        <v>-7.8805519620526093E-2</v>
      </c>
      <c r="I8" s="35">
        <v>22690</v>
      </c>
      <c r="J8" s="38">
        <f>(I8-G8)/G8</f>
        <v>-0.1148819972693583</v>
      </c>
      <c r="K8" s="35">
        <v>27562</v>
      </c>
      <c r="L8" s="38">
        <f>(K8-I8)/I8</f>
        <v>0.21472014103129131</v>
      </c>
      <c r="M8" s="35">
        <v>23700</v>
      </c>
      <c r="N8" s="38">
        <f>(M8-K8)/K8</f>
        <v>-0.14012045569987663</v>
      </c>
      <c r="O8" s="35">
        <v>9658</v>
      </c>
      <c r="P8" s="38">
        <f>(O8-M8)/M8</f>
        <v>-0.59248945147679322</v>
      </c>
      <c r="Q8" s="35">
        <v>10291</v>
      </c>
      <c r="R8" s="38">
        <f>(Q8-O8)/O8</f>
        <v>6.5541519983433424E-2</v>
      </c>
      <c r="S8" s="35">
        <v>8896</v>
      </c>
      <c r="T8" s="38">
        <f>(S8-Q8)/Q8</f>
        <v>-0.1355553396171412</v>
      </c>
      <c r="U8" s="35">
        <v>7384</v>
      </c>
      <c r="V8" s="38">
        <f>(U8-S8)/S8</f>
        <v>-0.16996402877697842</v>
      </c>
      <c r="W8" s="35">
        <v>4612</v>
      </c>
      <c r="X8" s="38">
        <f>(W8-U8)/U8</f>
        <v>-0.3754062838569881</v>
      </c>
      <c r="Y8" s="35">
        <v>5769</v>
      </c>
      <c r="Z8" s="38">
        <f t="shared" ref="Z8:AD8" si="12">(Y8-W8)/W8</f>
        <v>0.25086730268863833</v>
      </c>
      <c r="AA8" s="35">
        <v>17685</v>
      </c>
      <c r="AB8" s="38">
        <f t="shared" si="12"/>
        <v>2.0655226209048361</v>
      </c>
      <c r="AC8" s="35">
        <v>1418</v>
      </c>
      <c r="AD8" s="38">
        <f t="shared" si="12"/>
        <v>-0.91981905569691824</v>
      </c>
      <c r="AF8" s="38">
        <f t="shared" ref="AF8:AF9" si="13">(AE8-AC8)/AC8</f>
        <v>-1</v>
      </c>
      <c r="AH8" s="38"/>
      <c r="AI8" s="35">
        <v>921</v>
      </c>
      <c r="AJ8" s="38"/>
      <c r="AK8" s="35">
        <v>6984</v>
      </c>
      <c r="AL8" s="49">
        <f t="shared" ref="AL8:AL12" si="14">(AK8-AI8)/AI8</f>
        <v>6.5830618892508141</v>
      </c>
      <c r="AM8" s="35">
        <v>8958</v>
      </c>
      <c r="AN8" s="49">
        <f>(AM8-AK8)/AK8</f>
        <v>0.28264604810996563</v>
      </c>
      <c r="AO8" s="35">
        <v>12062</v>
      </c>
      <c r="AP8" s="49">
        <f t="shared" ref="AP8:AP13" si="15">(AO8-AM8)/AM8</f>
        <v>0.34650591649921858</v>
      </c>
      <c r="AQ8" s="35">
        <v>9021</v>
      </c>
      <c r="AR8" s="49">
        <f t="shared" ref="AR8:AR9" si="16">(AQ8-AO8)/AO8</f>
        <v>-0.2521140772674515</v>
      </c>
      <c r="AS8" s="35">
        <v>11026</v>
      </c>
      <c r="AT8" s="49">
        <f t="shared" ref="AT8:AT9" si="17">(AS8-AQ8)/AQ8</f>
        <v>0.22225917304068285</v>
      </c>
    </row>
    <row r="9" spans="1:46" s="35" customFormat="1" ht="12" x14ac:dyDescent="0.25">
      <c r="A9" s="20" t="s">
        <v>18</v>
      </c>
      <c r="B9" s="39"/>
      <c r="C9" s="39"/>
      <c r="D9" s="38"/>
      <c r="E9" s="39"/>
      <c r="F9" s="38"/>
      <c r="G9" s="39"/>
      <c r="H9" s="38"/>
      <c r="I9" s="39"/>
      <c r="J9" s="38"/>
      <c r="K9" s="39">
        <v>796</v>
      </c>
      <c r="L9" s="38"/>
      <c r="M9" s="35">
        <v>839</v>
      </c>
      <c r="N9" s="38">
        <f>(M9-K9)/K9</f>
        <v>5.4020100502512561E-2</v>
      </c>
      <c r="O9" s="35">
        <v>925</v>
      </c>
      <c r="P9" s="38">
        <f>(O9-M9)/M9</f>
        <v>0.10250297973778308</v>
      </c>
      <c r="Q9" s="48">
        <v>766</v>
      </c>
      <c r="R9" s="38">
        <f>(Q9-O9)/O9</f>
        <v>-0.17189189189189188</v>
      </c>
      <c r="S9" s="48">
        <v>585</v>
      </c>
      <c r="T9" s="38">
        <f>(585-Q9)/Q9</f>
        <v>-0.23629242819843341</v>
      </c>
      <c r="U9" s="48">
        <v>303</v>
      </c>
      <c r="V9" s="49">
        <f>(U9-S9)/S9</f>
        <v>-0.48205128205128206</v>
      </c>
      <c r="W9" s="48">
        <v>314</v>
      </c>
      <c r="X9" s="49">
        <f>(W9-U9)/U9</f>
        <v>3.6303630363036306E-2</v>
      </c>
      <c r="Y9" s="48">
        <v>314</v>
      </c>
      <c r="Z9" s="49">
        <f t="shared" ref="Z9:AD9" si="18">(Y9-W9)/W9</f>
        <v>0</v>
      </c>
      <c r="AA9" s="48">
        <v>993</v>
      </c>
      <c r="AB9" s="49">
        <f t="shared" si="18"/>
        <v>2.1624203821656049</v>
      </c>
      <c r="AC9" s="48">
        <v>1348</v>
      </c>
      <c r="AD9" s="49">
        <f t="shared" si="18"/>
        <v>0.35750251762336355</v>
      </c>
      <c r="AE9" s="48">
        <v>776</v>
      </c>
      <c r="AF9" s="49">
        <f t="shared" si="13"/>
        <v>-0.42433234421364985</v>
      </c>
      <c r="AG9" s="48">
        <v>577</v>
      </c>
      <c r="AH9" s="49">
        <f t="shared" ref="AH9" si="19">(AG9-AE9)/AE9</f>
        <v>-0.25644329896907214</v>
      </c>
      <c r="AI9" s="48">
        <v>1076</v>
      </c>
      <c r="AJ9" s="49">
        <f>(AI9-AG9)/AG9</f>
        <v>0.86481802426343157</v>
      </c>
      <c r="AK9" s="48">
        <v>5813</v>
      </c>
      <c r="AL9" s="49">
        <f t="shared" si="14"/>
        <v>4.4024163568773238</v>
      </c>
      <c r="AM9" s="48">
        <v>3880</v>
      </c>
      <c r="AN9" s="49">
        <f t="shared" si="10"/>
        <v>-0.33253053500774127</v>
      </c>
      <c r="AO9" s="48">
        <v>2542</v>
      </c>
      <c r="AP9" s="49">
        <f t="shared" si="15"/>
        <v>-0.34484536082474226</v>
      </c>
      <c r="AQ9" s="48">
        <v>3630</v>
      </c>
      <c r="AR9" s="49">
        <f t="shared" si="16"/>
        <v>0.42800944138473646</v>
      </c>
      <c r="AS9" s="48">
        <v>4326</v>
      </c>
      <c r="AT9" s="49">
        <f t="shared" si="17"/>
        <v>0.19173553719008266</v>
      </c>
    </row>
    <row r="10" spans="1:46" s="35" customFormat="1" ht="12" x14ac:dyDescent="0.25">
      <c r="A10" s="20" t="s">
        <v>19</v>
      </c>
      <c r="D10" s="38"/>
      <c r="F10" s="38"/>
      <c r="H10" s="38"/>
      <c r="J10" s="38"/>
      <c r="K10" s="35">
        <v>47</v>
      </c>
      <c r="L10" s="38"/>
      <c r="M10" s="35">
        <v>73</v>
      </c>
      <c r="N10" s="38">
        <f>(M10-K10)/K10</f>
        <v>0.55319148936170215</v>
      </c>
      <c r="O10" s="35">
        <v>215</v>
      </c>
      <c r="P10" s="38">
        <f>(O10-M10)/M10</f>
        <v>1.9452054794520548</v>
      </c>
      <c r="Q10" s="35">
        <v>963</v>
      </c>
      <c r="R10" s="38">
        <f>(Q10-O10)/O10</f>
        <v>3.4790697674418603</v>
      </c>
      <c r="S10" s="35">
        <v>532</v>
      </c>
      <c r="T10" s="38">
        <f>(S10-Q10)/Q10</f>
        <v>-0.44755970924195221</v>
      </c>
      <c r="U10" s="35">
        <v>1902</v>
      </c>
      <c r="V10" s="38">
        <f>(U10-S10)/S10</f>
        <v>2.5751879699248121</v>
      </c>
      <c r="W10" s="35">
        <v>956</v>
      </c>
      <c r="X10" s="38">
        <f>(W10-U10)/U10</f>
        <v>-0.49737118822292326</v>
      </c>
      <c r="Y10" s="35">
        <v>474</v>
      </c>
      <c r="Z10" s="38">
        <f t="shared" ref="Z10:AD10" si="20">(Y10-W10)/W10</f>
        <v>-0.50418410041841</v>
      </c>
      <c r="AA10" s="35">
        <v>382</v>
      </c>
      <c r="AB10" s="38">
        <f t="shared" si="20"/>
        <v>-0.1940928270042194</v>
      </c>
      <c r="AC10" s="35">
        <v>0</v>
      </c>
      <c r="AD10" s="38">
        <f t="shared" si="20"/>
        <v>-1</v>
      </c>
      <c r="AE10" s="35">
        <v>0</v>
      </c>
      <c r="AF10" s="38"/>
      <c r="AG10" s="35">
        <v>0</v>
      </c>
      <c r="AH10" s="38"/>
      <c r="AI10" s="35">
        <v>0</v>
      </c>
      <c r="AJ10" s="38"/>
      <c r="AK10" s="35">
        <v>0</v>
      </c>
      <c r="AL10" s="38"/>
      <c r="AM10" s="35">
        <v>0</v>
      </c>
      <c r="AN10" s="38"/>
      <c r="AO10" s="35">
        <v>0</v>
      </c>
      <c r="AP10" s="38"/>
      <c r="AQ10" s="35">
        <v>0</v>
      </c>
      <c r="AR10" s="38"/>
      <c r="AS10" s="35">
        <v>0</v>
      </c>
      <c r="AT10" s="38"/>
    </row>
    <row r="11" spans="1:46" s="35" customFormat="1" ht="12" x14ac:dyDescent="0.25">
      <c r="A11" s="20" t="s">
        <v>20</v>
      </c>
      <c r="D11" s="38"/>
      <c r="F11" s="38"/>
      <c r="H11" s="38"/>
      <c r="J11" s="38"/>
      <c r="L11" s="38"/>
      <c r="N11" s="38"/>
      <c r="P11" s="38"/>
      <c r="R11" s="38"/>
      <c r="T11" s="38"/>
      <c r="V11" s="38"/>
      <c r="X11" s="38"/>
      <c r="Z11" s="38"/>
      <c r="AB11" s="38"/>
      <c r="AD11" s="38"/>
      <c r="AF11" s="38"/>
      <c r="AH11" s="38"/>
      <c r="AJ11" s="38"/>
      <c r="AL11" s="38"/>
      <c r="AN11" s="38"/>
      <c r="AP11" s="38"/>
      <c r="AR11" s="38"/>
      <c r="AT11" s="38"/>
    </row>
    <row r="12" spans="1:46" x14ac:dyDescent="0.25">
      <c r="A12" s="6" t="s">
        <v>21</v>
      </c>
      <c r="B12" s="40">
        <v>197449.36</v>
      </c>
      <c r="C12" s="40">
        <v>366659.31</v>
      </c>
      <c r="D12" s="36">
        <f>(C12-B12)/B12</f>
        <v>0.85697897425446212</v>
      </c>
      <c r="E12" s="40">
        <v>423158.63</v>
      </c>
      <c r="F12" s="36">
        <f>(E12-C12)/C12</f>
        <v>0.1540921461942423</v>
      </c>
      <c r="G12" s="40">
        <v>339736.13</v>
      </c>
      <c r="H12" s="36">
        <f>(G12-E12)/E12</f>
        <v>-0.19714238133344936</v>
      </c>
      <c r="I12" s="40">
        <v>428462.56</v>
      </c>
      <c r="J12" s="36">
        <f>(I12-G12)/G12</f>
        <v>0.26116277359137513</v>
      </c>
      <c r="K12" s="40">
        <v>488865.18</v>
      </c>
      <c r="L12" s="36">
        <f>(K12-I12)/I12</f>
        <v>0.14097525814157483</v>
      </c>
      <c r="M12" s="40">
        <v>327030.34999999998</v>
      </c>
      <c r="N12" s="36">
        <f t="shared" ref="N12:N18" si="21">(M12-K12)/K12</f>
        <v>-0.33104184266099707</v>
      </c>
      <c r="O12" s="40">
        <v>134639.66</v>
      </c>
      <c r="P12" s="36">
        <f>(O12-M12)/M12</f>
        <v>-0.58829613214797949</v>
      </c>
      <c r="Q12" s="40">
        <v>108105.73</v>
      </c>
      <c r="R12" s="36">
        <f>(Q12-O12)/O12</f>
        <v>-0.19707365571184601</v>
      </c>
      <c r="S12" s="40">
        <v>128392</v>
      </c>
      <c r="T12" s="36">
        <f>(S12-Q12)/Q12</f>
        <v>0.18765212537762804</v>
      </c>
      <c r="U12" s="40">
        <v>121411</v>
      </c>
      <c r="V12" s="36">
        <f>(U12-S12)/S12</f>
        <v>-5.437254657611066E-2</v>
      </c>
      <c r="W12" s="40">
        <v>63754</v>
      </c>
      <c r="X12" s="36">
        <f>(W12-U12)/U12</f>
        <v>-0.47489107247284018</v>
      </c>
      <c r="Y12" s="40">
        <v>65583</v>
      </c>
      <c r="Z12" s="36">
        <f t="shared" ref="Z12:AD12" si="22">(Y12-W12)/W12</f>
        <v>2.868839602221037E-2</v>
      </c>
      <c r="AA12" s="40">
        <v>173444</v>
      </c>
      <c r="AB12" s="36">
        <f t="shared" si="22"/>
        <v>1.6446487656862296</v>
      </c>
      <c r="AC12" s="40">
        <v>13919.73</v>
      </c>
      <c r="AD12" s="36">
        <f t="shared" si="22"/>
        <v>-0.91974510504831519</v>
      </c>
      <c r="AE12" s="40"/>
      <c r="AF12" s="36">
        <f>(AE12-AC12)/AC12</f>
        <v>-1</v>
      </c>
      <c r="AG12" s="40"/>
      <c r="AH12" s="36"/>
      <c r="AI12" s="40">
        <v>23750.29</v>
      </c>
      <c r="AJ12" s="36"/>
      <c r="AK12" s="40">
        <v>116367</v>
      </c>
      <c r="AL12" s="36">
        <f t="shared" si="14"/>
        <v>3.8996033311593243</v>
      </c>
      <c r="AM12" s="40">
        <v>141193.81</v>
      </c>
      <c r="AN12" s="36">
        <f>(AM12-AK12)/AK12</f>
        <v>0.21334923131128239</v>
      </c>
      <c r="AO12" s="40">
        <v>161480.85999999999</v>
      </c>
      <c r="AP12" s="36">
        <f t="shared" si="15"/>
        <v>0.1436822903213674</v>
      </c>
      <c r="AQ12" s="40">
        <v>128772.27</v>
      </c>
      <c r="AR12" s="36">
        <f t="shared" ref="AR12:AR13" si="23">(AQ12-AO12)/AO12</f>
        <v>-0.20255397450818621</v>
      </c>
      <c r="AS12" s="40">
        <v>135000</v>
      </c>
      <c r="AT12" s="36">
        <f t="shared" ref="AT12:AT13" si="24">(AS12-AQ12)/AQ12</f>
        <v>4.8362353168116053E-2</v>
      </c>
    </row>
    <row r="13" spans="1:46" x14ac:dyDescent="0.25">
      <c r="A13" s="6" t="s">
        <v>22</v>
      </c>
      <c r="B13" s="40">
        <v>12971</v>
      </c>
      <c r="C13" s="40">
        <v>13809.9</v>
      </c>
      <c r="D13" s="36">
        <f>(C13-B13)/B13</f>
        <v>6.467504432965844E-2</v>
      </c>
      <c r="E13" s="40">
        <v>13585.1</v>
      </c>
      <c r="F13" s="36">
        <f>(E13-C13)/C13</f>
        <v>-1.6278177249654181E-2</v>
      </c>
      <c r="G13" s="40">
        <v>15453</v>
      </c>
      <c r="H13" s="36">
        <f>(G13-E13)/E13</f>
        <v>0.13749622748452345</v>
      </c>
      <c r="I13" s="40">
        <v>14046.3</v>
      </c>
      <c r="J13" s="36">
        <f>(I13-G13)/G13</f>
        <v>-9.103086779266166E-2</v>
      </c>
      <c r="K13" s="40">
        <v>12438.7</v>
      </c>
      <c r="L13" s="36">
        <f>(K13-I13)/I13</f>
        <v>-0.11445006870136609</v>
      </c>
      <c r="M13" s="40">
        <v>11749.46</v>
      </c>
      <c r="N13" s="36">
        <f t="shared" si="21"/>
        <v>-5.5410935226350148E-2</v>
      </c>
      <c r="O13" s="40">
        <v>13213.28</v>
      </c>
      <c r="P13" s="36">
        <f>(O13-M13)/M13</f>
        <v>0.12458615119333158</v>
      </c>
      <c r="Q13" s="40">
        <v>12049.5</v>
      </c>
      <c r="R13" s="36">
        <f>(Q13-O13)/O13</f>
        <v>-8.8076541176755549E-2</v>
      </c>
      <c r="S13" s="40">
        <v>8998</v>
      </c>
      <c r="T13" s="36">
        <f>(S13-Q13)/Q13</f>
        <v>-0.25324702269803728</v>
      </c>
      <c r="U13" s="40">
        <v>8932.2999999999993</v>
      </c>
      <c r="V13" s="36">
        <f>(U13-S13)/S13</f>
        <v>-7.3016225827962581E-3</v>
      </c>
      <c r="W13" s="40">
        <v>7975.9</v>
      </c>
      <c r="X13" s="36">
        <f>(W13-U13)/U13</f>
        <v>-0.10707208669659547</v>
      </c>
      <c r="Y13" s="40">
        <v>9248</v>
      </c>
      <c r="Z13" s="36">
        <f t="shared" ref="Z13:AD13" si="25">(Y13-W13)/W13</f>
        <v>0.159492972579897</v>
      </c>
      <c r="AA13" s="40">
        <v>9498.5</v>
      </c>
      <c r="AB13" s="36">
        <f t="shared" si="25"/>
        <v>2.7086937716262974E-2</v>
      </c>
      <c r="AC13" s="40">
        <v>5285</v>
      </c>
      <c r="AD13" s="36">
        <f t="shared" si="25"/>
        <v>-0.44359635731957675</v>
      </c>
      <c r="AE13" s="40">
        <v>4361.2</v>
      </c>
      <c r="AF13" s="36">
        <f>(AE13-AC13)/AC13</f>
        <v>-0.17479659413434251</v>
      </c>
      <c r="AG13" s="40">
        <v>5747.9</v>
      </c>
      <c r="AH13" s="36">
        <f>(AG13-AE13)/AE13</f>
        <v>0.3179629459781711</v>
      </c>
      <c r="AI13" s="40">
        <v>10491</v>
      </c>
      <c r="AJ13" s="36">
        <f>(AI13-AG13)/AG13</f>
        <v>0.82518832965082911</v>
      </c>
      <c r="AK13" s="40">
        <v>225582</v>
      </c>
      <c r="AL13" s="36">
        <f>(AK13-AI13)/AI13</f>
        <v>20.502430654847011</v>
      </c>
      <c r="AM13" s="40">
        <v>52411.3</v>
      </c>
      <c r="AN13" s="36">
        <f>(AM13-AK13)/AK13</f>
        <v>-0.76766187018467791</v>
      </c>
      <c r="AO13" s="40">
        <v>13634.9</v>
      </c>
      <c r="AP13" s="36">
        <f t="shared" si="15"/>
        <v>-0.73984808619515252</v>
      </c>
      <c r="AQ13" s="40">
        <v>19347.8</v>
      </c>
      <c r="AR13" s="36">
        <f t="shared" si="23"/>
        <v>0.41899097169762889</v>
      </c>
      <c r="AS13" s="40">
        <v>19215.599999999999</v>
      </c>
      <c r="AT13" s="36">
        <f t="shared" si="24"/>
        <v>-6.8328182015526696E-3</v>
      </c>
    </row>
    <row r="14" spans="1:46" x14ac:dyDescent="0.25">
      <c r="A14" s="6" t="s">
        <v>23</v>
      </c>
      <c r="B14" s="40">
        <v>15391.699994087199</v>
      </c>
      <c r="C14" s="40">
        <v>47288.370005607598</v>
      </c>
      <c r="D14" s="36">
        <f>(C14-B14)/B14</f>
        <v>2.0723292439284595</v>
      </c>
      <c r="E14" s="40">
        <v>281441.33026710199</v>
      </c>
      <c r="F14" s="36">
        <f>(E14-C14)/C14</f>
        <v>4.951597194695605</v>
      </c>
      <c r="G14" s="40">
        <v>12056.5199980736</v>
      </c>
      <c r="H14" s="36">
        <f>(G14-E14)/E14</f>
        <v>-0.95716151573533514</v>
      </c>
      <c r="I14" s="40">
        <v>12662.319997549101</v>
      </c>
      <c r="J14" s="36">
        <f>(I14-G14)/G14</f>
        <v>5.0246671475043893E-2</v>
      </c>
      <c r="K14" s="40">
        <v>9480.1700024604797</v>
      </c>
      <c r="L14" s="36">
        <f>(K14-I14)/I14</f>
        <v>-0.25130860661431342</v>
      </c>
      <c r="M14" s="40">
        <v>10601.2600045204</v>
      </c>
      <c r="N14" s="36">
        <f t="shared" si="21"/>
        <v>0.11825631837498198</v>
      </c>
      <c r="O14" s="40">
        <v>10841.66000247</v>
      </c>
      <c r="P14" s="36">
        <f>(O14-M14)/M14</f>
        <v>2.2676549565532129E-2</v>
      </c>
      <c r="Q14" s="40">
        <v>9400.9200031310302</v>
      </c>
      <c r="R14" s="36">
        <f>(Q14-O14)/O14</f>
        <v>-0.13288924380682787</v>
      </c>
      <c r="S14" s="40">
        <v>8466.9199991226196</v>
      </c>
      <c r="T14" s="36">
        <f>(S14-Q14)/Q14</f>
        <v>-9.9351978710310956E-2</v>
      </c>
      <c r="U14" s="40">
        <v>8784.5999989509601</v>
      </c>
      <c r="V14" s="36">
        <f>(U14-S14)/S14</f>
        <v>3.7520137176359276E-2</v>
      </c>
      <c r="W14" s="40">
        <v>8091.07999849319</v>
      </c>
      <c r="X14" s="36">
        <f>(W14-U14)/U14</f>
        <v>-7.8947248655668878E-2</v>
      </c>
      <c r="Y14" s="40">
        <v>78233.5500108376</v>
      </c>
      <c r="Z14" s="36">
        <f>(Y14-W14)/W14</f>
        <v>8.6691109252914451</v>
      </c>
      <c r="AA14" s="40">
        <v>78389.070009544506</v>
      </c>
      <c r="AB14" s="36">
        <f>(AA14-Y14)/Y14</f>
        <v>1.9878939238390991E-3</v>
      </c>
      <c r="AC14" s="40">
        <v>4391.2299978733099</v>
      </c>
      <c r="AD14" s="36">
        <f>(AC14-AA14)/AA14</f>
        <v>-0.94398160359169159</v>
      </c>
      <c r="AE14" s="40">
        <v>16494.109993509901</v>
      </c>
      <c r="AF14" s="36">
        <f>(AE14-AC14)/AC14</f>
        <v>2.7561480499764448</v>
      </c>
      <c r="AG14" s="40">
        <v>46536.339957095697</v>
      </c>
      <c r="AH14" s="36">
        <f>(AG14-AE14)/AE14</f>
        <v>1.8213913921640397</v>
      </c>
      <c r="AI14" s="40">
        <v>287461.46004123997</v>
      </c>
      <c r="AJ14" s="36">
        <f>(AI14-AG14)/AG14</f>
        <v>5.1771394206391363</v>
      </c>
      <c r="AK14" s="40">
        <v>239595.540073663</v>
      </c>
      <c r="AL14" s="36">
        <f>(AK14-AI14)/AI14</f>
        <v>-0.16651247774470362</v>
      </c>
      <c r="AM14" s="40">
        <v>98846.090004868805</v>
      </c>
      <c r="AN14" s="36">
        <f>(AM14-AK14)/AK14</f>
        <v>-0.5874460352038321</v>
      </c>
      <c r="AO14" s="40">
        <v>154656.870014146</v>
      </c>
      <c r="AP14" s="36">
        <f>(AO14-AM14)/AM14</f>
        <v>0.56462304180699663</v>
      </c>
      <c r="AQ14" s="40">
        <v>94835.54</v>
      </c>
      <c r="AR14" s="36">
        <f>(AQ14-AO14)/AO14</f>
        <v>-0.38680034070697494</v>
      </c>
      <c r="AS14" s="40">
        <v>96098.76</v>
      </c>
      <c r="AT14" s="36">
        <f>(AS14-AQ14)/AQ14</f>
        <v>1.3320111848364034E-2</v>
      </c>
    </row>
    <row r="15" spans="1:46" x14ac:dyDescent="0.25">
      <c r="A15" s="6" t="s">
        <v>24</v>
      </c>
      <c r="B15" s="10"/>
      <c r="C15" s="10"/>
      <c r="D15" s="36"/>
      <c r="E15" s="10"/>
      <c r="F15" s="36"/>
      <c r="G15" s="10"/>
      <c r="H15" s="36"/>
      <c r="I15" s="10"/>
      <c r="J15" s="36"/>
      <c r="K15" s="26">
        <v>3500</v>
      </c>
      <c r="L15" s="36"/>
      <c r="M15" s="26">
        <v>3750</v>
      </c>
      <c r="N15" s="36">
        <f t="shared" si="21"/>
        <v>7.1428571428571425E-2</v>
      </c>
      <c r="O15" s="26">
        <v>7750</v>
      </c>
      <c r="P15" s="36">
        <f>(O15-M15)/M15</f>
        <v>1.0666666666666667</v>
      </c>
      <c r="Q15" s="26">
        <v>18000</v>
      </c>
      <c r="R15" s="36">
        <f>(Q15-O15)/O15</f>
        <v>1.3225806451612903</v>
      </c>
      <c r="S15" s="26">
        <v>18000</v>
      </c>
      <c r="T15" s="36">
        <f>(S15-Q15)/Q15</f>
        <v>0</v>
      </c>
      <c r="U15" s="26">
        <v>24000</v>
      </c>
      <c r="V15" s="36">
        <f>(U15-S15)/S15</f>
        <v>0.33333333333333331</v>
      </c>
      <c r="W15" s="26">
        <v>12000</v>
      </c>
      <c r="X15" s="36">
        <f>(W15-U15)/U15</f>
        <v>-0.5</v>
      </c>
      <c r="Y15" s="26">
        <v>6000</v>
      </c>
      <c r="Z15" s="36">
        <f t="shared" ref="Z15:AD15" si="26">(Y15-W15)/W15</f>
        <v>-0.5</v>
      </c>
      <c r="AA15" s="26">
        <v>6000</v>
      </c>
      <c r="AB15" s="36">
        <f t="shared" si="26"/>
        <v>0</v>
      </c>
      <c r="AC15" s="26">
        <v>0</v>
      </c>
      <c r="AD15" s="50">
        <f t="shared" si="26"/>
        <v>-1</v>
      </c>
      <c r="AE15" s="26">
        <v>0</v>
      </c>
      <c r="AF15" s="50"/>
      <c r="AG15" s="26">
        <v>0</v>
      </c>
      <c r="AH15" s="50"/>
      <c r="AI15" s="26">
        <v>0</v>
      </c>
      <c r="AJ15" s="50"/>
      <c r="AK15" s="26">
        <v>0</v>
      </c>
      <c r="AL15" s="50"/>
      <c r="AM15" s="26">
        <v>0</v>
      </c>
      <c r="AN15" s="50"/>
      <c r="AO15" s="26">
        <v>0</v>
      </c>
      <c r="AP15" s="50"/>
      <c r="AQ15" s="26">
        <v>0</v>
      </c>
      <c r="AR15" s="50"/>
      <c r="AS15" s="26">
        <v>0</v>
      </c>
      <c r="AT15" s="50"/>
    </row>
    <row r="16" spans="1:46" x14ac:dyDescent="0.25">
      <c r="A16" s="6" t="s">
        <v>25</v>
      </c>
      <c r="B16" s="40">
        <f>SUM(B12:B15)/B6</f>
        <v>9.5735812097378723</v>
      </c>
      <c r="C16" s="40">
        <f>SUM(C12:C15)/C6</f>
        <v>14.504682106595491</v>
      </c>
      <c r="D16" s="36">
        <f>(C16-B16)/B16</f>
        <v>0.5150738045489075</v>
      </c>
      <c r="E16" s="40">
        <f>SUM(E12:E15)/E6</f>
        <v>20.626832680426848</v>
      </c>
      <c r="F16" s="36">
        <f>(E16-C16)/C16</f>
        <v>0.42208098935498395</v>
      </c>
      <c r="G16" s="40">
        <f>SUM(G12:G15)/G6</f>
        <v>11.253122414526539</v>
      </c>
      <c r="H16" s="36">
        <f>(G16-E16)/E16</f>
        <v>-0.45444254147633545</v>
      </c>
      <c r="I16" s="40">
        <f>SUM(I12:I15)/I6</f>
        <v>15.929000174892357</v>
      </c>
      <c r="J16" s="36">
        <f>(I16-G16)/G16</f>
        <v>0.41551825245673824</v>
      </c>
      <c r="K16" s="40">
        <f>SUM(K12:K15)/K6</f>
        <v>15.646476923619838</v>
      </c>
      <c r="L16" s="36">
        <f>(K16-I16)/I16</f>
        <v>-1.7736408322591272E-2</v>
      </c>
      <c r="M16" s="40">
        <f>SUM(M12:M15)/M6</f>
        <v>11.388385900558578</v>
      </c>
      <c r="N16" s="36">
        <f t="shared" si="21"/>
        <v>-0.27214375759141463</v>
      </c>
      <c r="O16" s="40">
        <f>SUM(O12:O15)/O6</f>
        <v>7.8334243224054028</v>
      </c>
      <c r="P16" s="36">
        <f t="shared" ref="P16:R18" si="27">(O16-M16)/M16</f>
        <v>-0.3121567541875106</v>
      </c>
      <c r="Q16" s="40">
        <f>SUM(Q12:Q15)/Q6</f>
        <v>5.2471871556179019</v>
      </c>
      <c r="R16" s="36">
        <f t="shared" si="27"/>
        <v>-0.33015410123900285</v>
      </c>
      <c r="S16" s="40">
        <f>SUM(S12:S15)/S6</f>
        <v>8.4080931855050611</v>
      </c>
      <c r="T16" s="36">
        <f t="shared" ref="T16:Z27" si="28">(S16-Q16)/Q16</f>
        <v>0.60240009287698737</v>
      </c>
      <c r="U16" s="40">
        <f>SUM(U12:U15)/U6</f>
        <v>9.7157772482996414</v>
      </c>
      <c r="V16" s="36">
        <f t="shared" si="28"/>
        <v>0.1555268280148146</v>
      </c>
      <c r="W16" s="40">
        <f>SUM(W12:W15)/W6</f>
        <v>7.0328569239041965</v>
      </c>
      <c r="X16" s="36">
        <f t="shared" ref="X16:X27" si="29">(W16-U16)/U16</f>
        <v>-0.27614057587260793</v>
      </c>
      <c r="Y16" s="40">
        <f>SUM(Y12:Y15)/Y6</f>
        <v>8.2958459377718583</v>
      </c>
      <c r="Z16" s="36">
        <f t="shared" ref="Z16:Z27" si="30">(Y16-W16)/W16</f>
        <v>0.17958406200115476</v>
      </c>
      <c r="AA16" s="40">
        <f>SUM(AA12:AA15)/AA6</f>
        <v>9.0262879430578558</v>
      </c>
      <c r="AB16" s="36">
        <f t="shared" ref="AB16:AB27" si="31">(AA16-Y16)/Y16</f>
        <v>8.8049128535550331E-2</v>
      </c>
      <c r="AC16" s="40">
        <f>SUM(AC12:AC15)/AC6</f>
        <v>1.6073542232883726</v>
      </c>
      <c r="AD16" s="36">
        <f t="shared" ref="AD16:AD27" si="32">(AC16-AA16)/AA16</f>
        <v>-0.82192522181561989</v>
      </c>
      <c r="AE16" s="40">
        <f>SUM(AE12:AE15)/AE6</f>
        <v>2.633911340428126</v>
      </c>
      <c r="AF16" s="36">
        <f t="shared" ref="AF16:AF26" si="33">(AE16-AC16)/AC16</f>
        <v>0.63866265585167192</v>
      </c>
      <c r="AG16" s="40">
        <f>SUM(AG12:AG15)/AG6</f>
        <v>5.3373050180783688</v>
      </c>
      <c r="AH16" s="36">
        <f t="shared" ref="AH16:AH26" si="34">(AG16-AE16)/AE16</f>
        <v>1.0263799073855018</v>
      </c>
      <c r="AI16" s="40">
        <f>SUM(AI12:AI15)/AI6</f>
        <v>21.283675159857093</v>
      </c>
      <c r="AJ16" s="36">
        <f t="shared" ref="AJ16:AL18" si="35">(AI16-AG16)/AG16</f>
        <v>2.9877194741101794</v>
      </c>
      <c r="AK16" s="40">
        <f>SUM(AK12:AK15)/AK6</f>
        <v>34.238712986379923</v>
      </c>
      <c r="AL16" s="36">
        <f t="shared" si="35"/>
        <v>0.60868424880667149</v>
      </c>
      <c r="AM16" s="40">
        <f>SUM(AM12:AM15)/AM6</f>
        <v>13.727525347581148</v>
      </c>
      <c r="AN16" s="36">
        <f>(AM16-AK16)/AK16</f>
        <v>-0.59906421269275145</v>
      </c>
      <c r="AO16" s="40">
        <f>SUM(AO12:AO15)/AO6</f>
        <v>13.017511941504992</v>
      </c>
      <c r="AP16" s="36">
        <f t="shared" ref="AP16:AP18" si="36">(AO16-AM16)/AM16</f>
        <v>-5.1721879078610727E-2</v>
      </c>
      <c r="AQ16" s="40">
        <f>SUM(AQ12:AQ15)/AQ6</f>
        <v>10.651743171555088</v>
      </c>
      <c r="AR16" s="36">
        <f t="shared" ref="AR16:AR18" si="37">(AQ16-AO16)/AO16</f>
        <v>-0.18173739963371147</v>
      </c>
      <c r="AS16" s="40">
        <f>SUM(AS12:AS15)/AS6</f>
        <v>9.6296976225282744</v>
      </c>
      <c r="AT16" s="36">
        <f t="shared" ref="AT16:AT18" si="38">(AS16-AQ16)/AQ16</f>
        <v>-9.5951013140847391E-2</v>
      </c>
    </row>
    <row r="17" spans="1:46" s="35" customFormat="1" ht="12" x14ac:dyDescent="0.25">
      <c r="A17" s="20" t="s">
        <v>26</v>
      </c>
      <c r="B17" s="41">
        <f>B12/B8</f>
        <v>12.378494138298539</v>
      </c>
      <c r="C17" s="41">
        <f t="shared" ref="C17:G17" si="39">C12/C8</f>
        <v>16.302490329465119</v>
      </c>
      <c r="D17" s="38">
        <f>(C17-B17)/B17</f>
        <v>0.31700109458596432</v>
      </c>
      <c r="E17" s="41">
        <f t="shared" si="39"/>
        <v>15.206217838148627</v>
      </c>
      <c r="F17" s="38">
        <f>(E17-C17)/C17</f>
        <v>-6.7245707199414168E-2</v>
      </c>
      <c r="G17" s="41">
        <f t="shared" si="39"/>
        <v>13.252823483518627</v>
      </c>
      <c r="H17" s="38">
        <f>(G17-E17)/E17</f>
        <v>-0.12846023747794919</v>
      </c>
      <c r="I17" s="41">
        <f t="shared" ref="I17:M17" si="40">I12/I8</f>
        <v>18.883321286910533</v>
      </c>
      <c r="J17" s="38">
        <f>(I17-G17)/G17</f>
        <v>0.42485269726817548</v>
      </c>
      <c r="K17" s="41">
        <f t="shared" si="40"/>
        <v>17.736926928379653</v>
      </c>
      <c r="L17" s="38">
        <f>(K17-I17)/I17</f>
        <v>-6.0709360451624242E-2</v>
      </c>
      <c r="M17" s="41">
        <f t="shared" si="40"/>
        <v>13.798748945147679</v>
      </c>
      <c r="N17" s="38">
        <f t="shared" si="21"/>
        <v>-0.22203271170558653</v>
      </c>
      <c r="O17" s="41">
        <f>O12/O8</f>
        <v>13.940739283495548</v>
      </c>
      <c r="P17" s="38">
        <f t="shared" si="27"/>
        <v>1.0290087812475165E-2</v>
      </c>
      <c r="Q17" s="41">
        <v>10.5</v>
      </c>
      <c r="R17" s="38">
        <f t="shared" si="27"/>
        <v>-0.24681182349985137</v>
      </c>
      <c r="S17" s="41">
        <v>14.43</v>
      </c>
      <c r="T17" s="38">
        <f t="shared" si="28"/>
        <v>0.37428571428571428</v>
      </c>
      <c r="U17" s="41">
        <v>16.440000000000001</v>
      </c>
      <c r="V17" s="38">
        <f t="shared" si="28"/>
        <v>0.13929313929313941</v>
      </c>
      <c r="W17" s="41">
        <v>13.82</v>
      </c>
      <c r="X17" s="38">
        <f t="shared" si="29"/>
        <v>-0.15936739659367402</v>
      </c>
      <c r="Y17" s="41">
        <v>11.37</v>
      </c>
      <c r="Z17" s="38">
        <f t="shared" si="30"/>
        <v>-0.17727930535455869</v>
      </c>
      <c r="AA17" s="41">
        <v>9.81</v>
      </c>
      <c r="AB17" s="38">
        <f t="shared" si="31"/>
        <v>-0.13720316622691284</v>
      </c>
      <c r="AC17" s="41">
        <v>9.8164527503526102</v>
      </c>
      <c r="AD17" s="38">
        <f t="shared" si="32"/>
        <v>6.5777271688172536E-4</v>
      </c>
      <c r="AF17" s="38">
        <f t="shared" si="33"/>
        <v>-1</v>
      </c>
      <c r="AI17" s="41">
        <v>25.787502714440802</v>
      </c>
      <c r="AK17" s="41">
        <v>16.661941580756</v>
      </c>
      <c r="AL17" s="38">
        <f>(AK17-AI17)/AI17</f>
        <v>-0.35387533390639481</v>
      </c>
      <c r="AM17" s="41">
        <v>15.7617559723152</v>
      </c>
      <c r="AN17" s="38">
        <f>(AM17-AK17)/AK17</f>
        <v>-5.4026453284441084E-2</v>
      </c>
      <c r="AO17" s="41">
        <v>13.3875692256674</v>
      </c>
      <c r="AP17" s="38">
        <f t="shared" si="36"/>
        <v>-0.15062958409062729</v>
      </c>
      <c r="AQ17" s="41">
        <v>14.27</v>
      </c>
      <c r="AR17" s="38">
        <f t="shared" si="37"/>
        <v>6.5914189458737088E-2</v>
      </c>
      <c r="AS17" s="41">
        <v>12.24</v>
      </c>
      <c r="AT17" s="38">
        <f t="shared" si="38"/>
        <v>-0.14225648213034334</v>
      </c>
    </row>
    <row r="18" spans="1:46" s="35" customFormat="1" ht="12" x14ac:dyDescent="0.25">
      <c r="A18" s="20" t="s">
        <v>27</v>
      </c>
      <c r="B18" s="41"/>
      <c r="C18" s="41"/>
      <c r="D18" s="38"/>
      <c r="E18" s="41"/>
      <c r="F18" s="38"/>
      <c r="G18" s="41"/>
      <c r="H18" s="38"/>
      <c r="I18" s="41"/>
      <c r="J18" s="38"/>
      <c r="K18" s="41">
        <f t="shared" ref="K18:M18" si="41">K13/K9</f>
        <v>15.626507537688443</v>
      </c>
      <c r="L18" s="38"/>
      <c r="M18" s="41">
        <f t="shared" si="41"/>
        <v>14.004123957091775</v>
      </c>
      <c r="N18" s="38">
        <f t="shared" si="21"/>
        <v>-0.10382253210986261</v>
      </c>
      <c r="O18" s="41">
        <f t="shared" ref="O18:S18" si="42">O13/O9</f>
        <v>14.284627027027028</v>
      </c>
      <c r="P18" s="38">
        <f t="shared" si="27"/>
        <v>2.0030033352654311E-2</v>
      </c>
      <c r="Q18" s="41">
        <f t="shared" si="42"/>
        <v>15.73041775456919</v>
      </c>
      <c r="R18" s="38">
        <f t="shared" si="27"/>
        <v>0.10121305406201185</v>
      </c>
      <c r="S18" s="41">
        <f t="shared" si="42"/>
        <v>15.381196581196582</v>
      </c>
      <c r="T18" s="38">
        <f t="shared" si="28"/>
        <v>-2.2200375019994049E-2</v>
      </c>
      <c r="U18" s="41">
        <f t="shared" ref="U18:Y18" si="43">U13/U9</f>
        <v>29.479537953795376</v>
      </c>
      <c r="V18" s="38">
        <f t="shared" si="28"/>
        <v>0.91659587719163083</v>
      </c>
      <c r="W18" s="41">
        <f t="shared" si="43"/>
        <v>25.400955414012738</v>
      </c>
      <c r="X18" s="38">
        <f t="shared" si="29"/>
        <v>-0.13835300085690574</v>
      </c>
      <c r="Y18" s="41">
        <f t="shared" si="43"/>
        <v>29.452229299363058</v>
      </c>
      <c r="Z18" s="38">
        <f t="shared" si="30"/>
        <v>0.15949297257989697</v>
      </c>
      <c r="AA18" s="41">
        <f t="shared" ref="AA18:AE18" si="44">AA13/AA9</f>
        <v>9.5654582074521652</v>
      </c>
      <c r="AB18" s="38">
        <f t="shared" si="31"/>
        <v>-0.67522125030925828</v>
      </c>
      <c r="AC18" s="41">
        <f t="shared" si="44"/>
        <v>3.9206231454005933</v>
      </c>
      <c r="AD18" s="38">
        <f t="shared" si="32"/>
        <v>-0.5901269902213202</v>
      </c>
      <c r="AE18" s="41">
        <f t="shared" si="44"/>
        <v>5.6201030927835047</v>
      </c>
      <c r="AF18" s="38">
        <f t="shared" si="33"/>
        <v>0.43347189575632256</v>
      </c>
      <c r="AG18" s="41">
        <f>AG13/AG9</f>
        <v>9.9616984402079716</v>
      </c>
      <c r="AH18" s="38">
        <f t="shared" si="34"/>
        <v>0.77251169164481948</v>
      </c>
      <c r="AI18" s="41">
        <f t="shared" ref="AI18:AM18" si="45">AI13/AI9</f>
        <v>9.75</v>
      </c>
      <c r="AJ18" s="38">
        <f t="shared" si="35"/>
        <v>-2.1251239583152039E-2</v>
      </c>
      <c r="AK18" s="41">
        <f t="shared" si="45"/>
        <v>38.806468260794773</v>
      </c>
      <c r="AL18" s="38">
        <f t="shared" si="35"/>
        <v>2.9801505908507457</v>
      </c>
      <c r="AM18" s="41">
        <f t="shared" si="45"/>
        <v>13.508067010309279</v>
      </c>
      <c r="AN18" s="38">
        <f>(AM18-AK18)/AK18</f>
        <v>-0.6519119720060651</v>
      </c>
      <c r="AO18" s="41">
        <f>AO13/AO9</f>
        <v>5.3638473642800939</v>
      </c>
      <c r="AP18" s="38">
        <f t="shared" si="36"/>
        <v>-0.60291525351581121</v>
      </c>
      <c r="AQ18" s="41">
        <v>5.33</v>
      </c>
      <c r="AR18" s="38">
        <f t="shared" si="37"/>
        <v>-6.3102773030970904E-3</v>
      </c>
      <c r="AS18" s="41">
        <v>4.4400000000000004</v>
      </c>
      <c r="AT18" s="38">
        <f t="shared" si="38"/>
        <v>-0.16697936210131326</v>
      </c>
    </row>
    <row r="19" spans="1:46" s="35" customFormat="1" ht="12" x14ac:dyDescent="0.25">
      <c r="A19" s="20" t="s">
        <v>28</v>
      </c>
      <c r="B19" s="41"/>
      <c r="C19" s="41"/>
      <c r="D19" s="38"/>
      <c r="E19" s="41"/>
      <c r="F19" s="38"/>
      <c r="G19" s="41"/>
      <c r="H19" s="38"/>
      <c r="I19" s="41"/>
      <c r="J19" s="38"/>
      <c r="K19" s="41">
        <f t="shared" ref="K19:M19" si="46">K15/K10</f>
        <v>74.468085106382972</v>
      </c>
      <c r="L19" s="38"/>
      <c r="M19" s="41">
        <f t="shared" si="46"/>
        <v>51.369863013698627</v>
      </c>
      <c r="N19" s="38">
        <f t="shared" ref="N19:N27" si="47">(M19-K19)/K19</f>
        <v>-0.31017612524461841</v>
      </c>
      <c r="O19" s="41">
        <f>O15/O10</f>
        <v>36.046511627906973</v>
      </c>
      <c r="P19" s="38">
        <f t="shared" ref="P19:R27" si="48">(O19-M19)/M19</f>
        <v>-0.29829457364341089</v>
      </c>
      <c r="Q19" s="41">
        <v>18.690000000000001</v>
      </c>
      <c r="R19" s="38">
        <f t="shared" si="48"/>
        <v>-0.48150322580645155</v>
      </c>
      <c r="S19" s="41">
        <v>33.83</v>
      </c>
      <c r="T19" s="38">
        <f t="shared" si="28"/>
        <v>0.81005885500267505</v>
      </c>
      <c r="U19" s="41">
        <v>12.62</v>
      </c>
      <c r="V19" s="38">
        <f t="shared" si="28"/>
        <v>-0.62695832101684901</v>
      </c>
      <c r="W19" s="41">
        <v>12.55</v>
      </c>
      <c r="X19" s="38">
        <f t="shared" si="29"/>
        <v>-5.5467511885894227E-3</v>
      </c>
      <c r="Y19" s="41">
        <v>12.66</v>
      </c>
      <c r="Z19" s="38">
        <f t="shared" si="30"/>
        <v>8.7649402390437784E-3</v>
      </c>
      <c r="AA19" s="41">
        <v>15.71</v>
      </c>
      <c r="AB19" s="38">
        <f t="shared" si="31"/>
        <v>0.24091627172195898</v>
      </c>
      <c r="AC19" s="41">
        <v>0</v>
      </c>
      <c r="AD19" s="38">
        <f t="shared" si="32"/>
        <v>-1</v>
      </c>
      <c r="AE19" s="41">
        <v>0</v>
      </c>
      <c r="AF19" s="38"/>
      <c r="AG19" s="41">
        <v>0</v>
      </c>
      <c r="AH19" s="38"/>
      <c r="AI19" s="41">
        <v>0</v>
      </c>
      <c r="AJ19" s="38"/>
      <c r="AK19" s="41"/>
      <c r="AL19" s="38"/>
      <c r="AM19" s="41"/>
      <c r="AN19" s="38"/>
      <c r="AO19" s="41"/>
      <c r="AP19" s="38"/>
      <c r="AQ19" s="41"/>
      <c r="AR19" s="38"/>
      <c r="AS19" s="41"/>
      <c r="AT19" s="38"/>
    </row>
    <row r="20" spans="1:46" x14ac:dyDescent="0.25">
      <c r="A20" s="6" t="s">
        <v>29</v>
      </c>
      <c r="B20" s="19">
        <v>0.24007329654391399</v>
      </c>
      <c r="C20" s="19">
        <v>0.25386823006438503</v>
      </c>
      <c r="D20" s="36">
        <f>(C20-B20)/B20</f>
        <v>5.7461340844910169E-2</v>
      </c>
      <c r="E20" s="19">
        <v>0.23429334831774601</v>
      </c>
      <c r="F20" s="36">
        <f>(E20-C20)/C20</f>
        <v>-7.7106464805283104E-2</v>
      </c>
      <c r="G20" s="19">
        <v>0.222069103371905</v>
      </c>
      <c r="H20" s="36">
        <f>(G20-E20)/E20</f>
        <v>-5.2174955173130345E-2</v>
      </c>
      <c r="I20" s="19">
        <v>0.23951274754674601</v>
      </c>
      <c r="J20" s="36">
        <f>(I20-G20)/G20</f>
        <v>7.8550522832650335E-2</v>
      </c>
      <c r="K20" s="19">
        <v>0.249849655879537</v>
      </c>
      <c r="L20" s="36">
        <f>(K20-I20)/I20</f>
        <v>4.3158071704611577E-2</v>
      </c>
      <c r="M20" s="19">
        <v>0.23283077757008699</v>
      </c>
      <c r="N20" s="36">
        <f t="shared" si="47"/>
        <v>-6.8116476885025298E-2</v>
      </c>
      <c r="O20" s="46">
        <v>0.28620091443998102</v>
      </c>
      <c r="P20" s="36">
        <f t="shared" si="48"/>
        <v>0.22922286059809463</v>
      </c>
      <c r="Q20" s="46">
        <v>0.29039999999999999</v>
      </c>
      <c r="R20" s="36">
        <f t="shared" si="48"/>
        <v>1.4671810424629353E-2</v>
      </c>
      <c r="S20" s="46">
        <v>0.25790000000000002</v>
      </c>
      <c r="T20" s="36">
        <f t="shared" si="28"/>
        <v>-0.1119146005509641</v>
      </c>
      <c r="U20" s="46">
        <v>0.28510000000000002</v>
      </c>
      <c r="V20" s="36">
        <f t="shared" si="28"/>
        <v>0.10546723536254363</v>
      </c>
      <c r="W20" s="46">
        <v>0.31416590349456303</v>
      </c>
      <c r="X20" s="36">
        <f t="shared" si="28"/>
        <v>0.10194985441796915</v>
      </c>
      <c r="Y20" s="46">
        <v>0.28856626988001199</v>
      </c>
      <c r="Z20" s="36">
        <f t="shared" si="28"/>
        <v>-8.1484442868556106E-2</v>
      </c>
      <c r="AA20" s="46">
        <v>0.28266205664914701</v>
      </c>
      <c r="AB20" s="36">
        <f t="shared" si="31"/>
        <v>-2.0460510624890432E-2</v>
      </c>
      <c r="AC20" s="46">
        <v>0.28772002035946598</v>
      </c>
      <c r="AD20" s="36">
        <f t="shared" si="32"/>
        <v>1.7894031375414295E-2</v>
      </c>
      <c r="AE20" s="46">
        <v>0.31015941442226003</v>
      </c>
      <c r="AF20" s="36">
        <f t="shared" si="33"/>
        <v>7.7990381186401836E-2</v>
      </c>
      <c r="AG20" s="46">
        <v>0.35362035287626198</v>
      </c>
      <c r="AH20" s="36">
        <f t="shared" si="34"/>
        <v>0.14012451801586448</v>
      </c>
      <c r="AI20" s="46">
        <v>0.38072874639119397</v>
      </c>
      <c r="AJ20" s="36">
        <f t="shared" ref="AJ20:AL20" si="49">(AI20-AG20)/AG20</f>
        <v>7.6659596356484894E-2</v>
      </c>
      <c r="AK20" s="46">
        <v>0.38667385182723002</v>
      </c>
      <c r="AL20" s="36">
        <f t="shared" si="49"/>
        <v>1.5615068450669407E-2</v>
      </c>
      <c r="AM20" s="46">
        <v>0.37807065841648202</v>
      </c>
      <c r="AN20" s="36">
        <f>(AM20-AK20)/AK20</f>
        <v>-2.2249224689214305E-2</v>
      </c>
      <c r="AO20" s="46">
        <v>0.29908774726795601</v>
      </c>
      <c r="AP20" s="36">
        <f t="shared" ref="AP20:AP23" si="50">(AO20-AM20)/AM20</f>
        <v>-0.2089104493835609</v>
      </c>
      <c r="AQ20" s="46">
        <v>0.30109921385646132</v>
      </c>
      <c r="AR20" s="36">
        <f t="shared" ref="AR20:AR23" si="51">(AQ20-AO20)/AO20</f>
        <v>6.7253393255967192E-3</v>
      </c>
      <c r="AS20" s="46">
        <v>0.27778039082222744</v>
      </c>
      <c r="AT20" s="36">
        <f t="shared" ref="AT20:AT23" si="52">(AS20-AQ20)/AQ20</f>
        <v>-7.7445645691224974E-2</v>
      </c>
    </row>
    <row r="21" spans="1:46" x14ac:dyDescent="0.25">
      <c r="A21" s="6" t="s">
        <v>30</v>
      </c>
      <c r="B21" s="10">
        <v>4072</v>
      </c>
      <c r="C21" s="10">
        <v>4292</v>
      </c>
      <c r="D21" s="36">
        <f>(C21-B21)/B21</f>
        <v>5.4027504911591355E-2</v>
      </c>
      <c r="E21" s="10">
        <v>5208</v>
      </c>
      <c r="F21" s="36">
        <f>(E21-C21)/C21</f>
        <v>0.21342031686859272</v>
      </c>
      <c r="G21" s="10">
        <v>4288</v>
      </c>
      <c r="H21" s="36">
        <f>(G21-E21)/E21</f>
        <v>-0.17665130568356374</v>
      </c>
      <c r="I21" s="10">
        <v>4115</v>
      </c>
      <c r="J21" s="36">
        <f>(I21-G21)/G21</f>
        <v>-4.0345149253731345E-2</v>
      </c>
      <c r="K21" s="10">
        <v>4462</v>
      </c>
      <c r="L21" s="36">
        <f>(K21-I21)/I21</f>
        <v>8.4325637910085058E-2</v>
      </c>
      <c r="M21" s="10">
        <v>4340</v>
      </c>
      <c r="N21" s="36">
        <f t="shared" si="47"/>
        <v>-2.7341999103541011E-2</v>
      </c>
      <c r="O21" s="2">
        <v>4122</v>
      </c>
      <c r="P21" s="36">
        <f t="shared" si="48"/>
        <v>-5.0230414746543779E-2</v>
      </c>
      <c r="Q21" s="2">
        <v>4288</v>
      </c>
      <c r="R21" s="36">
        <f t="shared" si="48"/>
        <v>4.0271712760795733E-2</v>
      </c>
      <c r="S21" s="2">
        <v>3059</v>
      </c>
      <c r="T21" s="36">
        <f t="shared" si="28"/>
        <v>-0.28661380597014924</v>
      </c>
      <c r="U21" s="2">
        <v>3255</v>
      </c>
      <c r="V21" s="36">
        <f t="shared" si="28"/>
        <v>6.4073226544622428E-2</v>
      </c>
      <c r="W21" s="2">
        <v>2934</v>
      </c>
      <c r="X21" s="36">
        <f t="shared" si="29"/>
        <v>-9.8617511520737333E-2</v>
      </c>
      <c r="Y21" s="2">
        <v>3568</v>
      </c>
      <c r="Z21" s="36">
        <f t="shared" si="30"/>
        <v>0.21608725289706884</v>
      </c>
      <c r="AA21" s="2">
        <v>4218</v>
      </c>
      <c r="AB21" s="36">
        <f t="shared" si="31"/>
        <v>0.18217488789237668</v>
      </c>
      <c r="AC21" s="2">
        <v>1593</v>
      </c>
      <c r="AD21" s="36">
        <f t="shared" si="32"/>
        <v>-0.62233285917496439</v>
      </c>
      <c r="AE21" s="2">
        <v>843</v>
      </c>
      <c r="AF21" s="36">
        <f t="shared" si="33"/>
        <v>-0.47080979284369112</v>
      </c>
      <c r="AG21" s="2">
        <v>2367</v>
      </c>
      <c r="AH21" s="36">
        <f t="shared" si="34"/>
        <v>1.8078291814946619</v>
      </c>
      <c r="AI21" s="2">
        <v>6454</v>
      </c>
      <c r="AJ21" s="36">
        <f t="shared" ref="AJ21:AL23" si="53">(AI21-AG21)/AG21</f>
        <v>1.7266582171525138</v>
      </c>
      <c r="AK21" s="2">
        <v>8505</v>
      </c>
      <c r="AL21" s="36">
        <f t="shared" si="53"/>
        <v>0.31778741865509763</v>
      </c>
      <c r="AM21" s="2">
        <v>6566</v>
      </c>
      <c r="AN21" s="36">
        <f t="shared" ref="AN21:AN23" si="54">(AM21-AK21)/AK21</f>
        <v>-0.22798353909465022</v>
      </c>
      <c r="AO21" s="2">
        <v>4521</v>
      </c>
      <c r="AP21" s="36">
        <f t="shared" si="50"/>
        <v>-0.31145293938470908</v>
      </c>
      <c r="AQ21" s="2">
        <v>4254</v>
      </c>
      <c r="AR21" s="36">
        <f t="shared" si="51"/>
        <v>-5.9057730590577305E-2</v>
      </c>
      <c r="AS21" s="2">
        <v>3892</v>
      </c>
      <c r="AT21" s="36">
        <f t="shared" si="52"/>
        <v>-8.5096379877762113E-2</v>
      </c>
    </row>
    <row r="22" spans="1:46" x14ac:dyDescent="0.25">
      <c r="A22" s="6" t="s">
        <v>31</v>
      </c>
      <c r="B22" s="22">
        <f>B21/B6</f>
        <v>0.17263746979268241</v>
      </c>
      <c r="C22" s="22">
        <f t="shared" ref="C22:M22" si="55">C21/C6</f>
        <v>0.1455359262147774</v>
      </c>
      <c r="D22" s="36">
        <f>(C22-B22)/B22</f>
        <v>-0.15698529183989327</v>
      </c>
      <c r="E22" s="22">
        <f t="shared" si="55"/>
        <v>0.14957780458383596</v>
      </c>
      <c r="F22" s="36">
        <f>(E22-C22)/C22</f>
        <v>2.7772375345271667E-2</v>
      </c>
      <c r="G22" s="22">
        <f t="shared" si="55"/>
        <v>0.13139267657423012</v>
      </c>
      <c r="H22" s="36">
        <f>(G22-E22)/E22</f>
        <v>-0.12157637999970354</v>
      </c>
      <c r="I22" s="22">
        <f t="shared" si="55"/>
        <v>0.14400699912510936</v>
      </c>
      <c r="J22" s="36">
        <f>(I22-G22)/G22</f>
        <v>9.6004761298494418E-2</v>
      </c>
      <c r="K22" s="22">
        <f t="shared" si="55"/>
        <v>0.13575101159146916</v>
      </c>
      <c r="L22" s="36">
        <f>(K22-I22)/I22</f>
        <v>-5.7330460212337529E-2</v>
      </c>
      <c r="M22" s="22">
        <f t="shared" si="55"/>
        <v>0.13996388028895768</v>
      </c>
      <c r="N22" s="36">
        <f t="shared" si="47"/>
        <v>3.1033792294430786E-2</v>
      </c>
      <c r="O22" s="22">
        <f>O21/O6</f>
        <v>0.19399472891566266</v>
      </c>
      <c r="P22" s="36">
        <f t="shared" si="48"/>
        <v>0.38603422908222773</v>
      </c>
      <c r="Q22" s="22">
        <f>Q21/Q6</f>
        <v>0.15248390882258811</v>
      </c>
      <c r="R22" s="36">
        <f t="shared" si="48"/>
        <v>-0.21397911337643086</v>
      </c>
      <c r="S22" s="22">
        <f>S21/S6</f>
        <v>0.15696839080459771</v>
      </c>
      <c r="T22" s="36">
        <f t="shared" si="28"/>
        <v>2.9409542401140829E-2</v>
      </c>
      <c r="U22" s="22">
        <f>U21/U6</f>
        <v>0.19386539606908873</v>
      </c>
      <c r="V22" s="36">
        <f t="shared" si="28"/>
        <v>0.23506009761176888</v>
      </c>
      <c r="W22" s="22">
        <f>W21/W6</f>
        <v>0.22472426470588236</v>
      </c>
      <c r="X22" s="36">
        <f t="shared" si="29"/>
        <v>0.15917677554892937</v>
      </c>
      <c r="Y22" s="22">
        <f>Y21/Y6</f>
        <v>0.1860853238760822</v>
      </c>
      <c r="Z22" s="36">
        <f t="shared" si="30"/>
        <v>-0.1719393358806649</v>
      </c>
      <c r="AA22" s="22">
        <f t="shared" ref="AA22:AC22" si="56">AA21/AA6</f>
        <v>0.14241820576020528</v>
      </c>
      <c r="AB22" s="36">
        <f t="shared" si="31"/>
        <v>-0.23466180570454712</v>
      </c>
      <c r="AC22" s="22">
        <f t="shared" si="56"/>
        <v>0.1085149863760218</v>
      </c>
      <c r="AD22" s="36">
        <f t="shared" si="32"/>
        <v>-0.23805397072104362</v>
      </c>
      <c r="AE22" s="22">
        <f>AE21/AE6</f>
        <v>0.10646627936347562</v>
      </c>
      <c r="AF22" s="36">
        <f t="shared" si="33"/>
        <v>-1.8879484585171354E-2</v>
      </c>
      <c r="AG22" s="22">
        <f>AG21/AG6</f>
        <v>0.2416292364230298</v>
      </c>
      <c r="AH22" s="36">
        <f t="shared" si="34"/>
        <v>1.2695377152995848</v>
      </c>
      <c r="AI22" s="22">
        <f>AI21/AI6</f>
        <v>0.42699305325835263</v>
      </c>
      <c r="AJ22" s="36">
        <f t="shared" si="53"/>
        <v>0.76714150811948556</v>
      </c>
      <c r="AK22" s="22">
        <f t="shared" ref="AK22:AS22" si="57">AK21/AK6</f>
        <v>0.50073594347954076</v>
      </c>
      <c r="AL22" s="36">
        <f t="shared" si="53"/>
        <v>0.17270278675135708</v>
      </c>
      <c r="AM22" s="22">
        <f t="shared" si="57"/>
        <v>0.30820503191888848</v>
      </c>
      <c r="AN22" s="36">
        <f t="shared" si="54"/>
        <v>-0.38449588863699929</v>
      </c>
      <c r="AO22" s="22">
        <f t="shared" si="57"/>
        <v>0.17846287451150672</v>
      </c>
      <c r="AP22" s="36">
        <f t="shared" si="50"/>
        <v>-0.42096054240128861</v>
      </c>
      <c r="AQ22" s="22">
        <f t="shared" si="57"/>
        <v>0.18650532684466659</v>
      </c>
      <c r="AR22" s="36">
        <f t="shared" si="51"/>
        <v>4.5065128280455412E-2</v>
      </c>
      <c r="AS22" s="22">
        <f t="shared" si="57"/>
        <v>0.14972686004462568</v>
      </c>
      <c r="AT22" s="36">
        <f t="shared" si="52"/>
        <v>-0.19719794293421086</v>
      </c>
    </row>
    <row r="23" spans="1:46" x14ac:dyDescent="0.25">
      <c r="A23" s="6" t="s">
        <v>32</v>
      </c>
      <c r="B23" s="37">
        <v>974</v>
      </c>
      <c r="C23" s="37">
        <v>1017</v>
      </c>
      <c r="D23" s="36">
        <f>(C23-B23)/B23</f>
        <v>4.4147843942505136E-2</v>
      </c>
      <c r="E23" s="37">
        <v>956</v>
      </c>
      <c r="F23" s="36">
        <f>(E23-C23)/C23</f>
        <v>-5.9980334316617499E-2</v>
      </c>
      <c r="G23" s="37">
        <v>1207</v>
      </c>
      <c r="H23" s="36">
        <f>(G23-E23)/E23</f>
        <v>0.2625523012552301</v>
      </c>
      <c r="I23" s="37">
        <v>1032</v>
      </c>
      <c r="J23" s="36">
        <f>(I23-G23)/G23</f>
        <v>-0.14498757249378624</v>
      </c>
      <c r="K23" s="37">
        <v>904</v>
      </c>
      <c r="L23" s="36">
        <f>(K23-I23)/I23</f>
        <v>-0.12403100775193798</v>
      </c>
      <c r="M23" s="37">
        <v>816</v>
      </c>
      <c r="N23" s="36">
        <f t="shared" si="47"/>
        <v>-9.7345132743362831E-2</v>
      </c>
      <c r="O23" s="2">
        <v>889</v>
      </c>
      <c r="P23" s="36">
        <f t="shared" si="48"/>
        <v>8.9460784313725492E-2</v>
      </c>
      <c r="Q23" s="2">
        <v>799</v>
      </c>
      <c r="R23" s="36">
        <f t="shared" si="48"/>
        <v>-0.10123734533183353</v>
      </c>
      <c r="S23" s="2">
        <v>590</v>
      </c>
      <c r="T23" s="36">
        <f t="shared" si="28"/>
        <v>-0.26157697121401752</v>
      </c>
      <c r="U23" s="2">
        <v>671</v>
      </c>
      <c r="V23" s="36">
        <f t="shared" si="28"/>
        <v>0.13728813559322034</v>
      </c>
      <c r="W23" s="2">
        <v>1006</v>
      </c>
      <c r="X23" s="36">
        <f t="shared" si="29"/>
        <v>0.49925484351713861</v>
      </c>
      <c r="Y23" s="2">
        <v>679</v>
      </c>
      <c r="Z23" s="36">
        <f t="shared" si="30"/>
        <v>-0.3250497017892644</v>
      </c>
      <c r="AA23" s="2">
        <v>677</v>
      </c>
      <c r="AB23" s="36">
        <f t="shared" si="31"/>
        <v>-2.9455081001472753E-3</v>
      </c>
      <c r="AC23" s="2">
        <v>327</v>
      </c>
      <c r="AD23" s="36">
        <f t="shared" si="32"/>
        <v>-0.51698670605612995</v>
      </c>
      <c r="AE23" s="2">
        <v>189</v>
      </c>
      <c r="AF23" s="36">
        <f t="shared" si="33"/>
        <v>-0.42201834862385323</v>
      </c>
      <c r="AG23" s="2">
        <v>471</v>
      </c>
      <c r="AH23" s="36">
        <f t="shared" si="34"/>
        <v>1.4920634920634921</v>
      </c>
      <c r="AI23" s="2">
        <v>890</v>
      </c>
      <c r="AJ23" s="36">
        <f t="shared" si="53"/>
        <v>0.88959660297239918</v>
      </c>
      <c r="AK23" s="2">
        <v>4702</v>
      </c>
      <c r="AL23" s="36">
        <f t="shared" si="53"/>
        <v>4.2831460674157302</v>
      </c>
      <c r="AM23" s="2">
        <v>1903</v>
      </c>
      <c r="AN23" s="36">
        <f t="shared" si="54"/>
        <v>-0.59527860484900041</v>
      </c>
      <c r="AO23" s="2">
        <v>969</v>
      </c>
      <c r="AP23" s="36">
        <f t="shared" si="50"/>
        <v>-0.49080399369416711</v>
      </c>
      <c r="AQ23" s="2">
        <v>1191</v>
      </c>
      <c r="AR23" s="36">
        <f t="shared" si="51"/>
        <v>0.22910216718266255</v>
      </c>
      <c r="AS23" s="2">
        <v>1692</v>
      </c>
      <c r="AT23" s="36">
        <f t="shared" si="52"/>
        <v>0.42065491183879095</v>
      </c>
    </row>
    <row r="24" spans="1:46" x14ac:dyDescent="0.25">
      <c r="A24" s="6" t="s">
        <v>33</v>
      </c>
      <c r="B24" s="37"/>
      <c r="C24" s="37"/>
      <c r="D24" s="36"/>
      <c r="E24" s="37"/>
      <c r="F24" s="36"/>
      <c r="G24" s="37"/>
      <c r="H24" s="36"/>
      <c r="I24" s="37"/>
      <c r="J24" s="36"/>
      <c r="K24" s="37">
        <v>1</v>
      </c>
      <c r="L24" s="36"/>
      <c r="M24" s="37">
        <v>4</v>
      </c>
      <c r="N24" s="36">
        <f t="shared" si="47"/>
        <v>3</v>
      </c>
      <c r="O24" s="2">
        <v>9</v>
      </c>
      <c r="P24" s="36">
        <f t="shared" si="48"/>
        <v>1.25</v>
      </c>
      <c r="Q24" s="2">
        <v>27</v>
      </c>
      <c r="R24" s="36">
        <f t="shared" si="48"/>
        <v>2</v>
      </c>
      <c r="S24" s="2">
        <v>26</v>
      </c>
      <c r="T24" s="36">
        <f t="shared" si="28"/>
        <v>-3.7037037037037035E-2</v>
      </c>
      <c r="U24" s="2">
        <v>91</v>
      </c>
      <c r="V24" s="36">
        <f t="shared" si="28"/>
        <v>2.5</v>
      </c>
      <c r="W24" s="2">
        <v>21</v>
      </c>
      <c r="X24" s="36">
        <f t="shared" si="29"/>
        <v>-0.76923076923076927</v>
      </c>
      <c r="Y24" s="2">
        <v>82</v>
      </c>
      <c r="Z24" s="36">
        <f t="shared" si="30"/>
        <v>2.9047619047619047</v>
      </c>
      <c r="AA24" s="2">
        <v>23</v>
      </c>
      <c r="AB24" s="36">
        <f t="shared" si="31"/>
        <v>-0.71951219512195119</v>
      </c>
      <c r="AC24" s="2">
        <v>0</v>
      </c>
      <c r="AD24" s="50">
        <f t="shared" si="32"/>
        <v>-1</v>
      </c>
      <c r="AE24" s="2">
        <v>0</v>
      </c>
      <c r="AF24" s="50"/>
      <c r="AG24" s="2">
        <v>0</v>
      </c>
      <c r="AH24" s="50"/>
      <c r="AI24" s="2">
        <v>0</v>
      </c>
      <c r="AJ24" s="50"/>
      <c r="AK24" s="2">
        <v>0</v>
      </c>
      <c r="AL24" s="50"/>
      <c r="AM24" s="2">
        <v>0</v>
      </c>
      <c r="AN24" s="50"/>
      <c r="AO24" s="2">
        <v>0</v>
      </c>
      <c r="AP24" s="50"/>
      <c r="AQ24" s="2">
        <v>0</v>
      </c>
      <c r="AR24" s="50"/>
      <c r="AS24" s="2">
        <v>0</v>
      </c>
      <c r="AT24" s="50"/>
    </row>
    <row r="25" spans="1:46" x14ac:dyDescent="0.25">
      <c r="A25" s="6" t="s">
        <v>34</v>
      </c>
      <c r="B25" s="40">
        <f>SUM(B12:B15)/B21</f>
        <v>55.454828092850484</v>
      </c>
      <c r="C25" s="40">
        <f>SUM(C12:C15)/C21</f>
        <v>99.663928239889941</v>
      </c>
      <c r="D25" s="36">
        <f>(C25-B25)/B25</f>
        <v>0.79720921815893464</v>
      </c>
      <c r="E25" s="40">
        <f>SUM(E12:E15)/E21</f>
        <v>137.90035719414399</v>
      </c>
      <c r="F25" s="36">
        <f>(E25-C25)/C25</f>
        <v>0.3836536410868675</v>
      </c>
      <c r="G25" s="40">
        <f>SUM(G12:G15)/G21</f>
        <v>85.644974346565661</v>
      </c>
      <c r="H25" s="36">
        <f>(G25-E25)/E25</f>
        <v>-0.37893580488707668</v>
      </c>
      <c r="I25" s="40">
        <f>SUM(I12:I15)/I21</f>
        <v>110.61268043682846</v>
      </c>
      <c r="J25" s="36">
        <f>(I25-G25)/G25</f>
        <v>0.29152564153069876</v>
      </c>
      <c r="K25" s="40">
        <f>SUM(K12:K15)/K21</f>
        <v>115.25863962403865</v>
      </c>
      <c r="L25" s="36">
        <f>(K25-I25)/I25</f>
        <v>4.2002048669849655E-2</v>
      </c>
      <c r="M25" s="40">
        <f>SUM(M12:M15)/M21</f>
        <v>81.366605991824983</v>
      </c>
      <c r="N25" s="36">
        <f t="shared" si="47"/>
        <v>-0.29405200115814184</v>
      </c>
      <c r="O25" s="40">
        <f>SUM(O12:O15)/O21</f>
        <v>40.379573023403687</v>
      </c>
      <c r="P25" s="36">
        <f t="shared" si="48"/>
        <v>-0.5037328578328476</v>
      </c>
      <c r="Q25" s="40">
        <f>SUM(Q12:Q15)/Q21</f>
        <v>34.411415579088391</v>
      </c>
      <c r="R25" s="36">
        <f t="shared" si="48"/>
        <v>-0.1478014004966372</v>
      </c>
      <c r="S25" s="40">
        <f>SUM(S12:S15)/S21</f>
        <v>53.565518142897226</v>
      </c>
      <c r="T25" s="36">
        <f t="shared" si="28"/>
        <v>0.55662059352910398</v>
      </c>
      <c r="U25" s="40">
        <f>SUM(U12:U15)/U21</f>
        <v>50.11609830996958</v>
      </c>
      <c r="V25" s="36">
        <f t="shared" si="28"/>
        <v>-6.4396274926821331E-2</v>
      </c>
      <c r="W25" s="40">
        <f>SUM(W12:W15)/W21</f>
        <v>31.295494205348735</v>
      </c>
      <c r="X25" s="36">
        <f t="shared" si="29"/>
        <v>-0.37554009069530592</v>
      </c>
      <c r="Y25" s="40">
        <f>SUM(Y12:Y15)/Y21</f>
        <v>44.580871639808748</v>
      </c>
      <c r="Z25" s="36">
        <f t="shared" si="30"/>
        <v>0.42451406414247966</v>
      </c>
      <c r="AA25" s="40">
        <f>SUM(AA12:AA15)/AA21</f>
        <v>63.378750594960763</v>
      </c>
      <c r="AB25" s="36">
        <f t="shared" si="31"/>
        <v>0.42165795023097619</v>
      </c>
      <c r="AC25" s="40">
        <f>SUM(AC12:AC15)/AC21</f>
        <v>14.812278718062341</v>
      </c>
      <c r="AD25" s="36">
        <f t="shared" si="32"/>
        <v>-0.76628951219432739</v>
      </c>
      <c r="AE25" s="40">
        <f>SUM(AE12:AE15)/AE21</f>
        <v>24.739395010094782</v>
      </c>
      <c r="AF25" s="36">
        <f t="shared" si="33"/>
        <v>0.67019507808256051</v>
      </c>
      <c r="AG25" s="40">
        <f>SUM(AG12:AG15)/AG21</f>
        <v>22.088821274649639</v>
      </c>
      <c r="AH25" s="36">
        <f t="shared" si="34"/>
        <v>-0.10713979603638608</v>
      </c>
      <c r="AI25" s="40">
        <f>SUM(AI12:AI15)/AI21</f>
        <v>49.845483427524009</v>
      </c>
      <c r="AJ25" s="36">
        <f t="shared" ref="AJ25:AL35" si="58">(AI25-AG25)/AG25</f>
        <v>1.2565931793168819</v>
      </c>
      <c r="AK25" s="40">
        <f>SUM(AK12:AK15)/AK21</f>
        <v>68.376783077444202</v>
      </c>
      <c r="AL25" s="36">
        <f t="shared" si="58"/>
        <v>0.37177490066607433</v>
      </c>
      <c r="AM25" s="40">
        <f>SUM(AM12:AM15)/AM21</f>
        <v>44.540237588313857</v>
      </c>
      <c r="AN25" s="36">
        <f t="shared" ref="AN25:AN35" si="59">(AM25-AK25)/AK25</f>
        <v>-0.34860583397339479</v>
      </c>
      <c r="AO25" s="40">
        <f>SUM(AO12:AO15)/AO21</f>
        <v>72.942408762253038</v>
      </c>
      <c r="AP25" s="36">
        <f t="shared" ref="AP25:AP35" si="60">(AO25-AM25)/AM25</f>
        <v>0.63767444252230787</v>
      </c>
      <c r="AQ25" s="40">
        <f>SUM(AQ12:AQ15)/AQ21</f>
        <v>57.112273154677943</v>
      </c>
      <c r="AR25" s="36">
        <f t="shared" ref="AR25:AR26" si="61">(AQ25-AO25)/AO25</f>
        <v>-0.21702238623859418</v>
      </c>
      <c r="AS25" s="40">
        <f>SUM(AS12:AS15)/AS21</f>
        <v>64.315097636176773</v>
      </c>
      <c r="AT25" s="36">
        <f t="shared" ref="AT25:AT26" si="62">(AS25-AQ25)/AQ25</f>
        <v>0.12611692870272073</v>
      </c>
    </row>
    <row r="26" spans="1:46" s="35" customFormat="1" ht="12" x14ac:dyDescent="0.25">
      <c r="A26" s="20" t="s">
        <v>35</v>
      </c>
      <c r="B26" s="41">
        <f>B13/B23</f>
        <v>13.317248459958932</v>
      </c>
      <c r="C26" s="41">
        <f t="shared" ref="C26:G26" si="63">C13/C23</f>
        <v>13.579056047197639</v>
      </c>
      <c r="D26" s="38">
        <f>(C26-B26)/B26</f>
        <v>1.965928532653614E-2</v>
      </c>
      <c r="E26" s="41">
        <f t="shared" si="63"/>
        <v>14.210355648535565</v>
      </c>
      <c r="F26" s="38">
        <f>(E26-C26)/C26</f>
        <v>4.6490683825420188E-2</v>
      </c>
      <c r="G26" s="41">
        <f t="shared" si="63"/>
        <v>12.80281690140845</v>
      </c>
      <c r="H26" s="38">
        <f>(G26-E26)/E26</f>
        <v>-9.9050212530899406E-2</v>
      </c>
      <c r="I26" s="41">
        <f t="shared" ref="I26:M26" si="64">I13/I23</f>
        <v>13.610755813953487</v>
      </c>
      <c r="J26" s="38">
        <f>(I26-G26)/G26</f>
        <v>6.310633970373776E-2</v>
      </c>
      <c r="K26" s="41">
        <f t="shared" si="64"/>
        <v>13.75962389380531</v>
      </c>
      <c r="L26" s="38">
        <f>(K26-I26)/I26</f>
        <v>1.0937532190475892E-2</v>
      </c>
      <c r="M26" s="41">
        <f t="shared" si="64"/>
        <v>14.398848039215686</v>
      </c>
      <c r="N26" s="38">
        <f t="shared" si="47"/>
        <v>4.6456512935514137E-2</v>
      </c>
      <c r="O26" s="41">
        <f>O13/O23</f>
        <v>14.86308211473566</v>
      </c>
      <c r="P26" s="38">
        <f t="shared" si="48"/>
        <v>3.2241056663395468E-2</v>
      </c>
      <c r="Q26" s="41">
        <f>Q13/Q23</f>
        <v>15.080725907384231</v>
      </c>
      <c r="R26" s="38">
        <f t="shared" si="48"/>
        <v>1.4643247676926548E-2</v>
      </c>
      <c r="S26" s="41">
        <f>S13/S23</f>
        <v>15.250847457627119</v>
      </c>
      <c r="T26" s="38">
        <f t="shared" si="28"/>
        <v>1.1280726888590168E-2</v>
      </c>
      <c r="U26" s="41">
        <f>U13/U23</f>
        <v>13.311922503725782</v>
      </c>
      <c r="V26" s="38">
        <f t="shared" si="28"/>
        <v>-0.12713555487906075</v>
      </c>
      <c r="W26" s="41">
        <f>W13/W23</f>
        <v>7.9283300198807156</v>
      </c>
      <c r="X26" s="38">
        <f t="shared" si="29"/>
        <v>-0.40441885703122821</v>
      </c>
      <c r="Y26" s="41">
        <f t="shared" ref="Y26:AA26" si="65">Y13/Y23</f>
        <v>13.620029455081001</v>
      </c>
      <c r="Z26" s="38">
        <f t="shared" si="30"/>
        <v>0.71789385922735827</v>
      </c>
      <c r="AA26" s="41">
        <f t="shared" si="65"/>
        <v>14.030280649926144</v>
      </c>
      <c r="AB26" s="38">
        <f t="shared" si="31"/>
        <v>3.0121167960624168E-2</v>
      </c>
      <c r="AC26" s="41">
        <f t="shared" ref="AC26:AG26" si="66">AC13/AC23</f>
        <v>16.162079510703364</v>
      </c>
      <c r="AD26" s="38">
        <f t="shared" si="32"/>
        <v>0.15194270976956131</v>
      </c>
      <c r="AE26" s="41">
        <f t="shared" si="66"/>
        <v>23.075132275132272</v>
      </c>
      <c r="AF26" s="38">
        <f t="shared" si="33"/>
        <v>0.42773287681518501</v>
      </c>
      <c r="AG26" s="41">
        <f t="shared" si="66"/>
        <v>12.203609341825901</v>
      </c>
      <c r="AH26" s="38">
        <f t="shared" si="34"/>
        <v>-0.47113588791958738</v>
      </c>
      <c r="AI26" s="41">
        <f t="shared" ref="AI26:AM26" si="67">AI13/AI23</f>
        <v>11.787640449438202</v>
      </c>
      <c r="AJ26" s="38">
        <f t="shared" si="58"/>
        <v>-3.4085726667931998E-2</v>
      </c>
      <c r="AK26" s="41">
        <f t="shared" si="67"/>
        <v>47.975754997873246</v>
      </c>
      <c r="AL26" s="38">
        <f t="shared" si="58"/>
        <v>3.0700049516830799</v>
      </c>
      <c r="AM26" s="41">
        <f t="shared" si="67"/>
        <v>27.541408302679979</v>
      </c>
      <c r="AN26" s="38">
        <f t="shared" si="59"/>
        <v>-0.42593069553775892</v>
      </c>
      <c r="AO26" s="41">
        <f>AO13/AO23</f>
        <v>14.071104231166151</v>
      </c>
      <c r="AP26" s="38">
        <f t="shared" si="60"/>
        <v>-0.48909278434404058</v>
      </c>
      <c r="AQ26" s="41">
        <f>AQ13/AQ23</f>
        <v>16.245004198152813</v>
      </c>
      <c r="AR26" s="38">
        <f t="shared" si="61"/>
        <v>0.15449391400084161</v>
      </c>
      <c r="AS26" s="41">
        <f>AS13/AS23</f>
        <v>11.356737588652482</v>
      </c>
      <c r="AT26" s="38">
        <f t="shared" si="62"/>
        <v>-0.30090891635818512</v>
      </c>
    </row>
    <row r="27" spans="1:46" s="35" customFormat="1" ht="12" x14ac:dyDescent="0.25">
      <c r="A27" s="20" t="s">
        <v>36</v>
      </c>
      <c r="B27" s="41"/>
      <c r="C27" s="41"/>
      <c r="D27" s="38"/>
      <c r="E27" s="41"/>
      <c r="F27" s="38"/>
      <c r="G27" s="41"/>
      <c r="H27" s="38"/>
      <c r="I27" s="41"/>
      <c r="J27" s="38"/>
      <c r="K27" s="41">
        <f t="shared" ref="K27:M27" si="68">K15/K24</f>
        <v>3500</v>
      </c>
      <c r="L27" s="38"/>
      <c r="M27" s="41">
        <f t="shared" si="68"/>
        <v>937.5</v>
      </c>
      <c r="N27" s="38">
        <f t="shared" si="47"/>
        <v>-0.7321428571428571</v>
      </c>
      <c r="O27" s="41">
        <f>O15/O24</f>
        <v>861.11111111111109</v>
      </c>
      <c r="P27" s="38">
        <f t="shared" si="48"/>
        <v>-8.1481481481481502E-2</v>
      </c>
      <c r="Q27" s="41">
        <f>Q15/Q24</f>
        <v>666.66666666666663</v>
      </c>
      <c r="R27" s="38">
        <f t="shared" si="48"/>
        <v>-0.22580645161290325</v>
      </c>
      <c r="S27" s="41">
        <f>S15/S24</f>
        <v>692.30769230769226</v>
      </c>
      <c r="T27" s="38">
        <f t="shared" si="28"/>
        <v>3.8461538461538457E-2</v>
      </c>
      <c r="U27" s="41">
        <f>U15/U24</f>
        <v>263.73626373626371</v>
      </c>
      <c r="V27" s="38">
        <f t="shared" si="28"/>
        <v>-0.61904761904761907</v>
      </c>
      <c r="W27" s="41">
        <f>W15/W24</f>
        <v>571.42857142857144</v>
      </c>
      <c r="X27" s="38">
        <f t="shared" si="29"/>
        <v>1.166666666666667</v>
      </c>
      <c r="Y27" s="41">
        <f t="shared" ref="Y27:AA27" si="69">Y15/Y24</f>
        <v>73.170731707317074</v>
      </c>
      <c r="Z27" s="38">
        <f t="shared" si="30"/>
        <v>-0.87195121951219512</v>
      </c>
      <c r="AA27" s="41">
        <f t="shared" si="69"/>
        <v>260.86956521739131</v>
      </c>
      <c r="AB27" s="38">
        <f t="shared" si="31"/>
        <v>2.5652173913043477</v>
      </c>
      <c r="AC27" s="41">
        <v>0</v>
      </c>
      <c r="AD27" s="38">
        <f t="shared" si="32"/>
        <v>-1</v>
      </c>
      <c r="AE27" s="41">
        <v>0</v>
      </c>
      <c r="AF27" s="38"/>
      <c r="AG27" s="41">
        <v>0</v>
      </c>
      <c r="AH27" s="38"/>
      <c r="AI27" s="41">
        <v>0</v>
      </c>
      <c r="AJ27" s="38"/>
      <c r="AK27" s="41">
        <v>0</v>
      </c>
      <c r="AL27" s="38"/>
      <c r="AM27" s="41">
        <v>0</v>
      </c>
      <c r="AN27" s="38"/>
      <c r="AO27" s="41">
        <v>0</v>
      </c>
      <c r="AP27" s="38"/>
      <c r="AQ27" s="41">
        <v>0</v>
      </c>
      <c r="AR27" s="38"/>
      <c r="AS27" s="41">
        <v>0</v>
      </c>
      <c r="AT27" s="38"/>
    </row>
    <row r="28" spans="1:46" x14ac:dyDescent="0.25">
      <c r="A28" s="6"/>
      <c r="D28" s="36"/>
      <c r="F28" s="36"/>
      <c r="H28" s="36"/>
      <c r="J28" s="36"/>
      <c r="L28" s="36"/>
      <c r="N28" s="36"/>
      <c r="P28" s="36"/>
      <c r="R28" s="36"/>
      <c r="T28" s="36"/>
      <c r="V28" s="36"/>
      <c r="X28" s="36"/>
      <c r="Z28" s="36"/>
      <c r="AB28" s="36"/>
      <c r="AD28" s="36"/>
      <c r="AF28" s="36"/>
      <c r="AH28" s="36"/>
      <c r="AJ28" s="36"/>
      <c r="AL28" s="36"/>
      <c r="AN28" s="36"/>
      <c r="AP28" s="36"/>
      <c r="AR28" s="36"/>
      <c r="AT28" s="36"/>
    </row>
    <row r="29" spans="1:46" x14ac:dyDescent="0.25">
      <c r="A29" s="6" t="s">
        <v>37</v>
      </c>
      <c r="B29" s="42">
        <v>2761634</v>
      </c>
      <c r="C29" s="42">
        <v>3249029</v>
      </c>
      <c r="D29" s="36">
        <f t="shared" ref="D29:D35" si="70">(C29-B29)/B29</f>
        <v>0.17648790534878989</v>
      </c>
      <c r="E29" s="42">
        <v>4726273</v>
      </c>
      <c r="F29" s="36">
        <f t="shared" ref="F29:F35" si="71">(E29-C29)/C29</f>
        <v>0.45467245752500207</v>
      </c>
      <c r="G29" s="42">
        <v>2933708</v>
      </c>
      <c r="H29" s="36">
        <f t="shared" ref="H29:H35" si="72">(G29-E29)/E29</f>
        <v>-0.37927665202581401</v>
      </c>
      <c r="I29" s="42">
        <v>2809491.1306067598</v>
      </c>
      <c r="J29" s="36">
        <f t="shared" ref="J29:J35" si="73">(I29-G29)/G29</f>
        <v>-4.2341251887795306E-2</v>
      </c>
      <c r="K29" s="42">
        <v>2826323.34015112</v>
      </c>
      <c r="L29" s="36">
        <f t="shared" ref="L29:L35" si="74">(K29-I29)/I29</f>
        <v>5.9911951175033451E-3</v>
      </c>
      <c r="M29" s="42">
        <v>3287268.1800463102</v>
      </c>
      <c r="N29" s="36">
        <f t="shared" ref="N29:N35" si="75">(M29-K29)/K29</f>
        <v>0.1630899173307411</v>
      </c>
      <c r="O29" s="42">
        <v>3408563.7406075299</v>
      </c>
      <c r="P29" s="36">
        <f t="shared" ref="P29:R35" si="76">(O29-M29)/M29</f>
        <v>3.6898589928708196E-2</v>
      </c>
      <c r="Q29" s="42">
        <v>2691495.5</v>
      </c>
      <c r="R29" s="36">
        <f t="shared" si="76"/>
        <v>-0.210372548432884</v>
      </c>
      <c r="S29" s="42">
        <v>2632351.21</v>
      </c>
      <c r="T29" s="36">
        <f t="shared" ref="T29:V35" si="77">(S29-Q29)/Q29</f>
        <v>-2.1974508224145289E-2</v>
      </c>
      <c r="U29" s="42">
        <v>2805003</v>
      </c>
      <c r="V29" s="36">
        <f t="shared" si="77"/>
        <v>6.5588432631677615E-2</v>
      </c>
      <c r="W29" s="42">
        <v>2827414.75</v>
      </c>
      <c r="X29" s="36">
        <f t="shared" ref="X29:X35" si="78">(W29-U29)/U29</f>
        <v>7.9899201533830799E-3</v>
      </c>
      <c r="Y29" s="42">
        <v>3749011.85</v>
      </c>
      <c r="Z29" s="36">
        <f t="shared" ref="Z29:Z35" si="79">(Y29-W29)/W29</f>
        <v>0.32595044642813725</v>
      </c>
      <c r="AA29" s="42">
        <v>3631547.47</v>
      </c>
      <c r="AB29" s="36">
        <f t="shared" ref="AB29:AB35" si="80">(AA29-Y29)/Y29</f>
        <v>-3.1332090881494516E-2</v>
      </c>
      <c r="AC29" s="42">
        <v>1377777.3602742001</v>
      </c>
      <c r="AD29" s="36">
        <f t="shared" ref="AD29:AD35" si="81">(AC29-AA29)/AA29</f>
        <v>-0.62060874278639133</v>
      </c>
      <c r="AE29" s="42">
        <v>791408.84998782398</v>
      </c>
      <c r="AF29" s="36">
        <f t="shared" ref="AF29:AF35" si="82">(AE29-AC29)/AC29</f>
        <v>-0.42559017675372401</v>
      </c>
      <c r="AG29" s="42">
        <v>2185895.2798632602</v>
      </c>
      <c r="AH29" s="36">
        <f t="shared" ref="AH29:AH35" si="83">(AG29-AE29)/AE29</f>
        <v>1.762030371402709</v>
      </c>
      <c r="AI29" s="42">
        <v>4099041.88945489</v>
      </c>
      <c r="AJ29" s="36">
        <f t="shared" si="58"/>
        <v>0.87522335914980687</v>
      </c>
      <c r="AK29" s="42">
        <v>3874342.72</v>
      </c>
      <c r="AL29" s="36">
        <f t="shared" si="58"/>
        <v>-5.4817485528251428E-2</v>
      </c>
      <c r="AM29" s="42">
        <v>3674280.3679376999</v>
      </c>
      <c r="AN29" s="36">
        <f t="shared" si="59"/>
        <v>-5.1637752909556828E-2</v>
      </c>
      <c r="AO29" s="42">
        <v>3686194.31903025</v>
      </c>
      <c r="AP29" s="36">
        <f t="shared" si="60"/>
        <v>3.2425263995945765E-3</v>
      </c>
      <c r="AQ29" s="42">
        <v>3365220.85</v>
      </c>
      <c r="AR29" s="36">
        <f t="shared" ref="AR29:AR35" si="84">(AQ29-AO29)/AO29</f>
        <v>-8.7074484210775502E-2</v>
      </c>
      <c r="AS29" s="42">
        <v>3418208.01</v>
      </c>
      <c r="AT29" s="36">
        <f t="shared" ref="AT29:AT35" si="85">(AS29-AQ29)/AQ29</f>
        <v>1.5745522318393958E-2</v>
      </c>
    </row>
    <row r="30" spans="1:46" x14ac:dyDescent="0.25">
      <c r="A30" s="6" t="s">
        <v>38</v>
      </c>
      <c r="B30" s="42">
        <v>434306</v>
      </c>
      <c r="C30" s="42">
        <v>481009</v>
      </c>
      <c r="D30" s="36">
        <f t="shared" si="70"/>
        <v>0.10753477962542539</v>
      </c>
      <c r="E30" s="42">
        <v>620414</v>
      </c>
      <c r="F30" s="36">
        <f t="shared" si="71"/>
        <v>0.28981786203584547</v>
      </c>
      <c r="G30" s="42">
        <v>470311</v>
      </c>
      <c r="H30" s="36">
        <f t="shared" si="72"/>
        <v>-0.24194005937970453</v>
      </c>
      <c r="I30" s="42">
        <v>450188.69994771999</v>
      </c>
      <c r="J30" s="36">
        <f t="shared" si="73"/>
        <v>-4.2785093379232073E-2</v>
      </c>
      <c r="K30" s="42">
        <v>504653.90986177698</v>
      </c>
      <c r="L30" s="36">
        <f t="shared" si="74"/>
        <v>0.12098306759006165</v>
      </c>
      <c r="M30" s="42">
        <v>522280.71995241003</v>
      </c>
      <c r="N30" s="36">
        <f t="shared" si="75"/>
        <v>3.492851188938767E-2</v>
      </c>
      <c r="O30" s="42">
        <v>498236.33999586903</v>
      </c>
      <c r="P30" s="36">
        <f t="shared" si="76"/>
        <v>-4.6037272750048888E-2</v>
      </c>
      <c r="Q30" s="42">
        <v>518127.29</v>
      </c>
      <c r="R30" s="36">
        <f t="shared" si="76"/>
        <v>3.9922720218071348E-2</v>
      </c>
      <c r="S30" s="42">
        <v>382686.46</v>
      </c>
      <c r="T30" s="36">
        <f t="shared" si="77"/>
        <v>-0.26140454790559275</v>
      </c>
      <c r="U30" s="42">
        <v>418042.01</v>
      </c>
      <c r="V30" s="36">
        <f t="shared" si="77"/>
        <v>9.2387773531365569E-2</v>
      </c>
      <c r="W30" s="42">
        <v>375834.81</v>
      </c>
      <c r="X30" s="36">
        <f t="shared" si="78"/>
        <v>-0.10096401555432194</v>
      </c>
      <c r="Y30" s="42">
        <v>458849.98</v>
      </c>
      <c r="Z30" s="36">
        <f t="shared" si="79"/>
        <v>0.22088206784251832</v>
      </c>
      <c r="AA30" s="42">
        <v>549425.74</v>
      </c>
      <c r="AB30" s="36">
        <f t="shared" si="80"/>
        <v>0.19739732798942264</v>
      </c>
      <c r="AC30" s="42">
        <v>190082.37000205001</v>
      </c>
      <c r="AD30" s="36">
        <f t="shared" si="81"/>
        <v>-0.65403446514528052</v>
      </c>
      <c r="AE30" s="42">
        <v>96081.970024563401</v>
      </c>
      <c r="AF30" s="36">
        <f t="shared" si="82"/>
        <v>-0.49452455783496824</v>
      </c>
      <c r="AG30" s="42">
        <v>307738.07011101401</v>
      </c>
      <c r="AH30" s="36">
        <f t="shared" si="83"/>
        <v>2.2028701121796379</v>
      </c>
      <c r="AI30" s="42">
        <v>646689.10991238803</v>
      </c>
      <c r="AJ30" s="36">
        <f t="shared" si="58"/>
        <v>1.1014270664630483</v>
      </c>
      <c r="AK30" s="42">
        <v>571057.63</v>
      </c>
      <c r="AL30" s="36">
        <f t="shared" si="58"/>
        <v>-0.11695183783539266</v>
      </c>
      <c r="AM30" s="42">
        <v>569413.60973970802</v>
      </c>
      <c r="AN30" s="36">
        <f t="shared" si="59"/>
        <v>-2.8789042890329459E-3</v>
      </c>
      <c r="AO30" s="42">
        <v>527278.87982859602</v>
      </c>
      <c r="AP30" s="36">
        <f t="shared" si="60"/>
        <v>-7.3996703258239191E-2</v>
      </c>
      <c r="AQ30" s="42">
        <v>485389.51</v>
      </c>
      <c r="AR30" s="36">
        <f t="shared" si="84"/>
        <v>-7.9444429562991609E-2</v>
      </c>
      <c r="AS30" s="42">
        <v>421549.1</v>
      </c>
      <c r="AT30" s="36">
        <f t="shared" si="85"/>
        <v>-0.13152408258678691</v>
      </c>
    </row>
    <row r="31" spans="1:46" x14ac:dyDescent="0.25">
      <c r="A31" s="6" t="s">
        <v>39</v>
      </c>
      <c r="B31" s="42">
        <f t="shared" ref="B31:G31" si="86">B29-B30</f>
        <v>2327328</v>
      </c>
      <c r="C31" s="42">
        <f t="shared" si="86"/>
        <v>2768020</v>
      </c>
      <c r="D31" s="36">
        <f t="shared" si="70"/>
        <v>0.18935534656051919</v>
      </c>
      <c r="E31" s="42">
        <f t="shared" si="86"/>
        <v>4105859</v>
      </c>
      <c r="F31" s="36">
        <f t="shared" si="71"/>
        <v>0.48331984595487026</v>
      </c>
      <c r="G31" s="42">
        <f t="shared" si="86"/>
        <v>2463397</v>
      </c>
      <c r="H31" s="36">
        <f t="shared" si="72"/>
        <v>-0.40002883684023244</v>
      </c>
      <c r="I31" s="42">
        <f t="shared" ref="I31:M31" si="87">I29-I30</f>
        <v>2359302.4306590399</v>
      </c>
      <c r="J31" s="36">
        <f t="shared" si="73"/>
        <v>-4.2256513806325217E-2</v>
      </c>
      <c r="K31" s="42">
        <f t="shared" si="87"/>
        <v>2321669.430289343</v>
      </c>
      <c r="L31" s="36">
        <f t="shared" si="74"/>
        <v>-1.5950901368411933E-2</v>
      </c>
      <c r="M31" s="42">
        <f t="shared" si="87"/>
        <v>2764987.4600939001</v>
      </c>
      <c r="N31" s="36">
        <f t="shared" si="75"/>
        <v>0.19094795495899158</v>
      </c>
      <c r="O31" s="42">
        <f>O29-O30</f>
        <v>2910327.4006116609</v>
      </c>
      <c r="P31" s="36">
        <f t="shared" si="76"/>
        <v>5.2564412177415448E-2</v>
      </c>
      <c r="Q31" s="42">
        <f>Q29-Q30</f>
        <v>2173368.21</v>
      </c>
      <c r="R31" s="36">
        <f t="shared" si="76"/>
        <v>-0.25322209125226769</v>
      </c>
      <c r="S31" s="42">
        <f>S29-S30</f>
        <v>2249664.75</v>
      </c>
      <c r="T31" s="36">
        <f t="shared" si="77"/>
        <v>3.5105206586232361E-2</v>
      </c>
      <c r="U31" s="42">
        <f>U29-U30</f>
        <v>2386960.9900000002</v>
      </c>
      <c r="V31" s="36">
        <f t="shared" si="77"/>
        <v>6.1029644528145903E-2</v>
      </c>
      <c r="W31" s="42">
        <f>W29-W30</f>
        <v>2451579.94</v>
      </c>
      <c r="X31" s="36">
        <f t="shared" si="78"/>
        <v>2.7071640580100018E-2</v>
      </c>
      <c r="Y31" s="42">
        <f t="shared" ref="Y31:AA31" si="88">Y29-Y30</f>
        <v>3290161.87</v>
      </c>
      <c r="Z31" s="36">
        <f t="shared" si="79"/>
        <v>0.34205775480443856</v>
      </c>
      <c r="AA31" s="42">
        <f t="shared" si="88"/>
        <v>3082121.7300000004</v>
      </c>
      <c r="AB31" s="36">
        <f t="shared" si="80"/>
        <v>-6.3230974104018678E-2</v>
      </c>
      <c r="AC31" s="42">
        <f t="shared" ref="AC31:AG31" si="89">AC29-AC30</f>
        <v>1187694.9902721501</v>
      </c>
      <c r="AD31" s="36">
        <f t="shared" si="81"/>
        <v>-0.61465020063560238</v>
      </c>
      <c r="AE31" s="42">
        <f t="shared" si="89"/>
        <v>695326.87996326061</v>
      </c>
      <c r="AF31" s="36">
        <f t="shared" si="82"/>
        <v>-0.41455770575917611</v>
      </c>
      <c r="AG31" s="42">
        <f t="shared" si="89"/>
        <v>1878157.2097522463</v>
      </c>
      <c r="AH31" s="36">
        <f t="shared" si="83"/>
        <v>1.7011140571057508</v>
      </c>
      <c r="AI31" s="42">
        <f t="shared" ref="AI31:AM31" si="90">AI29-AI30</f>
        <v>3452352.779542502</v>
      </c>
      <c r="AJ31" s="36">
        <f t="shared" si="58"/>
        <v>0.83815963946804695</v>
      </c>
      <c r="AK31" s="42">
        <f t="shared" si="90"/>
        <v>3303285.0900000003</v>
      </c>
      <c r="AL31" s="36">
        <f t="shared" si="58"/>
        <v>-4.3178579670602436E-2</v>
      </c>
      <c r="AM31" s="42">
        <f t="shared" si="90"/>
        <v>3104866.7581979921</v>
      </c>
      <c r="AN31" s="36">
        <f t="shared" si="59"/>
        <v>-6.006697163459427E-2</v>
      </c>
      <c r="AO31" s="42">
        <f>AO29-AO30</f>
        <v>3158915.4392016539</v>
      </c>
      <c r="AP31" s="36">
        <f t="shared" si="60"/>
        <v>1.7407729610603547E-2</v>
      </c>
      <c r="AQ31" s="42">
        <f>AQ29-AQ30</f>
        <v>2879831.34</v>
      </c>
      <c r="AR31" s="36">
        <f t="shared" si="84"/>
        <v>-8.8348075335687504E-2</v>
      </c>
      <c r="AS31" s="42">
        <f>AS29-AS30</f>
        <v>2996658.9099999997</v>
      </c>
      <c r="AT31" s="36">
        <f t="shared" si="85"/>
        <v>4.0567504206687269E-2</v>
      </c>
    </row>
    <row r="32" spans="1:46" x14ac:dyDescent="0.25">
      <c r="A32" s="6" t="s">
        <v>40</v>
      </c>
      <c r="B32" s="2">
        <v>20192</v>
      </c>
      <c r="C32" s="2">
        <v>22240</v>
      </c>
      <c r="D32" s="36">
        <f t="shared" si="70"/>
        <v>0.10142630744849446</v>
      </c>
      <c r="E32" s="2">
        <v>29100</v>
      </c>
      <c r="F32" s="36">
        <f t="shared" si="71"/>
        <v>0.30845323741007197</v>
      </c>
      <c r="G32" s="2">
        <v>21246</v>
      </c>
      <c r="H32" s="36">
        <f t="shared" si="72"/>
        <v>-0.26989690721649484</v>
      </c>
      <c r="I32" s="2">
        <v>20892</v>
      </c>
      <c r="J32" s="36">
        <f t="shared" si="73"/>
        <v>-1.6661959898333804E-2</v>
      </c>
      <c r="K32" s="2">
        <v>20969</v>
      </c>
      <c r="L32" s="36">
        <f t="shared" si="74"/>
        <v>3.6856212904461038E-3</v>
      </c>
      <c r="M32" s="2">
        <v>21964</v>
      </c>
      <c r="N32" s="36">
        <f t="shared" si="75"/>
        <v>4.745099909390052E-2</v>
      </c>
      <c r="O32" s="2">
        <v>22043</v>
      </c>
      <c r="P32" s="36">
        <f t="shared" si="76"/>
        <v>3.5967947550537244E-3</v>
      </c>
      <c r="Q32" s="2">
        <v>18960</v>
      </c>
      <c r="R32" s="36">
        <f t="shared" si="76"/>
        <v>-0.13986299505511954</v>
      </c>
      <c r="S32" s="2">
        <v>17679</v>
      </c>
      <c r="T32" s="36">
        <f t="shared" si="77"/>
        <v>-6.7563291139240506E-2</v>
      </c>
      <c r="U32" s="2">
        <v>18327</v>
      </c>
      <c r="V32" s="36">
        <f t="shared" si="77"/>
        <v>3.6653656881045306E-2</v>
      </c>
      <c r="W32" s="2">
        <v>18654</v>
      </c>
      <c r="X32" s="36">
        <f t="shared" si="78"/>
        <v>1.7842527418562775E-2</v>
      </c>
      <c r="Y32" s="2">
        <v>22945</v>
      </c>
      <c r="Z32" s="36">
        <f t="shared" si="79"/>
        <v>0.23003109252707193</v>
      </c>
      <c r="AA32" s="2">
        <v>22542</v>
      </c>
      <c r="AB32" s="36">
        <f t="shared" si="80"/>
        <v>-1.7563739376770537E-2</v>
      </c>
      <c r="AC32" s="2">
        <v>9495</v>
      </c>
      <c r="AD32" s="36">
        <f t="shared" si="81"/>
        <v>-0.5787862656374767</v>
      </c>
      <c r="AE32" s="2">
        <v>5551</v>
      </c>
      <c r="AF32" s="36">
        <f t="shared" si="82"/>
        <v>-0.41537651395471303</v>
      </c>
      <c r="AG32" s="2">
        <v>13607</v>
      </c>
      <c r="AH32" s="36">
        <f t="shared" si="83"/>
        <v>1.4512700414339759</v>
      </c>
      <c r="AI32" s="2">
        <v>27224</v>
      </c>
      <c r="AJ32" s="36">
        <f t="shared" si="58"/>
        <v>1.000734915852135</v>
      </c>
      <c r="AK32" s="2">
        <v>32389</v>
      </c>
      <c r="AL32" s="36">
        <f t="shared" si="58"/>
        <v>0.18972230384954453</v>
      </c>
      <c r="AM32" s="2">
        <v>28258</v>
      </c>
      <c r="AN32" s="36">
        <f t="shared" si="59"/>
        <v>-0.12754330173824446</v>
      </c>
      <c r="AO32" s="2">
        <v>24952</v>
      </c>
      <c r="AP32" s="36">
        <f t="shared" si="60"/>
        <v>-0.11699341779319131</v>
      </c>
      <c r="AQ32" s="2">
        <v>24968</v>
      </c>
      <c r="AR32" s="36">
        <f t="shared" si="84"/>
        <v>6.4123116383456237E-4</v>
      </c>
      <c r="AS32" s="2">
        <v>23976</v>
      </c>
      <c r="AT32" s="36">
        <f t="shared" si="85"/>
        <v>-3.9730855495033642E-2</v>
      </c>
    </row>
    <row r="33" spans="1:46" x14ac:dyDescent="0.25">
      <c r="A33" s="6" t="s">
        <v>41</v>
      </c>
      <c r="B33" s="34">
        <f t="shared" ref="B33:G33" si="91">B34/B32</f>
        <v>1.6759607765451665</v>
      </c>
      <c r="C33" s="34">
        <f t="shared" si="91"/>
        <v>1.7597122302158272</v>
      </c>
      <c r="D33" s="36">
        <f t="shared" si="70"/>
        <v>4.9972203909990284E-2</v>
      </c>
      <c r="E33" s="34">
        <f t="shared" si="91"/>
        <v>1.8823367697594502</v>
      </c>
      <c r="F33" s="36">
        <f t="shared" si="71"/>
        <v>6.9684427622909204E-2</v>
      </c>
      <c r="G33" s="34">
        <f t="shared" si="91"/>
        <v>1.685917349148075</v>
      </c>
      <c r="H33" s="36">
        <f t="shared" si="72"/>
        <v>-0.10434871366640532</v>
      </c>
      <c r="I33" s="34">
        <f t="shared" ref="I33:K33" si="92">I34/I32</f>
        <v>1.6679590273789011</v>
      </c>
      <c r="J33" s="36">
        <f t="shared" si="73"/>
        <v>-1.0651958578069417E-2</v>
      </c>
      <c r="K33" s="34">
        <f t="shared" si="92"/>
        <v>1.6531546568744337</v>
      </c>
      <c r="L33" s="36">
        <f t="shared" si="74"/>
        <v>-8.8757399081508381E-3</v>
      </c>
      <c r="M33" s="34">
        <f>M34/M32</f>
        <v>1.6902658896375888</v>
      </c>
      <c r="N33" s="36">
        <f t="shared" si="75"/>
        <v>2.2448736183776116E-2</v>
      </c>
      <c r="O33" s="34">
        <f>O34/O32</f>
        <v>1.6820759424760694</v>
      </c>
      <c r="P33" s="36">
        <f t="shared" si="76"/>
        <v>-4.8453602546966457E-3</v>
      </c>
      <c r="Q33" s="34">
        <f>Q34/Q32</f>
        <v>1.630801687763713</v>
      </c>
      <c r="R33" s="36">
        <f t="shared" si="76"/>
        <v>-3.0482722817424653E-2</v>
      </c>
      <c r="S33" s="34">
        <f>S34/S32</f>
        <v>1.6743028451835511</v>
      </c>
      <c r="T33" s="36">
        <f t="shared" si="77"/>
        <v>2.667470713713227E-2</v>
      </c>
      <c r="U33" s="34">
        <f>U34/U32</f>
        <v>1.6838544224368419</v>
      </c>
      <c r="V33" s="36">
        <f t="shared" si="77"/>
        <v>5.7048085898962243E-3</v>
      </c>
      <c r="W33" s="34">
        <f>W34/W32</f>
        <v>1.7091776562667524</v>
      </c>
      <c r="X33" s="36">
        <f t="shared" si="78"/>
        <v>1.5038849850964688E-2</v>
      </c>
      <c r="Y33" s="34">
        <f>Y34/Y32</f>
        <v>1.8602309871431684</v>
      </c>
      <c r="Z33" s="36">
        <f t="shared" si="79"/>
        <v>8.8377782334430971E-2</v>
      </c>
      <c r="AA33" s="34">
        <f t="shared" ref="AA33:AC33" si="93">AA34/AA32</f>
        <v>1.7743323573773402</v>
      </c>
      <c r="AB33" s="36">
        <f t="shared" si="80"/>
        <v>-4.6176324531474536E-2</v>
      </c>
      <c r="AC33" s="34">
        <f t="shared" si="93"/>
        <v>1.4821484992101106</v>
      </c>
      <c r="AD33" s="36">
        <f t="shared" si="81"/>
        <v>-0.16467256371242064</v>
      </c>
      <c r="AE33" s="34">
        <f t="shared" ref="AE33:AK33" si="94">AE34/AE32</f>
        <v>1.626193478652495</v>
      </c>
      <c r="AF33" s="36">
        <f t="shared" si="82"/>
        <v>9.7186604121753686E-2</v>
      </c>
      <c r="AG33" s="34">
        <f t="shared" si="94"/>
        <v>1.8399353274050121</v>
      </c>
      <c r="AH33" s="36">
        <f t="shared" si="83"/>
        <v>0.13143691175642214</v>
      </c>
      <c r="AI33" s="34">
        <f t="shared" si="94"/>
        <v>1.8059800176315015</v>
      </c>
      <c r="AJ33" s="36">
        <f t="shared" si="58"/>
        <v>-1.8454621348784089E-2</v>
      </c>
      <c r="AK33" s="34">
        <f t="shared" si="94"/>
        <v>1.6902034641390595</v>
      </c>
      <c r="AL33" s="36">
        <f t="shared" si="58"/>
        <v>-6.4107328077904258E-2</v>
      </c>
      <c r="AM33" s="34">
        <f>AM34/AM32</f>
        <v>1.6802321466487367</v>
      </c>
      <c r="AN33" s="36">
        <f t="shared" si="59"/>
        <v>-5.8994776083966744E-3</v>
      </c>
      <c r="AO33" s="34">
        <f>AO34/AO32</f>
        <v>1.7982125681308112</v>
      </c>
      <c r="AP33" s="36">
        <f t="shared" si="60"/>
        <v>7.0216738631854736E-2</v>
      </c>
      <c r="AQ33" s="34">
        <f>AQ34/AQ32</f>
        <v>1.6706183915411728</v>
      </c>
      <c r="AR33" s="36">
        <f t="shared" si="84"/>
        <v>-7.0956114338734055E-2</v>
      </c>
      <c r="AS33" s="34">
        <f>AS34/AS32</f>
        <v>1.7240990990990992</v>
      </c>
      <c r="AT33" s="36">
        <f t="shared" si="85"/>
        <v>3.2012521727711629E-2</v>
      </c>
    </row>
    <row r="34" spans="1:46" x14ac:dyDescent="0.25">
      <c r="A34" s="6" t="s">
        <v>42</v>
      </c>
      <c r="B34" s="2">
        <v>33841</v>
      </c>
      <c r="C34" s="2">
        <v>39136</v>
      </c>
      <c r="D34" s="36">
        <f t="shared" si="70"/>
        <v>0.15646700747613843</v>
      </c>
      <c r="E34" s="2">
        <v>54776</v>
      </c>
      <c r="F34" s="36">
        <f t="shared" si="71"/>
        <v>0.39963205233033522</v>
      </c>
      <c r="G34" s="2">
        <v>35819</v>
      </c>
      <c r="H34" s="36">
        <f t="shared" si="72"/>
        <v>-0.34608222579231779</v>
      </c>
      <c r="I34" s="2">
        <v>34847</v>
      </c>
      <c r="J34" s="36">
        <f t="shared" si="73"/>
        <v>-2.7136435969736732E-2</v>
      </c>
      <c r="K34" s="2">
        <v>34665</v>
      </c>
      <c r="L34" s="36">
        <f t="shared" si="74"/>
        <v>-5.2228312336786526E-3</v>
      </c>
      <c r="M34" s="2">
        <v>37125</v>
      </c>
      <c r="N34" s="36">
        <f t="shared" si="75"/>
        <v>7.0964950237992208E-2</v>
      </c>
      <c r="O34" s="2">
        <v>37078</v>
      </c>
      <c r="P34" s="36">
        <f t="shared" si="76"/>
        <v>-1.265993265993266E-3</v>
      </c>
      <c r="Q34" s="2">
        <v>30920</v>
      </c>
      <c r="R34" s="36">
        <f t="shared" si="76"/>
        <v>-0.16608231296186418</v>
      </c>
      <c r="S34" s="2">
        <v>29600</v>
      </c>
      <c r="T34" s="36">
        <f t="shared" si="77"/>
        <v>-4.2690815006468305E-2</v>
      </c>
      <c r="U34" s="2">
        <v>30860</v>
      </c>
      <c r="V34" s="36">
        <f t="shared" si="77"/>
        <v>4.256756756756757E-2</v>
      </c>
      <c r="W34" s="2">
        <v>31883</v>
      </c>
      <c r="X34" s="36">
        <f t="shared" si="78"/>
        <v>3.3149708360337003E-2</v>
      </c>
      <c r="Y34" s="2">
        <v>42683</v>
      </c>
      <c r="Z34" s="36">
        <f t="shared" si="79"/>
        <v>0.33873851268701188</v>
      </c>
      <c r="AA34" s="2">
        <v>39997</v>
      </c>
      <c r="AB34" s="36">
        <f t="shared" si="80"/>
        <v>-6.2929034978797177E-2</v>
      </c>
      <c r="AC34" s="2">
        <v>14073</v>
      </c>
      <c r="AD34" s="36">
        <f t="shared" si="81"/>
        <v>-0.64814861114583588</v>
      </c>
      <c r="AE34" s="2">
        <v>9027</v>
      </c>
      <c r="AF34" s="36">
        <f t="shared" si="82"/>
        <v>-0.35855894265615007</v>
      </c>
      <c r="AG34" s="2">
        <v>25036</v>
      </c>
      <c r="AH34" s="36">
        <f t="shared" si="83"/>
        <v>1.7734574055610945</v>
      </c>
      <c r="AI34" s="2">
        <v>49166</v>
      </c>
      <c r="AJ34" s="36">
        <f t="shared" si="58"/>
        <v>0.96381211056079241</v>
      </c>
      <c r="AK34" s="2">
        <v>54744</v>
      </c>
      <c r="AL34" s="36">
        <f t="shared" si="58"/>
        <v>0.11345238579506163</v>
      </c>
      <c r="AM34" s="2">
        <v>47480</v>
      </c>
      <c r="AN34" s="36">
        <f t="shared" si="59"/>
        <v>-0.13269034049393541</v>
      </c>
      <c r="AO34" s="2">
        <v>44869</v>
      </c>
      <c r="AP34" s="36">
        <f t="shared" si="60"/>
        <v>-5.4991575400168489E-2</v>
      </c>
      <c r="AQ34" s="2">
        <v>41712</v>
      </c>
      <c r="AR34" s="36">
        <f t="shared" si="84"/>
        <v>-7.036038244667811E-2</v>
      </c>
      <c r="AS34" s="2">
        <v>41337</v>
      </c>
      <c r="AT34" s="36">
        <f t="shared" si="85"/>
        <v>-8.9902186421173761E-3</v>
      </c>
    </row>
    <row r="35" spans="1:46" x14ac:dyDescent="0.25">
      <c r="A35" s="6" t="s">
        <v>43</v>
      </c>
      <c r="B35" s="40">
        <f>B29/B34</f>
        <v>81.60615821045478</v>
      </c>
      <c r="C35" s="40">
        <f t="shared" ref="C35:G35" si="95">C29/C34</f>
        <v>83.018933973834834</v>
      </c>
      <c r="D35" s="36">
        <f t="shared" si="70"/>
        <v>1.7312121956980689E-2</v>
      </c>
      <c r="E35" s="40">
        <f t="shared" si="95"/>
        <v>86.283646122389371</v>
      </c>
      <c r="F35" s="36">
        <f t="shared" si="71"/>
        <v>3.9324910502747237E-2</v>
      </c>
      <c r="G35" s="40">
        <f t="shared" si="95"/>
        <v>81.903682403193841</v>
      </c>
      <c r="H35" s="36">
        <f t="shared" si="72"/>
        <v>-5.0762385643540762E-2</v>
      </c>
      <c r="I35" s="40">
        <f t="shared" ref="I35:M35" si="96">I29/I34</f>
        <v>80.623615536682067</v>
      </c>
      <c r="J35" s="36">
        <f t="shared" si="73"/>
        <v>-1.56289293588814E-2</v>
      </c>
      <c r="K35" s="40">
        <f t="shared" si="96"/>
        <v>81.532477719634215</v>
      </c>
      <c r="L35" s="36">
        <f t="shared" si="74"/>
        <v>1.1272902820125143E-2</v>
      </c>
      <c r="M35" s="40">
        <f t="shared" si="96"/>
        <v>88.545944243671656</v>
      </c>
      <c r="N35" s="36">
        <f t="shared" si="75"/>
        <v>8.6020524828825301E-2</v>
      </c>
      <c r="O35" s="40">
        <f>O29/O34</f>
        <v>91.929546917512539</v>
      </c>
      <c r="P35" s="36">
        <f t="shared" si="76"/>
        <v>3.8212960545425639E-2</v>
      </c>
      <c r="Q35" s="40">
        <f>Q29/Q34</f>
        <v>87.047073091849938</v>
      </c>
      <c r="R35" s="36">
        <f t="shared" si="76"/>
        <v>-5.311103980577208E-2</v>
      </c>
      <c r="S35" s="40">
        <f>S29/S34</f>
        <v>88.930784121621613</v>
      </c>
      <c r="T35" s="36">
        <f t="shared" si="77"/>
        <v>2.1640142084777842E-2</v>
      </c>
      <c r="U35" s="40">
        <f>U29/U34</f>
        <v>90.894458846403111</v>
      </c>
      <c r="V35" s="36">
        <f t="shared" si="77"/>
        <v>2.2080933438031754E-2</v>
      </c>
      <c r="W35" s="40">
        <f>W29/W34</f>
        <v>88.680950663362921</v>
      </c>
      <c r="X35" s="36">
        <f t="shared" si="78"/>
        <v>-2.435250961536236E-2</v>
      </c>
      <c r="Y35" s="40">
        <f t="shared" ref="Y35:AA35" si="97">Y29/Y34</f>
        <v>87.833841341986272</v>
      </c>
      <c r="Z35" s="36">
        <f t="shared" si="79"/>
        <v>-9.5523256690415552E-3</v>
      </c>
      <c r="AA35" s="40">
        <f t="shared" si="97"/>
        <v>90.795496412230918</v>
      </c>
      <c r="AB35" s="36">
        <f t="shared" si="80"/>
        <v>3.3718838035481861E-2</v>
      </c>
      <c r="AC35" s="40">
        <f t="shared" ref="AC35:AG35" si="98">AC29/AC34</f>
        <v>97.902178659432963</v>
      </c>
      <c r="AD35" s="36">
        <f t="shared" si="81"/>
        <v>7.8271307807340929E-2</v>
      </c>
      <c r="AE35" s="40">
        <f t="shared" si="98"/>
        <v>87.671302757042653</v>
      </c>
      <c r="AF35" s="36">
        <f t="shared" si="82"/>
        <v>-0.10450100337378504</v>
      </c>
      <c r="AG35" s="40">
        <f t="shared" si="98"/>
        <v>87.31008467260186</v>
      </c>
      <c r="AH35" s="36">
        <f t="shared" si="83"/>
        <v>-4.1201404916020408E-3</v>
      </c>
      <c r="AI35" s="40">
        <f t="shared" ref="AI35:AM35" si="99">AI29/AI34</f>
        <v>83.371473975000811</v>
      </c>
      <c r="AJ35" s="36">
        <f t="shared" si="58"/>
        <v>-4.5110604489391776E-2</v>
      </c>
      <c r="AK35" s="40">
        <f t="shared" si="99"/>
        <v>70.772006429928396</v>
      </c>
      <c r="AL35" s="36">
        <f t="shared" si="58"/>
        <v>-0.15112444274225503</v>
      </c>
      <c r="AM35" s="40">
        <f t="shared" si="99"/>
        <v>77.385854421602772</v>
      </c>
      <c r="AN35" s="36">
        <f t="shared" si="59"/>
        <v>9.3452882365611181E-2</v>
      </c>
      <c r="AO35" s="40">
        <f>AO29/AO34</f>
        <v>82.154590452879489</v>
      </c>
      <c r="AP35" s="36">
        <f t="shared" si="60"/>
        <v>6.1622838785191376E-2</v>
      </c>
      <c r="AQ35" s="40">
        <f>AQ29/AQ34</f>
        <v>80.677523254698883</v>
      </c>
      <c r="AR35" s="36">
        <f t="shared" si="84"/>
        <v>-1.7979119487276748E-2</v>
      </c>
      <c r="AS35" s="40">
        <f>AS29/AS34</f>
        <v>82.691245373394295</v>
      </c>
      <c r="AT35" s="36">
        <f t="shared" si="85"/>
        <v>2.4960138058999319E-2</v>
      </c>
    </row>
    <row r="36" spans="1:46" x14ac:dyDescent="0.25">
      <c r="A36" s="6"/>
      <c r="D36" s="36"/>
      <c r="F36" s="36"/>
      <c r="H36" s="36"/>
      <c r="J36" s="36"/>
      <c r="L36" s="36"/>
      <c r="N36" s="36"/>
      <c r="P36" s="36"/>
      <c r="R36" s="36"/>
      <c r="T36" s="36"/>
      <c r="V36" s="36"/>
      <c r="X36" s="36"/>
    </row>
    <row r="37" spans="1:46" x14ac:dyDescent="0.25">
      <c r="A37" s="6" t="s">
        <v>44</v>
      </c>
      <c r="B37" s="43" t="s">
        <v>45</v>
      </c>
      <c r="C37" s="43" t="s">
        <v>45</v>
      </c>
      <c r="D37" s="44">
        <v>0</v>
      </c>
      <c r="E37" s="43" t="s">
        <v>45</v>
      </c>
      <c r="F37" s="44">
        <v>0</v>
      </c>
      <c r="G37" s="43" t="s">
        <v>46</v>
      </c>
      <c r="H37" s="44">
        <f>3/29</f>
        <v>0.10344827586206896</v>
      </c>
      <c r="I37" s="43" t="s">
        <v>47</v>
      </c>
      <c r="J37" s="44">
        <f>-1/32</f>
        <v>-3.125E-2</v>
      </c>
      <c r="K37" s="43" t="s">
        <v>48</v>
      </c>
      <c r="L37" s="44">
        <f>4/31</f>
        <v>0.12903225806451613</v>
      </c>
      <c r="M37" s="43" t="s">
        <v>49</v>
      </c>
      <c r="N37" s="36"/>
      <c r="O37" s="43" t="s">
        <v>50</v>
      </c>
      <c r="P37" s="36">
        <f>4/66</f>
        <v>6.0606060606060608E-2</v>
      </c>
      <c r="Q37" s="43" t="s">
        <v>51</v>
      </c>
      <c r="R37" s="36">
        <f>1/70</f>
        <v>1.4285714285714285E-2</v>
      </c>
      <c r="S37" s="43" t="s">
        <v>52</v>
      </c>
      <c r="T37" s="36">
        <f>7/70</f>
        <v>0.1</v>
      </c>
      <c r="U37" s="43" t="s">
        <v>53</v>
      </c>
      <c r="V37" s="36">
        <f>1/78</f>
        <v>1.282051282051282E-2</v>
      </c>
      <c r="W37" s="43" t="s">
        <v>54</v>
      </c>
      <c r="X37" s="36">
        <f>0/78</f>
        <v>0</v>
      </c>
      <c r="Y37" s="43">
        <v>78</v>
      </c>
      <c r="Z37" s="36">
        <f>-1/79</f>
        <v>-1.2658227848101266E-2</v>
      </c>
      <c r="AA37" s="43">
        <v>81</v>
      </c>
      <c r="AB37" s="36">
        <f>3/78</f>
        <v>3.8461538461538464E-2</v>
      </c>
      <c r="AC37" s="43">
        <v>83</v>
      </c>
      <c r="AD37" s="36">
        <f>(AC37-AA37)/AA37</f>
        <v>2.4691358024691357E-2</v>
      </c>
      <c r="AE37" s="43">
        <v>83</v>
      </c>
      <c r="AF37" s="36">
        <f t="shared" ref="AF37:AF42" si="100">(AE37-AC37)/AC37</f>
        <v>0</v>
      </c>
      <c r="AG37" s="43">
        <v>83</v>
      </c>
      <c r="AH37" s="36">
        <f t="shared" ref="AH37:AH42" si="101">(AG37-AE37)/AE37</f>
        <v>0</v>
      </c>
      <c r="AI37" s="43">
        <v>83</v>
      </c>
      <c r="AJ37" s="36">
        <f>(AI37-AG37)/AG37</f>
        <v>0</v>
      </c>
      <c r="AK37" s="43">
        <v>82</v>
      </c>
      <c r="AL37" s="36">
        <f>(AK37-AI37)/AI37</f>
        <v>-1.2048192771084338E-2</v>
      </c>
      <c r="AM37" s="43">
        <v>80</v>
      </c>
      <c r="AN37" s="36">
        <f t="shared" ref="AN37:AN42" si="102">(AM37-AK37)/AK37</f>
        <v>-2.4390243902439025E-2</v>
      </c>
      <c r="AO37" s="43"/>
      <c r="AP37" s="36"/>
    </row>
    <row r="38" spans="1:46" x14ac:dyDescent="0.25">
      <c r="A38" s="6" t="s">
        <v>55</v>
      </c>
      <c r="B38" s="43" t="s">
        <v>56</v>
      </c>
      <c r="C38" s="43" t="s">
        <v>57</v>
      </c>
      <c r="D38" s="44">
        <f>-9/110</f>
        <v>-8.1818181818181818E-2</v>
      </c>
      <c r="E38" s="43" t="s">
        <v>58</v>
      </c>
      <c r="F38" s="44">
        <f>-9/101</f>
        <v>-8.9108910891089105E-2</v>
      </c>
      <c r="G38" s="43" t="s">
        <v>59</v>
      </c>
      <c r="H38" s="44">
        <f>(141-92)/92</f>
        <v>0.53260869565217395</v>
      </c>
      <c r="I38" s="43" t="s">
        <v>59</v>
      </c>
      <c r="J38" s="44">
        <v>0</v>
      </c>
      <c r="K38" s="43" t="s">
        <v>60</v>
      </c>
      <c r="L38" s="44">
        <f>7/141</f>
        <v>4.9645390070921988E-2</v>
      </c>
      <c r="M38" s="43" t="s">
        <v>61</v>
      </c>
      <c r="N38" s="44"/>
      <c r="O38" s="43" t="s">
        <v>62</v>
      </c>
      <c r="P38" s="36">
        <f>(438-351)/351</f>
        <v>0.24786324786324787</v>
      </c>
      <c r="Q38" s="43" t="s">
        <v>63</v>
      </c>
      <c r="R38" s="36">
        <f>(391-438)/438</f>
        <v>-0.10730593607305935</v>
      </c>
      <c r="S38" s="43" t="s">
        <v>64</v>
      </c>
      <c r="T38" s="36">
        <f>(389-391)/391</f>
        <v>-5.1150895140664966E-3</v>
      </c>
      <c r="U38" s="43" t="s">
        <v>65</v>
      </c>
      <c r="V38" s="36">
        <f>(363-389)/389</f>
        <v>-6.6838046272493568E-2</v>
      </c>
      <c r="W38" s="43" t="s">
        <v>66</v>
      </c>
      <c r="X38" s="36">
        <f>(30)/363</f>
        <v>8.2644628099173556E-2</v>
      </c>
      <c r="Y38" s="43" t="s">
        <v>67</v>
      </c>
      <c r="Z38" s="36"/>
      <c r="AA38" s="43" t="s">
        <v>67</v>
      </c>
      <c r="AB38" s="36"/>
      <c r="AC38" s="43"/>
      <c r="AD38" s="36"/>
      <c r="AE38" s="43"/>
      <c r="AF38" s="36"/>
      <c r="AG38" s="43"/>
      <c r="AH38" s="36"/>
      <c r="AI38" s="43"/>
      <c r="AJ38" s="36"/>
      <c r="AK38" s="43"/>
      <c r="AL38" s="36"/>
      <c r="AM38" s="43"/>
      <c r="AN38" s="36"/>
      <c r="AO38" s="43"/>
      <c r="AP38" s="36"/>
    </row>
    <row r="39" spans="1:46" x14ac:dyDescent="0.25">
      <c r="A39" s="6" t="s">
        <v>68</v>
      </c>
      <c r="B39" s="43" t="s">
        <v>69</v>
      </c>
      <c r="C39" s="45" t="s">
        <v>70</v>
      </c>
      <c r="D39" s="44">
        <f>25/305</f>
        <v>8.1967213114754092E-2</v>
      </c>
      <c r="E39" s="45" t="s">
        <v>71</v>
      </c>
      <c r="F39" s="44">
        <f>(277-330)/330</f>
        <v>-0.16060606060606061</v>
      </c>
      <c r="G39" s="43" t="s">
        <v>72</v>
      </c>
      <c r="H39" s="44">
        <f>(306-277)/277</f>
        <v>0.10469314079422383</v>
      </c>
      <c r="I39" s="43" t="s">
        <v>73</v>
      </c>
      <c r="J39" s="44">
        <f>(330-306)/306</f>
        <v>7.8431372549019607E-2</v>
      </c>
      <c r="K39" s="43" t="s">
        <v>74</v>
      </c>
      <c r="L39" s="44">
        <f>-3/330</f>
        <v>-9.0909090909090905E-3</v>
      </c>
      <c r="M39" s="45" t="s">
        <v>75</v>
      </c>
      <c r="N39" s="44">
        <f>(234-327)/327</f>
        <v>-0.28440366972477066</v>
      </c>
      <c r="O39" s="43" t="s">
        <v>76</v>
      </c>
      <c r="P39" s="44">
        <f>(376-234)/234</f>
        <v>0.60683760683760679</v>
      </c>
      <c r="Q39" s="43" t="s">
        <v>77</v>
      </c>
      <c r="R39" s="44">
        <f>(324-376)/376</f>
        <v>-0.13829787234042554</v>
      </c>
      <c r="S39" s="43" t="s">
        <v>78</v>
      </c>
      <c r="T39" s="44">
        <f>(337-324)/324</f>
        <v>4.0123456790123455E-2</v>
      </c>
      <c r="U39" s="43" t="s">
        <v>79</v>
      </c>
      <c r="V39" s="44">
        <f>(307-337)/337</f>
        <v>-8.9020771513353122E-2</v>
      </c>
      <c r="W39" s="43" t="s">
        <v>80</v>
      </c>
      <c r="X39" s="44">
        <f>(345-307)/307</f>
        <v>0.12377850162866449</v>
      </c>
      <c r="Y39" s="43">
        <v>237</v>
      </c>
      <c r="Z39" s="44">
        <f>(237-345)/345</f>
        <v>-0.31304347826086959</v>
      </c>
      <c r="AA39" s="43">
        <v>281</v>
      </c>
      <c r="AB39" s="44">
        <f>(281-237)/237</f>
        <v>0.18565400843881857</v>
      </c>
      <c r="AC39" s="43">
        <v>201</v>
      </c>
      <c r="AD39" s="36">
        <f>(AC39-AA39)/AA39</f>
        <v>-0.28469750889679718</v>
      </c>
      <c r="AE39" s="43">
        <v>156</v>
      </c>
      <c r="AF39" s="36">
        <f t="shared" si="100"/>
        <v>-0.22388059701492538</v>
      </c>
      <c r="AG39" s="43">
        <v>176</v>
      </c>
      <c r="AH39" s="36">
        <f t="shared" si="101"/>
        <v>0.12820512820512819</v>
      </c>
      <c r="AI39" s="43">
        <v>234</v>
      </c>
      <c r="AJ39" s="36">
        <f>(AI39-AG39)/AG39</f>
        <v>0.32954545454545453</v>
      </c>
      <c r="AK39" s="43">
        <v>254</v>
      </c>
      <c r="AL39" s="36">
        <f>(AK39-AI39)/AI39</f>
        <v>8.5470085470085472E-2</v>
      </c>
      <c r="AM39" s="43">
        <v>275</v>
      </c>
      <c r="AN39" s="36">
        <f t="shared" si="102"/>
        <v>8.2677165354330714E-2</v>
      </c>
      <c r="AO39" s="43"/>
      <c r="AP39" s="36"/>
    </row>
    <row r="40" spans="1:46" s="35" customFormat="1" ht="12" x14ac:dyDescent="0.25">
      <c r="A40" s="20" t="s">
        <v>81</v>
      </c>
      <c r="B40" s="41"/>
      <c r="C40" s="41"/>
      <c r="D40" s="38"/>
      <c r="E40" s="41"/>
      <c r="F40" s="38"/>
      <c r="G40" s="41"/>
      <c r="H40" s="38"/>
      <c r="I40" s="41"/>
      <c r="J40" s="38"/>
      <c r="K40" s="41"/>
      <c r="L40" s="38"/>
      <c r="M40" s="41"/>
      <c r="N40" s="38"/>
      <c r="O40" s="41" t="s">
        <v>82</v>
      </c>
      <c r="P40" s="38"/>
      <c r="Q40" s="48" t="s">
        <v>83</v>
      </c>
      <c r="R40" s="38">
        <f>(67-62)/62</f>
        <v>8.0645161290322578E-2</v>
      </c>
      <c r="S40" s="48" t="s">
        <v>84</v>
      </c>
      <c r="T40" s="38">
        <f>(52-67)/67</f>
        <v>-0.22388059701492538</v>
      </c>
      <c r="U40" s="48" t="s">
        <v>85</v>
      </c>
      <c r="V40" s="38">
        <f>(56-52)/52</f>
        <v>7.6923076923076927E-2</v>
      </c>
      <c r="W40" s="48" t="s">
        <v>86</v>
      </c>
      <c r="X40" s="38">
        <f>(48-56)/56</f>
        <v>-0.14285714285714285</v>
      </c>
      <c r="Y40" s="48" t="s">
        <v>67</v>
      </c>
      <c r="Z40" s="38"/>
      <c r="AA40" s="48"/>
      <c r="AB40" s="38"/>
      <c r="AC40" s="48"/>
      <c r="AD40" s="38"/>
      <c r="AE40" s="48"/>
      <c r="AF40" s="38"/>
      <c r="AG40" s="48"/>
      <c r="AH40" s="38"/>
      <c r="AI40" s="48"/>
      <c r="AJ40" s="38"/>
      <c r="AK40" s="48"/>
      <c r="AL40" s="38"/>
      <c r="AM40" s="48"/>
      <c r="AN40" s="38"/>
      <c r="AO40" s="48"/>
      <c r="AP40" s="38"/>
    </row>
    <row r="41" spans="1:46" x14ac:dyDescent="0.25">
      <c r="A41" s="6" t="s">
        <v>87</v>
      </c>
      <c r="B41" s="43" t="s">
        <v>88</v>
      </c>
      <c r="C41" s="43" t="s">
        <v>89</v>
      </c>
      <c r="D41" s="44">
        <f>(3.48-3.79)/3.79</f>
        <v>-8.1794195250659646E-2</v>
      </c>
      <c r="E41" s="43" t="s">
        <v>90</v>
      </c>
      <c r="F41" s="44">
        <f>(3.17-3.48)/3.48</f>
        <v>-8.9080459770114959E-2</v>
      </c>
      <c r="G41" s="43" t="s">
        <v>91</v>
      </c>
      <c r="H41" s="44">
        <f>(4.41-3.17)/3.17</f>
        <v>0.39116719242902215</v>
      </c>
      <c r="I41" s="43" t="s">
        <v>91</v>
      </c>
      <c r="J41" s="44">
        <v>0</v>
      </c>
      <c r="K41" s="43" t="s">
        <v>92</v>
      </c>
      <c r="L41" s="44">
        <f>(4.23-4.41)/4.41</f>
        <v>-4.0816326530612179E-2</v>
      </c>
      <c r="M41" s="43" t="s">
        <v>93</v>
      </c>
      <c r="N41" s="44">
        <f>(5.32-4.23)/4.23</f>
        <v>0.25768321513002357</v>
      </c>
      <c r="O41" s="43" t="s">
        <v>94</v>
      </c>
      <c r="P41" s="36">
        <f>(6.26-5.32)/5.32</f>
        <v>0.17669172932330818</v>
      </c>
      <c r="Q41" s="43" t="s">
        <v>95</v>
      </c>
      <c r="R41" s="36">
        <f>(5.51-6.26)/6.26</f>
        <v>-0.11980830670926518</v>
      </c>
      <c r="S41" s="43" t="s">
        <v>96</v>
      </c>
      <c r="T41" s="36">
        <f>(4.99-5.51)/5.51</f>
        <v>-9.4373865698729506E-2</v>
      </c>
      <c r="U41" s="43" t="s">
        <v>97</v>
      </c>
      <c r="V41" s="36">
        <f>(4.59-4.99)/4.99</f>
        <v>-8.0160320641282631E-2</v>
      </c>
      <c r="W41" s="43" t="s">
        <v>98</v>
      </c>
      <c r="X41" s="36">
        <f>0</f>
        <v>0</v>
      </c>
      <c r="Y41" s="43">
        <v>3.03</v>
      </c>
      <c r="Z41" s="36">
        <f>(3.03-4.59)/4.59</f>
        <v>-0.33986928104575165</v>
      </c>
      <c r="AA41" s="43">
        <v>3.47</v>
      </c>
      <c r="AB41" s="36">
        <f>(3.47-3.03)/3.03</f>
        <v>0.14521452145214536</v>
      </c>
      <c r="AC41" s="43"/>
      <c r="AD41" s="36"/>
      <c r="AE41" s="43"/>
      <c r="AF41" s="36"/>
      <c r="AG41" s="43"/>
      <c r="AH41" s="36"/>
      <c r="AI41" s="43"/>
      <c r="AJ41" s="36"/>
      <c r="AK41" s="43"/>
      <c r="AL41" s="36"/>
      <c r="AM41" s="43"/>
      <c r="AN41" s="36"/>
      <c r="AO41" s="43"/>
      <c r="AP41" s="36"/>
    </row>
    <row r="42" spans="1:46" x14ac:dyDescent="0.25">
      <c r="A42" s="6" t="s">
        <v>99</v>
      </c>
      <c r="B42" s="43" t="s">
        <v>100</v>
      </c>
      <c r="C42" s="43" t="s">
        <v>101</v>
      </c>
      <c r="D42" s="44">
        <f>(16.16-14.87)/14.87</f>
        <v>8.6751849361129854E-2</v>
      </c>
      <c r="E42" s="43" t="s">
        <v>102</v>
      </c>
      <c r="F42" s="44">
        <f>(24.14-16.16)/16.16</f>
        <v>0.49381188118811881</v>
      </c>
      <c r="G42" s="43" t="s">
        <v>103</v>
      </c>
      <c r="H42" s="44">
        <f>(15.28-24.14)/24.14</f>
        <v>-0.36702568351284182</v>
      </c>
      <c r="I42" s="43" t="s">
        <v>104</v>
      </c>
      <c r="J42" s="44">
        <f>(15.74-15.28)/15.28</f>
        <v>3.0104712041884873E-2</v>
      </c>
      <c r="K42" s="43" t="s">
        <v>105</v>
      </c>
      <c r="L42" s="44">
        <f>(14.65-15.74)/15.74</f>
        <v>-6.9250317662007607E-2</v>
      </c>
      <c r="M42" s="43" t="s">
        <v>106</v>
      </c>
      <c r="N42" s="44">
        <f>(15.97-14.65)/14.65</f>
        <v>9.010238907849831E-2</v>
      </c>
      <c r="O42" s="43" t="s">
        <v>107</v>
      </c>
      <c r="P42" s="36">
        <f>(15.58-15.97)/15.97</f>
        <v>-2.4420788979336291E-2</v>
      </c>
      <c r="R42" s="36"/>
      <c r="U42" s="43" t="s">
        <v>108</v>
      </c>
      <c r="W42" s="43" t="s">
        <v>109</v>
      </c>
      <c r="X42" s="44">
        <f>(6.08-5.82)/5.82</f>
        <v>4.4673539518900303E-2</v>
      </c>
      <c r="Y42" s="43">
        <v>5.95</v>
      </c>
      <c r="Z42" s="44">
        <f>(5.95-6.08)/6.08</f>
        <v>-2.1381578947368404E-2</v>
      </c>
      <c r="AA42" s="43">
        <v>5.66</v>
      </c>
      <c r="AB42" s="44">
        <f>(5.66-5.95)/5.95</f>
        <v>-4.8739495798319335E-2</v>
      </c>
      <c r="AC42" s="43">
        <v>4.45</v>
      </c>
      <c r="AD42" s="36">
        <f>(AC42-AA42)/AA42</f>
        <v>-0.21378091872791519</v>
      </c>
      <c r="AE42" s="43">
        <v>4.29</v>
      </c>
      <c r="AF42" s="36">
        <f t="shared" si="100"/>
        <v>-3.5955056179775312E-2</v>
      </c>
      <c r="AG42" s="43">
        <v>4.97</v>
      </c>
      <c r="AH42" s="36">
        <f t="shared" si="101"/>
        <v>0.15850815850815844</v>
      </c>
      <c r="AI42" s="43"/>
      <c r="AJ42" s="36"/>
      <c r="AK42" s="43">
        <v>4.8600000000000003</v>
      </c>
      <c r="AL42" s="36"/>
      <c r="AM42" s="43">
        <v>5.59</v>
      </c>
      <c r="AN42" s="36">
        <f t="shared" si="102"/>
        <v>0.15020576131687233</v>
      </c>
      <c r="AO42" s="43"/>
      <c r="AP42" s="36"/>
    </row>
  </sheetData>
  <mergeCells count="24">
    <mergeCell ref="AT2:AT3"/>
    <mergeCell ref="AR2:AR3"/>
    <mergeCell ref="AH2:AH3"/>
    <mergeCell ref="AJ2:AJ3"/>
    <mergeCell ref="AL2:AL3"/>
    <mergeCell ref="AN2:AN3"/>
    <mergeCell ref="AP2:AP3"/>
    <mergeCell ref="X2:X3"/>
    <mergeCell ref="Z2:Z3"/>
    <mergeCell ref="AB2:AB3"/>
    <mergeCell ref="AD2:AD3"/>
    <mergeCell ref="AF2:AF3"/>
    <mergeCell ref="B1:V1"/>
    <mergeCell ref="A1:A3"/>
    <mergeCell ref="D2:D3"/>
    <mergeCell ref="F2:F3"/>
    <mergeCell ref="H2:H3"/>
    <mergeCell ref="J2:J3"/>
    <mergeCell ref="L2:L3"/>
    <mergeCell ref="N2:N3"/>
    <mergeCell ref="P2:P3"/>
    <mergeCell ref="R2:R3"/>
    <mergeCell ref="T2:T3"/>
    <mergeCell ref="V2:V3"/>
  </mergeCells>
  <phoneticPr fontId="14" type="noConversion"/>
  <conditionalFormatting sqref="P4">
    <cfRule type="cellIs" dxfId="653" priority="525" operator="lessThan">
      <formula>0</formula>
    </cfRule>
    <cfRule type="cellIs" dxfId="652" priority="526" operator="greaterThan">
      <formula>0</formula>
    </cfRule>
  </conditionalFormatting>
  <conditionalFormatting sqref="R4">
    <cfRule type="cellIs" dxfId="651" priority="481" operator="lessThan">
      <formula>0</formula>
    </cfRule>
    <cfRule type="cellIs" dxfId="650" priority="482" operator="greaterThan">
      <formula>0</formula>
    </cfRule>
  </conditionalFormatting>
  <conditionalFormatting sqref="T4">
    <cfRule type="cellIs" dxfId="649" priority="457" operator="lessThan">
      <formula>0</formula>
    </cfRule>
    <cfRule type="cellIs" dxfId="648" priority="458" operator="greaterThan">
      <formula>0</formula>
    </cfRule>
  </conditionalFormatting>
  <conditionalFormatting sqref="V4">
    <cfRule type="cellIs" dxfId="647" priority="411" operator="lessThan">
      <formula>0</formula>
    </cfRule>
    <cfRule type="cellIs" dxfId="646" priority="412" operator="greaterThan">
      <formula>0</formula>
    </cfRule>
  </conditionalFormatting>
  <conditionalFormatting sqref="X4">
    <cfRule type="cellIs" dxfId="645" priority="387" operator="lessThan">
      <formula>0</formula>
    </cfRule>
    <cfRule type="cellIs" dxfId="644" priority="388" operator="greaterThan">
      <formula>0</formula>
    </cfRule>
  </conditionalFormatting>
  <conditionalFormatting sqref="Z4">
    <cfRule type="cellIs" dxfId="643" priority="347" operator="lessThan">
      <formula>0</formula>
    </cfRule>
    <cfRule type="cellIs" dxfId="642" priority="348" operator="greaterThan">
      <formula>0</formula>
    </cfRule>
  </conditionalFormatting>
  <conditionalFormatting sqref="AB4">
    <cfRule type="cellIs" dxfId="641" priority="319" operator="lessThan">
      <formula>0</formula>
    </cfRule>
    <cfRule type="cellIs" dxfId="640" priority="320" operator="greaterThan">
      <formula>0</formula>
    </cfRule>
  </conditionalFormatting>
  <conditionalFormatting sqref="AD4">
    <cfRule type="cellIs" dxfId="639" priority="285" operator="lessThan">
      <formula>0</formula>
    </cfRule>
    <cfRule type="cellIs" dxfId="638" priority="286" operator="greaterThan">
      <formula>0</formula>
    </cfRule>
  </conditionalFormatting>
  <conditionalFormatting sqref="AF4">
    <cfRule type="cellIs" dxfId="637" priority="259" operator="lessThan">
      <formula>0</formula>
    </cfRule>
    <cfRule type="cellIs" dxfId="636" priority="260" operator="greaterThan">
      <formula>0</formula>
    </cfRule>
  </conditionalFormatting>
  <conditionalFormatting sqref="AH4">
    <cfRule type="cellIs" dxfId="635" priority="233" operator="lessThan">
      <formula>0</formula>
    </cfRule>
    <cfRule type="cellIs" dxfId="634" priority="234" operator="greaterThan">
      <formula>0</formula>
    </cfRule>
  </conditionalFormatting>
  <conditionalFormatting sqref="AJ4">
    <cfRule type="cellIs" dxfId="633" priority="151" operator="lessThan">
      <formula>0</formula>
    </cfRule>
    <cfRule type="cellIs" dxfId="632" priority="152" operator="greaterThan">
      <formula>0</formula>
    </cfRule>
  </conditionalFormatting>
  <conditionalFormatting sqref="AL4">
    <cfRule type="cellIs" dxfId="631" priority="127" operator="lessThan">
      <formula>0</formula>
    </cfRule>
    <cfRule type="cellIs" dxfId="630" priority="128" operator="greaterThan">
      <formula>0</formula>
    </cfRule>
  </conditionalFormatting>
  <conditionalFormatting sqref="AN4">
    <cfRule type="cellIs" dxfId="629" priority="91" operator="lessThan">
      <formula>0</formula>
    </cfRule>
    <cfRule type="cellIs" dxfId="628" priority="92" operator="greaterThan">
      <formula>0</formula>
    </cfRule>
  </conditionalFormatting>
  <conditionalFormatting sqref="AP4">
    <cfRule type="cellIs" dxfId="627" priority="67" operator="lessThan">
      <formula>0</formula>
    </cfRule>
    <cfRule type="cellIs" dxfId="626" priority="68" operator="greaterThan">
      <formula>0</formula>
    </cfRule>
  </conditionalFormatting>
  <conditionalFormatting sqref="R8">
    <cfRule type="cellIs" dxfId="625" priority="487" operator="lessThan">
      <formula>0</formula>
    </cfRule>
    <cfRule type="cellIs" dxfId="624" priority="488" operator="greaterThan">
      <formula>0</formula>
    </cfRule>
  </conditionalFormatting>
  <conditionalFormatting sqref="T8">
    <cfRule type="cellIs" dxfId="623" priority="465" operator="lessThan">
      <formula>0</formula>
    </cfRule>
    <cfRule type="cellIs" dxfId="622" priority="466" operator="greaterThan">
      <formula>0</formula>
    </cfRule>
  </conditionalFormatting>
  <conditionalFormatting sqref="V8">
    <cfRule type="cellIs" dxfId="621" priority="419" operator="lessThan">
      <formula>0</formula>
    </cfRule>
    <cfRule type="cellIs" dxfId="620" priority="420" operator="greaterThan">
      <formula>0</formula>
    </cfRule>
  </conditionalFormatting>
  <conditionalFormatting sqref="X8">
    <cfRule type="cellIs" dxfId="619" priority="395" operator="lessThan">
      <formula>0</formula>
    </cfRule>
    <cfRule type="cellIs" dxfId="618" priority="396" operator="greaterThan">
      <formula>0</formula>
    </cfRule>
  </conditionalFormatting>
  <conditionalFormatting sqref="Z8">
    <cfRule type="cellIs" dxfId="617" priority="371" operator="lessThan">
      <formula>0</formula>
    </cfRule>
    <cfRule type="cellIs" dxfId="616" priority="372" operator="greaterThan">
      <formula>0</formula>
    </cfRule>
  </conditionalFormatting>
  <conditionalFormatting sqref="AB8">
    <cfRule type="cellIs" dxfId="615" priority="331" operator="lessThan">
      <formula>0</formula>
    </cfRule>
    <cfRule type="cellIs" dxfId="614" priority="332" operator="greaterThan">
      <formula>0</formula>
    </cfRule>
  </conditionalFormatting>
  <conditionalFormatting sqref="AD8">
    <cfRule type="cellIs" dxfId="613" priority="229" operator="lessThan">
      <formula>0</formula>
    </cfRule>
    <cfRule type="cellIs" dxfId="612" priority="230" operator="greaterThan">
      <formula>0</formula>
    </cfRule>
  </conditionalFormatting>
  <conditionalFormatting sqref="AL8">
    <cfRule type="cellIs" dxfId="611" priority="105" operator="lessThan">
      <formula>0</formula>
    </cfRule>
    <cfRule type="cellIs" dxfId="610" priority="106" operator="greaterThan">
      <formula>0</formula>
    </cfRule>
  </conditionalFormatting>
  <conditionalFormatting sqref="AN8">
    <cfRule type="cellIs" dxfId="609" priority="101" operator="lessThan">
      <formula>0</formula>
    </cfRule>
    <cfRule type="cellIs" dxfId="608" priority="102" operator="greaterThan">
      <formula>0</formula>
    </cfRule>
  </conditionalFormatting>
  <conditionalFormatting sqref="AP8">
    <cfRule type="cellIs" dxfId="607" priority="73" operator="lessThan">
      <formula>0</formula>
    </cfRule>
    <cfRule type="cellIs" dxfId="606" priority="74" operator="greaterThan">
      <formula>0</formula>
    </cfRule>
  </conditionalFormatting>
  <conditionalFormatting sqref="R9">
    <cfRule type="cellIs" dxfId="605" priority="485" operator="lessThan">
      <formula>0</formula>
    </cfRule>
    <cfRule type="cellIs" dxfId="604" priority="486" operator="greaterThan">
      <formula>0</formula>
    </cfRule>
  </conditionalFormatting>
  <conditionalFormatting sqref="T9">
    <cfRule type="cellIs" dxfId="603" priority="463" operator="lessThan">
      <formula>0</formula>
    </cfRule>
    <cfRule type="cellIs" dxfId="602" priority="464" operator="greaterThan">
      <formula>0</formula>
    </cfRule>
  </conditionalFormatting>
  <conditionalFormatting sqref="V9">
    <cfRule type="cellIs" dxfId="601" priority="417" operator="lessThan">
      <formula>0</formula>
    </cfRule>
    <cfRule type="cellIs" dxfId="600" priority="418" operator="greaterThan">
      <formula>0</formula>
    </cfRule>
  </conditionalFormatting>
  <conditionalFormatting sqref="X9">
    <cfRule type="cellIs" dxfId="599" priority="393" operator="lessThan">
      <formula>0</formula>
    </cfRule>
    <cfRule type="cellIs" dxfId="598" priority="394" operator="greaterThan">
      <formula>0</formula>
    </cfRule>
  </conditionalFormatting>
  <conditionalFormatting sqref="Z9">
    <cfRule type="cellIs" dxfId="597" priority="369" operator="lessThan">
      <formula>0</formula>
    </cfRule>
    <cfRule type="cellIs" dxfId="596" priority="370" operator="greaterThan">
      <formula>0</formula>
    </cfRule>
  </conditionalFormatting>
  <conditionalFormatting sqref="AB9">
    <cfRule type="cellIs" dxfId="595" priority="329" operator="lessThan">
      <formula>0</formula>
    </cfRule>
    <cfRule type="cellIs" dxfId="594" priority="330" operator="greaterThan">
      <formula>0</formula>
    </cfRule>
  </conditionalFormatting>
  <conditionalFormatting sqref="AD9">
    <cfRule type="cellIs" dxfId="593" priority="301" operator="lessThan">
      <formula>0</formula>
    </cfRule>
    <cfRule type="cellIs" dxfId="592" priority="302" operator="greaterThan">
      <formula>0</formula>
    </cfRule>
  </conditionalFormatting>
  <conditionalFormatting sqref="AF9">
    <cfRule type="cellIs" dxfId="591" priority="271" operator="lessThan">
      <formula>0</formula>
    </cfRule>
    <cfRule type="cellIs" dxfId="590" priority="272" operator="greaterThan">
      <formula>0</formula>
    </cfRule>
  </conditionalFormatting>
  <conditionalFormatting sqref="AH9">
    <cfRule type="cellIs" dxfId="589" priority="245" operator="lessThan">
      <formula>0</formula>
    </cfRule>
    <cfRule type="cellIs" dxfId="588" priority="246" operator="greaterThan">
      <formula>0</formula>
    </cfRule>
  </conditionalFormatting>
  <conditionalFormatting sqref="AJ9">
    <cfRule type="cellIs" dxfId="587" priority="195" operator="lessThan">
      <formula>0</formula>
    </cfRule>
    <cfRule type="cellIs" dxfId="586" priority="196" operator="greaterThan">
      <formula>0</formula>
    </cfRule>
  </conditionalFormatting>
  <conditionalFormatting sqref="AL9">
    <cfRule type="cellIs" dxfId="585" priority="135" operator="lessThan">
      <formula>0</formula>
    </cfRule>
    <cfRule type="cellIs" dxfId="584" priority="136" operator="greaterThan">
      <formula>0</formula>
    </cfRule>
  </conditionalFormatting>
  <conditionalFormatting sqref="AN9">
    <cfRule type="cellIs" dxfId="583" priority="103" operator="lessThan">
      <formula>0</formula>
    </cfRule>
    <cfRule type="cellIs" dxfId="582" priority="104" operator="greaterThan">
      <formula>0</formula>
    </cfRule>
  </conditionalFormatting>
  <conditionalFormatting sqref="AP9">
    <cfRule type="cellIs" dxfId="581" priority="75" operator="lessThan">
      <formula>0</formula>
    </cfRule>
    <cfRule type="cellIs" dxfId="580" priority="76" operator="greaterThan">
      <formula>0</formula>
    </cfRule>
  </conditionalFormatting>
  <conditionalFormatting sqref="D12">
    <cfRule type="cellIs" dxfId="579" priority="185" operator="lessThan">
      <formula>0</formula>
    </cfRule>
    <cfRule type="cellIs" dxfId="578" priority="186" operator="greaterThan">
      <formula>0</formula>
    </cfRule>
  </conditionalFormatting>
  <conditionalFormatting sqref="F12">
    <cfRule type="cellIs" dxfId="577" priority="183" operator="lessThan">
      <formula>0</formula>
    </cfRule>
    <cfRule type="cellIs" dxfId="576" priority="184" operator="greaterThan">
      <formula>0</formula>
    </cfRule>
  </conditionalFormatting>
  <conditionalFormatting sqref="H12">
    <cfRule type="cellIs" dxfId="575" priority="181" operator="lessThan">
      <formula>0</formula>
    </cfRule>
    <cfRule type="cellIs" dxfId="574" priority="182" operator="greaterThan">
      <formula>0</formula>
    </cfRule>
  </conditionalFormatting>
  <conditionalFormatting sqref="J12">
    <cfRule type="cellIs" dxfId="573" priority="179" operator="lessThan">
      <formula>0</formula>
    </cfRule>
    <cfRule type="cellIs" dxfId="572" priority="180" operator="greaterThan">
      <formula>0</formula>
    </cfRule>
  </conditionalFormatting>
  <conditionalFormatting sqref="L12">
    <cfRule type="cellIs" dxfId="571" priority="177" operator="lessThan">
      <formula>0</formula>
    </cfRule>
    <cfRule type="cellIs" dxfId="570" priority="178" operator="greaterThan">
      <formula>0</formula>
    </cfRule>
  </conditionalFormatting>
  <conditionalFormatting sqref="N12">
    <cfRule type="cellIs" dxfId="569" priority="175" operator="lessThan">
      <formula>0</formula>
    </cfRule>
    <cfRule type="cellIs" dxfId="568" priority="176" operator="greaterThan">
      <formula>0</formula>
    </cfRule>
  </conditionalFormatting>
  <conditionalFormatting sqref="P12">
    <cfRule type="cellIs" dxfId="567" priority="173" operator="lessThan">
      <formula>0</formula>
    </cfRule>
    <cfRule type="cellIs" dxfId="566" priority="174" operator="greaterThan">
      <formula>0</formula>
    </cfRule>
  </conditionalFormatting>
  <conditionalFormatting sqref="R12">
    <cfRule type="cellIs" dxfId="565" priority="171" operator="lessThan">
      <formula>0</formula>
    </cfRule>
    <cfRule type="cellIs" dxfId="564" priority="172" operator="greaterThan">
      <formula>0</formula>
    </cfRule>
  </conditionalFormatting>
  <conditionalFormatting sqref="T12">
    <cfRule type="cellIs" dxfId="563" priority="169" operator="lessThan">
      <formula>0</formula>
    </cfRule>
    <cfRule type="cellIs" dxfId="562" priority="170" operator="greaterThan">
      <formula>0</formula>
    </cfRule>
  </conditionalFormatting>
  <conditionalFormatting sqref="V12">
    <cfRule type="cellIs" dxfId="561" priority="167" operator="lessThan">
      <formula>0</formula>
    </cfRule>
    <cfRule type="cellIs" dxfId="560" priority="168" operator="greaterThan">
      <formula>0</formula>
    </cfRule>
  </conditionalFormatting>
  <conditionalFormatting sqref="X12">
    <cfRule type="cellIs" dxfId="559" priority="165" operator="lessThan">
      <formula>0</formula>
    </cfRule>
    <cfRule type="cellIs" dxfId="558" priority="166" operator="greaterThan">
      <formula>0</formula>
    </cfRule>
  </conditionalFormatting>
  <conditionalFormatting sqref="Z12">
    <cfRule type="cellIs" dxfId="557" priority="163" operator="lessThan">
      <formula>0</formula>
    </cfRule>
    <cfRule type="cellIs" dxfId="556" priority="164" operator="greaterThan">
      <formula>0</formula>
    </cfRule>
  </conditionalFormatting>
  <conditionalFormatting sqref="AB12">
    <cfRule type="cellIs" dxfId="555" priority="161" operator="lessThan">
      <formula>0</formula>
    </cfRule>
    <cfRule type="cellIs" dxfId="554" priority="162" operator="greaterThan">
      <formula>0</formula>
    </cfRule>
  </conditionalFormatting>
  <conditionalFormatting sqref="AD12">
    <cfRule type="cellIs" dxfId="553" priority="159" operator="lessThan">
      <formula>0</formula>
    </cfRule>
    <cfRule type="cellIs" dxfId="552" priority="160" operator="greaterThan">
      <formula>0</formula>
    </cfRule>
  </conditionalFormatting>
  <conditionalFormatting sqref="AF12">
    <cfRule type="cellIs" dxfId="551" priority="157" operator="lessThan">
      <formula>0</formula>
    </cfRule>
    <cfRule type="cellIs" dxfId="550" priority="158" operator="greaterThan">
      <formula>0</formula>
    </cfRule>
  </conditionalFormatting>
  <conditionalFormatting sqref="AH12">
    <cfRule type="cellIs" dxfId="549" priority="155" operator="lessThan">
      <formula>0</formula>
    </cfRule>
    <cfRule type="cellIs" dxfId="548" priority="156" operator="greaterThan">
      <formula>0</formula>
    </cfRule>
  </conditionalFormatting>
  <conditionalFormatting sqref="AJ12">
    <cfRule type="cellIs" dxfId="547" priority="153" operator="lessThan">
      <formula>0</formula>
    </cfRule>
    <cfRule type="cellIs" dxfId="546" priority="154" operator="greaterThan">
      <formula>0</formula>
    </cfRule>
  </conditionalFormatting>
  <conditionalFormatting sqref="AL12">
    <cfRule type="cellIs" dxfId="545" priority="99" operator="lessThan">
      <formula>0</formula>
    </cfRule>
    <cfRule type="cellIs" dxfId="544" priority="100" operator="greaterThan">
      <formula>0</formula>
    </cfRule>
  </conditionalFormatting>
  <conditionalFormatting sqref="AN12">
    <cfRule type="cellIs" dxfId="543" priority="97" operator="lessThan">
      <formula>0</formula>
    </cfRule>
    <cfRule type="cellIs" dxfId="542" priority="98" operator="greaterThan">
      <formula>0</formula>
    </cfRule>
  </conditionalFormatting>
  <conditionalFormatting sqref="AP12">
    <cfRule type="cellIs" dxfId="541" priority="71" operator="lessThan">
      <formula>0</formula>
    </cfRule>
    <cfRule type="cellIs" dxfId="540" priority="72" operator="greaterThan">
      <formula>0</formula>
    </cfRule>
  </conditionalFormatting>
  <conditionalFormatting sqref="D15">
    <cfRule type="cellIs" dxfId="539" priority="553" operator="lessThan">
      <formula>0</formula>
    </cfRule>
    <cfRule type="cellIs" dxfId="538" priority="554" operator="greaterThan">
      <formula>0</formula>
    </cfRule>
  </conditionalFormatting>
  <conditionalFormatting sqref="F15">
    <cfRule type="cellIs" dxfId="537" priority="551" operator="lessThan">
      <formula>0</formula>
    </cfRule>
    <cfRule type="cellIs" dxfId="536" priority="552" operator="greaterThan">
      <formula>0</formula>
    </cfRule>
  </conditionalFormatting>
  <conditionalFormatting sqref="H15">
    <cfRule type="cellIs" dxfId="535" priority="549" operator="lessThan">
      <formula>0</formula>
    </cfRule>
    <cfRule type="cellIs" dxfId="534" priority="550" operator="greaterThan">
      <formula>0</formula>
    </cfRule>
  </conditionalFormatting>
  <conditionalFormatting sqref="J15">
    <cfRule type="cellIs" dxfId="533" priority="547" operator="lessThan">
      <formula>0</formula>
    </cfRule>
    <cfRule type="cellIs" dxfId="532" priority="548" operator="greaterThan">
      <formula>0</formula>
    </cfRule>
  </conditionalFormatting>
  <conditionalFormatting sqref="L15">
    <cfRule type="cellIs" dxfId="531" priority="545" operator="lessThan">
      <formula>0</formula>
    </cfRule>
    <cfRule type="cellIs" dxfId="530" priority="546" operator="greaterThan">
      <formula>0</formula>
    </cfRule>
  </conditionalFormatting>
  <conditionalFormatting sqref="D16">
    <cfRule type="cellIs" dxfId="529" priority="555" operator="greaterThan">
      <formula>0</formula>
    </cfRule>
    <cfRule type="cellIs" dxfId="528" priority="556" operator="lessThan">
      <formula>0</formula>
    </cfRule>
  </conditionalFormatting>
  <conditionalFormatting sqref="F16">
    <cfRule type="cellIs" dxfId="527" priority="541" operator="greaterThan">
      <formula>0</formula>
    </cfRule>
    <cfRule type="cellIs" dxfId="526" priority="542" operator="lessThan">
      <formula>0</formula>
    </cfRule>
  </conditionalFormatting>
  <conditionalFormatting sqref="H16">
    <cfRule type="cellIs" dxfId="525" priority="539" operator="greaterThan">
      <formula>0</formula>
    </cfRule>
    <cfRule type="cellIs" dxfId="524" priority="540" operator="lessThan">
      <formula>0</formula>
    </cfRule>
  </conditionalFormatting>
  <conditionalFormatting sqref="J16">
    <cfRule type="cellIs" dxfId="523" priority="537" operator="greaterThan">
      <formula>0</formula>
    </cfRule>
    <cfRule type="cellIs" dxfId="522" priority="538" operator="lessThan">
      <formula>0</formula>
    </cfRule>
  </conditionalFormatting>
  <conditionalFormatting sqref="L16">
    <cfRule type="cellIs" dxfId="521" priority="535" operator="greaterThan">
      <formula>0</formula>
    </cfRule>
    <cfRule type="cellIs" dxfId="520" priority="536" operator="lessThan">
      <formula>0</formula>
    </cfRule>
  </conditionalFormatting>
  <conditionalFormatting sqref="N16">
    <cfRule type="cellIs" dxfId="519" priority="533" operator="greaterThan">
      <formula>0</formula>
    </cfRule>
    <cfRule type="cellIs" dxfId="518" priority="534" operator="lessThan">
      <formula>0</formula>
    </cfRule>
  </conditionalFormatting>
  <conditionalFormatting sqref="P16">
    <cfRule type="cellIs" dxfId="517" priority="527" operator="greaterThan">
      <formula>0</formula>
    </cfRule>
    <cfRule type="cellIs" dxfId="516" priority="528" operator="lessThan">
      <formula>0</formula>
    </cfRule>
  </conditionalFormatting>
  <conditionalFormatting sqref="R16">
    <cfRule type="cellIs" dxfId="515" priority="499" operator="greaterThan">
      <formula>0</formula>
    </cfRule>
    <cfRule type="cellIs" dxfId="514" priority="500" operator="lessThan">
      <formula>0</formula>
    </cfRule>
  </conditionalFormatting>
  <conditionalFormatting sqref="T16">
    <cfRule type="cellIs" dxfId="513" priority="475" operator="greaterThan">
      <formula>0</formula>
    </cfRule>
    <cfRule type="cellIs" dxfId="512" priority="476" operator="lessThan">
      <formula>0</formula>
    </cfRule>
  </conditionalFormatting>
  <conditionalFormatting sqref="V16">
    <cfRule type="cellIs" dxfId="511" priority="429" operator="greaterThan">
      <formula>0</formula>
    </cfRule>
    <cfRule type="cellIs" dxfId="510" priority="430" operator="lessThan">
      <formula>0</formula>
    </cfRule>
  </conditionalFormatting>
  <conditionalFormatting sqref="X16">
    <cfRule type="cellIs" dxfId="509" priority="405" operator="greaterThan">
      <formula>0</formula>
    </cfRule>
    <cfRule type="cellIs" dxfId="508" priority="406" operator="lessThan">
      <formula>0</formula>
    </cfRule>
  </conditionalFormatting>
  <conditionalFormatting sqref="Z16">
    <cfRule type="cellIs" dxfId="507" priority="379" operator="greaterThan">
      <formula>0</formula>
    </cfRule>
    <cfRule type="cellIs" dxfId="506" priority="380" operator="lessThan">
      <formula>0</formula>
    </cfRule>
  </conditionalFormatting>
  <conditionalFormatting sqref="AB16">
    <cfRule type="cellIs" dxfId="505" priority="339" operator="greaterThan">
      <formula>0</formula>
    </cfRule>
    <cfRule type="cellIs" dxfId="504" priority="340" operator="lessThan">
      <formula>0</formula>
    </cfRule>
  </conditionalFormatting>
  <conditionalFormatting sqref="AD16">
    <cfRule type="cellIs" dxfId="503" priority="311" operator="greaterThan">
      <formula>0</formula>
    </cfRule>
    <cfRule type="cellIs" dxfId="502" priority="312" operator="lessThan">
      <formula>0</formula>
    </cfRule>
  </conditionalFormatting>
  <conditionalFormatting sqref="AF16">
    <cfRule type="cellIs" dxfId="501" priority="279" operator="greaterThan">
      <formula>0</formula>
    </cfRule>
    <cfRule type="cellIs" dxfId="500" priority="280" operator="lessThan">
      <formula>0</formula>
    </cfRule>
  </conditionalFormatting>
  <conditionalFormatting sqref="AH16">
    <cfRule type="cellIs" dxfId="499" priority="253" operator="greaterThan">
      <formula>0</formula>
    </cfRule>
    <cfRule type="cellIs" dxfId="498" priority="254" operator="lessThan">
      <formula>0</formula>
    </cfRule>
  </conditionalFormatting>
  <conditionalFormatting sqref="AJ16">
    <cfRule type="cellIs" dxfId="497" priority="203" operator="greaterThan">
      <formula>0</formula>
    </cfRule>
    <cfRule type="cellIs" dxfId="496" priority="204" operator="lessThan">
      <formula>0</formula>
    </cfRule>
  </conditionalFormatting>
  <conditionalFormatting sqref="AL16">
    <cfRule type="cellIs" dxfId="495" priority="143" operator="greaterThan">
      <formula>0</formula>
    </cfRule>
    <cfRule type="cellIs" dxfId="494" priority="144" operator="lessThan">
      <formula>0</formula>
    </cfRule>
  </conditionalFormatting>
  <conditionalFormatting sqref="AN16">
    <cfRule type="cellIs" dxfId="493" priority="121" operator="greaterThan">
      <formula>0</formula>
    </cfRule>
    <cfRule type="cellIs" dxfId="492" priority="122" operator="lessThan">
      <formula>0</formula>
    </cfRule>
  </conditionalFormatting>
  <conditionalFormatting sqref="AP16">
    <cfRule type="cellIs" dxfId="491" priority="83" operator="greaterThan">
      <formula>0</formula>
    </cfRule>
    <cfRule type="cellIs" dxfId="490" priority="84" operator="lessThan">
      <formula>0</formula>
    </cfRule>
  </conditionalFormatting>
  <conditionalFormatting sqref="AD17">
    <cfRule type="cellIs" dxfId="489" priority="219" operator="greaterThan">
      <formula>0</formula>
    </cfRule>
    <cfRule type="cellIs" dxfId="488" priority="220" operator="lessThan">
      <formula>0</formula>
    </cfRule>
  </conditionalFormatting>
  <conditionalFormatting sqref="AL17">
    <cfRule type="cellIs" dxfId="487" priority="95" operator="greaterThan">
      <formula>0</formula>
    </cfRule>
    <cfRule type="cellIs" dxfId="486" priority="96" operator="lessThan">
      <formula>0</formula>
    </cfRule>
  </conditionalFormatting>
  <conditionalFormatting sqref="AN17">
    <cfRule type="cellIs" dxfId="485" priority="93" operator="greaterThan">
      <formula>0</formula>
    </cfRule>
    <cfRule type="cellIs" dxfId="484" priority="94" operator="lessThan">
      <formula>0</formula>
    </cfRule>
  </conditionalFormatting>
  <conditionalFormatting sqref="AP17">
    <cfRule type="cellIs" dxfId="483" priority="69" operator="greaterThan">
      <formula>0</formula>
    </cfRule>
    <cfRule type="cellIs" dxfId="482" priority="70" operator="lessThan">
      <formula>0</formula>
    </cfRule>
  </conditionalFormatting>
  <conditionalFormatting sqref="R20">
    <cfRule type="cellIs" dxfId="481" priority="483" operator="lessThan">
      <formula>0</formula>
    </cfRule>
    <cfRule type="cellIs" dxfId="480" priority="484" operator="greaterThan">
      <formula>0</formula>
    </cfRule>
  </conditionalFormatting>
  <conditionalFormatting sqref="T20">
    <cfRule type="cellIs" dxfId="479" priority="461" operator="lessThan">
      <formula>0</formula>
    </cfRule>
    <cfRule type="cellIs" dxfId="478" priority="462" operator="greaterThan">
      <formula>0</formula>
    </cfRule>
  </conditionalFormatting>
  <conditionalFormatting sqref="V20">
    <cfRule type="cellIs" dxfId="477" priority="415" operator="lessThan">
      <formula>0</formula>
    </cfRule>
    <cfRule type="cellIs" dxfId="476" priority="416" operator="greaterThan">
      <formula>0</formula>
    </cfRule>
  </conditionalFormatting>
  <conditionalFormatting sqref="X20">
    <cfRule type="cellIs" dxfId="475" priority="385" operator="lessThan">
      <formula>0</formula>
    </cfRule>
    <cfRule type="cellIs" dxfId="474" priority="386" operator="greaterThan">
      <formula>0</formula>
    </cfRule>
  </conditionalFormatting>
  <conditionalFormatting sqref="Z20">
    <cfRule type="cellIs" dxfId="473" priority="345" operator="lessThan">
      <formula>0</formula>
    </cfRule>
    <cfRule type="cellIs" dxfId="472" priority="346" operator="greaterThan">
      <formula>0</formula>
    </cfRule>
  </conditionalFormatting>
  <conditionalFormatting sqref="AB20">
    <cfRule type="cellIs" dxfId="471" priority="317" operator="lessThan">
      <formula>0</formula>
    </cfRule>
    <cfRule type="cellIs" dxfId="470" priority="318" operator="greaterThan">
      <formula>0</formula>
    </cfRule>
  </conditionalFormatting>
  <conditionalFormatting sqref="AD20">
    <cfRule type="cellIs" dxfId="469" priority="287" operator="lessThan">
      <formula>0</formula>
    </cfRule>
    <cfRule type="cellIs" dxfId="468" priority="288" operator="greaterThan">
      <formula>0</formula>
    </cfRule>
  </conditionalFormatting>
  <conditionalFormatting sqref="AF20">
    <cfRule type="cellIs" dxfId="467" priority="261" operator="lessThan">
      <formula>0</formula>
    </cfRule>
    <cfRule type="cellIs" dxfId="466" priority="262" operator="greaterThan">
      <formula>0</formula>
    </cfRule>
  </conditionalFormatting>
  <conditionalFormatting sqref="AH20">
    <cfRule type="cellIs" dxfId="465" priority="235" operator="lessThan">
      <formula>0</formula>
    </cfRule>
    <cfRule type="cellIs" dxfId="464" priority="236" operator="greaterThan">
      <formula>0</formula>
    </cfRule>
  </conditionalFormatting>
  <conditionalFormatting sqref="AJ20">
    <cfRule type="cellIs" dxfId="463" priority="149" operator="lessThan">
      <formula>0</formula>
    </cfRule>
    <cfRule type="cellIs" dxfId="462" priority="150" operator="greaterThan">
      <formula>0</formula>
    </cfRule>
  </conditionalFormatting>
  <conditionalFormatting sqref="AL20">
    <cfRule type="cellIs" dxfId="461" priority="129" operator="lessThan">
      <formula>0</formula>
    </cfRule>
    <cfRule type="cellIs" dxfId="460" priority="130" operator="greaterThan">
      <formula>0</formula>
    </cfRule>
  </conditionalFormatting>
  <conditionalFormatting sqref="AN20">
    <cfRule type="cellIs" dxfId="459" priority="89" operator="lessThan">
      <formula>0</formula>
    </cfRule>
    <cfRule type="cellIs" dxfId="458" priority="90" operator="greaterThan">
      <formula>0</formula>
    </cfRule>
  </conditionalFormatting>
  <conditionalFormatting sqref="AP20">
    <cfRule type="cellIs" dxfId="457" priority="65" operator="lessThan">
      <formula>0</formula>
    </cfRule>
    <cfRule type="cellIs" dxfId="456" priority="66" operator="greaterThan">
      <formula>0</formula>
    </cfRule>
  </conditionalFormatting>
  <conditionalFormatting sqref="D25">
    <cfRule type="cellIs" dxfId="455" priority="569" operator="greaterThan">
      <formula>0</formula>
    </cfRule>
    <cfRule type="cellIs" dxfId="454" priority="570" operator="lessThan">
      <formula>0</formula>
    </cfRule>
  </conditionalFormatting>
  <conditionalFormatting sqref="F25">
    <cfRule type="cellIs" dxfId="453" priority="567" operator="greaterThan">
      <formula>0</formula>
    </cfRule>
    <cfRule type="cellIs" dxfId="452" priority="568" operator="lessThan">
      <formula>0</formula>
    </cfRule>
  </conditionalFormatting>
  <conditionalFormatting sqref="H25">
    <cfRule type="cellIs" dxfId="451" priority="565" operator="greaterThan">
      <formula>0</formula>
    </cfRule>
    <cfRule type="cellIs" dxfId="450" priority="566" operator="lessThan">
      <formula>0</formula>
    </cfRule>
  </conditionalFormatting>
  <conditionalFormatting sqref="J25">
    <cfRule type="cellIs" dxfId="449" priority="563" operator="greaterThan">
      <formula>0</formula>
    </cfRule>
    <cfRule type="cellIs" dxfId="448" priority="564" operator="lessThan">
      <formula>0</formula>
    </cfRule>
  </conditionalFormatting>
  <conditionalFormatting sqref="N25">
    <cfRule type="cellIs" dxfId="447" priority="559" operator="greaterThan">
      <formula>0</formula>
    </cfRule>
    <cfRule type="cellIs" dxfId="446" priority="560" operator="lessThan">
      <formula>0</formula>
    </cfRule>
  </conditionalFormatting>
  <conditionalFormatting sqref="P25">
    <cfRule type="cellIs" dxfId="445" priority="557" operator="greaterThan">
      <formula>0</formula>
    </cfRule>
    <cfRule type="cellIs" dxfId="444" priority="558" operator="lessThan">
      <formula>0</formula>
    </cfRule>
  </conditionalFormatting>
  <conditionalFormatting sqref="R25">
    <cfRule type="cellIs" dxfId="443" priority="501" operator="greaterThan">
      <formula>0</formula>
    </cfRule>
    <cfRule type="cellIs" dxfId="442" priority="502" operator="lessThan">
      <formula>0</formula>
    </cfRule>
  </conditionalFormatting>
  <conditionalFormatting sqref="T25">
    <cfRule type="cellIs" dxfId="441" priority="477" operator="greaterThan">
      <formula>0</formula>
    </cfRule>
    <cfRule type="cellIs" dxfId="440" priority="478" operator="lessThan">
      <formula>0</formula>
    </cfRule>
  </conditionalFormatting>
  <conditionalFormatting sqref="V25">
    <cfRule type="cellIs" dxfId="439" priority="431" operator="greaterThan">
      <formula>0</formula>
    </cfRule>
    <cfRule type="cellIs" dxfId="438" priority="432" operator="lessThan">
      <formula>0</formula>
    </cfRule>
  </conditionalFormatting>
  <conditionalFormatting sqref="X25">
    <cfRule type="cellIs" dxfId="437" priority="407" operator="greaterThan">
      <formula>0</formula>
    </cfRule>
    <cfRule type="cellIs" dxfId="436" priority="408" operator="lessThan">
      <formula>0</formula>
    </cfRule>
  </conditionalFormatting>
  <conditionalFormatting sqref="Z25">
    <cfRule type="cellIs" dxfId="435" priority="381" operator="greaterThan">
      <formula>0</formula>
    </cfRule>
    <cfRule type="cellIs" dxfId="434" priority="382" operator="lessThan">
      <formula>0</formula>
    </cfRule>
  </conditionalFormatting>
  <conditionalFormatting sqref="AB25">
    <cfRule type="cellIs" dxfId="433" priority="341" operator="greaterThan">
      <formula>0</formula>
    </cfRule>
    <cfRule type="cellIs" dxfId="432" priority="342" operator="lessThan">
      <formula>0</formula>
    </cfRule>
  </conditionalFormatting>
  <conditionalFormatting sqref="AD25">
    <cfRule type="cellIs" dxfId="431" priority="313" operator="greaterThan">
      <formula>0</formula>
    </cfRule>
    <cfRule type="cellIs" dxfId="430" priority="314" operator="lessThan">
      <formula>0</formula>
    </cfRule>
  </conditionalFormatting>
  <conditionalFormatting sqref="AF25">
    <cfRule type="cellIs" dxfId="429" priority="281" operator="greaterThan">
      <formula>0</formula>
    </cfRule>
    <cfRule type="cellIs" dxfId="428" priority="282" operator="lessThan">
      <formula>0</formula>
    </cfRule>
  </conditionalFormatting>
  <conditionalFormatting sqref="AH25">
    <cfRule type="cellIs" dxfId="427" priority="255" operator="greaterThan">
      <formula>0</formula>
    </cfRule>
    <cfRule type="cellIs" dxfId="426" priority="256" operator="lessThan">
      <formula>0</formula>
    </cfRule>
  </conditionalFormatting>
  <conditionalFormatting sqref="AJ25">
    <cfRule type="cellIs" dxfId="425" priority="205" operator="greaterThan">
      <formula>0</formula>
    </cfRule>
    <cfRule type="cellIs" dxfId="424" priority="206" operator="lessThan">
      <formula>0</formula>
    </cfRule>
  </conditionalFormatting>
  <conditionalFormatting sqref="AL25">
    <cfRule type="cellIs" dxfId="423" priority="145" operator="greaterThan">
      <formula>0</formula>
    </cfRule>
    <cfRule type="cellIs" dxfId="422" priority="146" operator="lessThan">
      <formula>0</formula>
    </cfRule>
  </conditionalFormatting>
  <conditionalFormatting sqref="AN25">
    <cfRule type="cellIs" dxfId="421" priority="123" operator="greaterThan">
      <formula>0</formula>
    </cfRule>
    <cfRule type="cellIs" dxfId="420" priority="124" operator="lessThan">
      <formula>0</formula>
    </cfRule>
  </conditionalFormatting>
  <conditionalFormatting sqref="AP25">
    <cfRule type="cellIs" dxfId="419" priority="85" operator="greaterThan">
      <formula>0</formula>
    </cfRule>
    <cfRule type="cellIs" dxfId="418" priority="86" operator="lessThan">
      <formula>0</formula>
    </cfRule>
  </conditionalFormatting>
  <conditionalFormatting sqref="D29">
    <cfRule type="cellIs" dxfId="417" priority="629" operator="lessThan">
      <formula>0</formula>
    </cfRule>
    <cfRule type="cellIs" dxfId="416" priority="630" operator="greaterThan">
      <formula>0</formula>
    </cfRule>
  </conditionalFormatting>
  <conditionalFormatting sqref="F29">
    <cfRule type="cellIs" dxfId="415" priority="621" operator="lessThan">
      <formula>0</formula>
    </cfRule>
    <cfRule type="cellIs" dxfId="414" priority="622" operator="greaterThan">
      <formula>0</formula>
    </cfRule>
  </conditionalFormatting>
  <conditionalFormatting sqref="H29">
    <cfRule type="cellIs" dxfId="413" priority="617" operator="lessThan">
      <formula>0</formula>
    </cfRule>
    <cfRule type="cellIs" dxfId="412" priority="618" operator="greaterThan">
      <formula>0</formula>
    </cfRule>
  </conditionalFormatting>
  <conditionalFormatting sqref="J29">
    <cfRule type="cellIs" dxfId="411" priority="613" operator="lessThan">
      <formula>0</formula>
    </cfRule>
    <cfRule type="cellIs" dxfId="410" priority="614" operator="greaterThan">
      <formula>0</formula>
    </cfRule>
  </conditionalFormatting>
  <conditionalFormatting sqref="L29">
    <cfRule type="cellIs" dxfId="409" priority="609" operator="lessThan">
      <formula>0</formula>
    </cfRule>
    <cfRule type="cellIs" dxfId="408" priority="610" operator="greaterThan">
      <formula>0</formula>
    </cfRule>
  </conditionalFormatting>
  <conditionalFormatting sqref="N29">
    <cfRule type="cellIs" dxfId="407" priority="605" operator="lessThan">
      <formula>0</formula>
    </cfRule>
    <cfRule type="cellIs" dxfId="406" priority="606" operator="greaterThan">
      <formula>0</formula>
    </cfRule>
  </conditionalFormatting>
  <conditionalFormatting sqref="F37">
    <cfRule type="cellIs" dxfId="405" priority="601" operator="lessThan">
      <formula>0</formula>
    </cfRule>
    <cfRule type="cellIs" dxfId="404" priority="602" operator="greaterThan">
      <formula>0</formula>
    </cfRule>
  </conditionalFormatting>
  <conditionalFormatting sqref="X37">
    <cfRule type="cellIs" dxfId="403" priority="363" operator="lessThan">
      <formula>0</formula>
    </cfRule>
    <cfRule type="cellIs" dxfId="402" priority="364" operator="greaterThan">
      <formula>0</formula>
    </cfRule>
  </conditionalFormatting>
  <conditionalFormatting sqref="Z37">
    <cfRule type="cellIs" dxfId="401" priority="355" operator="lessThan">
      <formula>0</formula>
    </cfRule>
    <cfRule type="cellIs" dxfId="400" priority="356" operator="greaterThan">
      <formula>0</formula>
    </cfRule>
  </conditionalFormatting>
  <conditionalFormatting sqref="AB37">
    <cfRule type="cellIs" dxfId="399" priority="327" operator="lessThan">
      <formula>0</formula>
    </cfRule>
    <cfRule type="cellIs" dxfId="398" priority="328" operator="greaterThan">
      <formula>0</formula>
    </cfRule>
  </conditionalFormatting>
  <conditionalFormatting sqref="R40">
    <cfRule type="cellIs" dxfId="397" priority="489" operator="greaterThan">
      <formula>0</formula>
    </cfRule>
    <cfRule type="cellIs" dxfId="396" priority="490" operator="lessThan">
      <formula>0</formula>
    </cfRule>
  </conditionalFormatting>
  <conditionalFormatting sqref="T40">
    <cfRule type="cellIs" dxfId="395" priority="467" operator="greaterThan">
      <formula>0</formula>
    </cfRule>
    <cfRule type="cellIs" dxfId="394" priority="468" operator="lessThan">
      <formula>0</formula>
    </cfRule>
  </conditionalFormatting>
  <conditionalFormatting sqref="V40">
    <cfRule type="cellIs" dxfId="393" priority="421" operator="greaterThan">
      <formula>0</formula>
    </cfRule>
    <cfRule type="cellIs" dxfId="392" priority="422" operator="lessThan">
      <formula>0</formula>
    </cfRule>
  </conditionalFormatting>
  <conditionalFormatting sqref="X40">
    <cfRule type="cellIs" dxfId="391" priority="359" operator="greaterThan">
      <formula>0</formula>
    </cfRule>
    <cfRule type="cellIs" dxfId="390" priority="360" operator="lessThan">
      <formula>0</formula>
    </cfRule>
  </conditionalFormatting>
  <conditionalFormatting sqref="Z40">
    <cfRule type="cellIs" dxfId="389" priority="351" operator="greaterThan">
      <formula>0</formula>
    </cfRule>
    <cfRule type="cellIs" dxfId="388" priority="352" operator="lessThan">
      <formula>0</formula>
    </cfRule>
  </conditionalFormatting>
  <conditionalFormatting sqref="AB40">
    <cfRule type="cellIs" dxfId="387" priority="323" operator="greaterThan">
      <formula>0</formula>
    </cfRule>
    <cfRule type="cellIs" dxfId="386" priority="324" operator="lessThan">
      <formula>0</formula>
    </cfRule>
  </conditionalFormatting>
  <conditionalFormatting sqref="AD40">
    <cfRule type="cellIs" dxfId="385" priority="217" operator="greaterThan">
      <formula>0</formula>
    </cfRule>
    <cfRule type="cellIs" dxfId="384" priority="218" operator="lessThan">
      <formula>0</formula>
    </cfRule>
  </conditionalFormatting>
  <conditionalFormatting sqref="AF40">
    <cfRule type="cellIs" dxfId="383" priority="213" operator="greaterThan">
      <formula>0</formula>
    </cfRule>
    <cfRule type="cellIs" dxfId="382" priority="214" operator="lessThan">
      <formula>0</formula>
    </cfRule>
  </conditionalFormatting>
  <conditionalFormatting sqref="AH40">
    <cfRule type="cellIs" dxfId="381" priority="209" operator="greaterThan">
      <formula>0</formula>
    </cfRule>
    <cfRule type="cellIs" dxfId="380" priority="210" operator="lessThan">
      <formula>0</formula>
    </cfRule>
  </conditionalFormatting>
  <conditionalFormatting sqref="AJ40">
    <cfRule type="cellIs" dxfId="379" priority="61" operator="greaterThan">
      <formula>0</formula>
    </cfRule>
    <cfRule type="cellIs" dxfId="378" priority="62" operator="lessThan">
      <formula>0</formula>
    </cfRule>
  </conditionalFormatting>
  <conditionalFormatting sqref="AL40">
    <cfRule type="cellIs" dxfId="377" priority="57" operator="greaterThan">
      <formula>0</formula>
    </cfRule>
    <cfRule type="cellIs" dxfId="376" priority="58" operator="lessThan">
      <formula>0</formula>
    </cfRule>
  </conditionalFormatting>
  <conditionalFormatting sqref="AN40">
    <cfRule type="cellIs" dxfId="375" priority="53" operator="greaterThan">
      <formula>0</formula>
    </cfRule>
    <cfRule type="cellIs" dxfId="374" priority="54" operator="lessThan">
      <formula>0</formula>
    </cfRule>
  </conditionalFormatting>
  <conditionalFormatting sqref="AP40">
    <cfRule type="cellIs" dxfId="373" priority="49" operator="greaterThan">
      <formula>0</formula>
    </cfRule>
    <cfRule type="cellIs" dxfId="372" priority="50" operator="lessThan">
      <formula>0</formula>
    </cfRule>
  </conditionalFormatting>
  <conditionalFormatting sqref="X42">
    <cfRule type="cellIs" dxfId="371" priority="357" operator="lessThan">
      <formula>0</formula>
    </cfRule>
    <cfRule type="cellIs" dxfId="370" priority="358" operator="greaterThan">
      <formula>0</formula>
    </cfRule>
  </conditionalFormatting>
  <conditionalFormatting sqref="Z42">
    <cfRule type="cellIs" dxfId="369" priority="349" operator="lessThan">
      <formula>0</formula>
    </cfRule>
    <cfRule type="cellIs" dxfId="368" priority="350" operator="greaterThan">
      <formula>0</formula>
    </cfRule>
  </conditionalFormatting>
  <conditionalFormatting sqref="AB42">
    <cfRule type="cellIs" dxfId="367" priority="321" operator="lessThan">
      <formula>0</formula>
    </cfRule>
    <cfRule type="cellIs" dxfId="366" priority="322" operator="greaterThan">
      <formula>0</formula>
    </cfRule>
  </conditionalFormatting>
  <conditionalFormatting sqref="D7:D11">
    <cfRule type="cellIs" dxfId="365" priority="523" operator="lessThan">
      <formula>0</formula>
    </cfRule>
    <cfRule type="cellIs" dxfId="364" priority="524" operator="greaterThan">
      <formula>0</formula>
    </cfRule>
  </conditionalFormatting>
  <conditionalFormatting sqref="D20:D24">
    <cfRule type="cellIs" dxfId="363" priority="653" operator="lessThan">
      <formula>0</formula>
    </cfRule>
    <cfRule type="cellIs" dxfId="362" priority="654" operator="greaterThan">
      <formula>0</formula>
    </cfRule>
  </conditionalFormatting>
  <conditionalFormatting sqref="F7:F11">
    <cfRule type="cellIs" dxfId="361" priority="521" operator="lessThan">
      <formula>0</formula>
    </cfRule>
    <cfRule type="cellIs" dxfId="360" priority="522" operator="greaterThan">
      <formula>0</formula>
    </cfRule>
  </conditionalFormatting>
  <conditionalFormatting sqref="F20:F24">
    <cfRule type="cellIs" dxfId="359" priority="651" operator="lessThan">
      <formula>0</formula>
    </cfRule>
    <cfRule type="cellIs" dxfId="358" priority="652" operator="greaterThan">
      <formula>0</formula>
    </cfRule>
  </conditionalFormatting>
  <conditionalFormatting sqref="H7:H11">
    <cfRule type="cellIs" dxfId="357" priority="519" operator="lessThan">
      <formula>0</formula>
    </cfRule>
    <cfRule type="cellIs" dxfId="356" priority="520" operator="greaterThan">
      <formula>0</formula>
    </cfRule>
  </conditionalFormatting>
  <conditionalFormatting sqref="H20:H24">
    <cfRule type="cellIs" dxfId="355" priority="649" operator="lessThan">
      <formula>0</formula>
    </cfRule>
    <cfRule type="cellIs" dxfId="354" priority="650" operator="greaterThan">
      <formula>0</formula>
    </cfRule>
  </conditionalFormatting>
  <conditionalFormatting sqref="J7:J11">
    <cfRule type="cellIs" dxfId="353" priority="517" operator="lessThan">
      <formula>0</formula>
    </cfRule>
    <cfRule type="cellIs" dxfId="352" priority="518" operator="greaterThan">
      <formula>0</formula>
    </cfRule>
  </conditionalFormatting>
  <conditionalFormatting sqref="J20:J24">
    <cfRule type="cellIs" dxfId="351" priority="647" operator="lessThan">
      <formula>0</formula>
    </cfRule>
    <cfRule type="cellIs" dxfId="350" priority="648" operator="greaterThan">
      <formula>0</formula>
    </cfRule>
  </conditionalFormatting>
  <conditionalFormatting sqref="L7:L11">
    <cfRule type="cellIs" dxfId="349" priority="515" operator="lessThan">
      <formula>0</formula>
    </cfRule>
    <cfRule type="cellIs" dxfId="348" priority="516" operator="greaterThan">
      <formula>0</formula>
    </cfRule>
  </conditionalFormatting>
  <conditionalFormatting sqref="L20:L24">
    <cfRule type="cellIs" dxfId="347" priority="645" operator="lessThan">
      <formula>0</formula>
    </cfRule>
    <cfRule type="cellIs" dxfId="346" priority="646" operator="greaterThan">
      <formula>0</formula>
    </cfRule>
  </conditionalFormatting>
  <conditionalFormatting sqref="N7:N11">
    <cfRule type="cellIs" dxfId="345" priority="513" operator="lessThan">
      <formula>0</formula>
    </cfRule>
    <cfRule type="cellIs" dxfId="344" priority="514" operator="greaterThan">
      <formula>0</formula>
    </cfRule>
  </conditionalFormatting>
  <conditionalFormatting sqref="N20:N24">
    <cfRule type="cellIs" dxfId="343" priority="643" operator="lessThan">
      <formula>0</formula>
    </cfRule>
    <cfRule type="cellIs" dxfId="342" priority="644" operator="greaterThan">
      <formula>0</formula>
    </cfRule>
  </conditionalFormatting>
  <conditionalFormatting sqref="P7:P11">
    <cfRule type="cellIs" dxfId="341" priority="511" operator="lessThan">
      <formula>0</formula>
    </cfRule>
    <cfRule type="cellIs" dxfId="340" priority="512" operator="greaterThan">
      <formula>0</formula>
    </cfRule>
  </conditionalFormatting>
  <conditionalFormatting sqref="R17:R19">
    <cfRule type="cellIs" dxfId="339" priority="493" operator="greaterThan">
      <formula>0</formula>
    </cfRule>
    <cfRule type="cellIs" dxfId="338" priority="494" operator="lessThan">
      <formula>0</formula>
    </cfRule>
  </conditionalFormatting>
  <conditionalFormatting sqref="R26:R27">
    <cfRule type="cellIs" dxfId="337" priority="491" operator="greaterThan">
      <formula>0</formula>
    </cfRule>
    <cfRule type="cellIs" dxfId="336" priority="492" operator="lessThan">
      <formula>0</formula>
    </cfRule>
  </conditionalFormatting>
  <conditionalFormatting sqref="T17:T19">
    <cfRule type="cellIs" dxfId="335" priority="471" operator="greaterThan">
      <formula>0</formula>
    </cfRule>
    <cfRule type="cellIs" dxfId="334" priority="472" operator="lessThan">
      <formula>0</formula>
    </cfRule>
  </conditionalFormatting>
  <conditionalFormatting sqref="T26:T27">
    <cfRule type="cellIs" dxfId="333" priority="469" operator="greaterThan">
      <formula>0</formula>
    </cfRule>
    <cfRule type="cellIs" dxfId="332" priority="470" operator="lessThan">
      <formula>0</formula>
    </cfRule>
  </conditionalFormatting>
  <conditionalFormatting sqref="V17:V19">
    <cfRule type="cellIs" dxfId="331" priority="425" operator="greaterThan">
      <formula>0</formula>
    </cfRule>
    <cfRule type="cellIs" dxfId="330" priority="426" operator="lessThan">
      <formula>0</formula>
    </cfRule>
  </conditionalFormatting>
  <conditionalFormatting sqref="V26:V27">
    <cfRule type="cellIs" dxfId="329" priority="423" operator="greaterThan">
      <formula>0</formula>
    </cfRule>
    <cfRule type="cellIs" dxfId="328" priority="424" operator="lessThan">
      <formula>0</formula>
    </cfRule>
  </conditionalFormatting>
  <conditionalFormatting sqref="X17:X19">
    <cfRule type="cellIs" dxfId="327" priority="401" operator="greaterThan">
      <formula>0</formula>
    </cfRule>
    <cfRule type="cellIs" dxfId="326" priority="402" operator="lessThan">
      <formula>0</formula>
    </cfRule>
  </conditionalFormatting>
  <conditionalFormatting sqref="X26:X27">
    <cfRule type="cellIs" dxfId="325" priority="399" operator="greaterThan">
      <formula>0</formula>
    </cfRule>
    <cfRule type="cellIs" dxfId="324" priority="400" operator="lessThan">
      <formula>0</formula>
    </cfRule>
  </conditionalFormatting>
  <conditionalFormatting sqref="Z17:Z19">
    <cfRule type="cellIs" dxfId="323" priority="375" operator="greaterThan">
      <formula>0</formula>
    </cfRule>
    <cfRule type="cellIs" dxfId="322" priority="376" operator="lessThan">
      <formula>0</formula>
    </cfRule>
  </conditionalFormatting>
  <conditionalFormatting sqref="Z26:Z27">
    <cfRule type="cellIs" dxfId="321" priority="373" operator="greaterThan">
      <formula>0</formula>
    </cfRule>
    <cfRule type="cellIs" dxfId="320" priority="374" operator="lessThan">
      <formula>0</formula>
    </cfRule>
  </conditionalFormatting>
  <conditionalFormatting sqref="AB17:AB19">
    <cfRule type="cellIs" dxfId="319" priority="335" operator="greaterThan">
      <formula>0</formula>
    </cfRule>
    <cfRule type="cellIs" dxfId="318" priority="336" operator="lessThan">
      <formula>0</formula>
    </cfRule>
  </conditionalFormatting>
  <conditionalFormatting sqref="AB26:AB27">
    <cfRule type="cellIs" dxfId="317" priority="333" operator="greaterThan">
      <formula>0</formula>
    </cfRule>
    <cfRule type="cellIs" dxfId="316" priority="334" operator="lessThan">
      <formula>0</formula>
    </cfRule>
  </conditionalFormatting>
  <conditionalFormatting sqref="AD18:AD19">
    <cfRule type="cellIs" dxfId="315" priority="307" operator="greaterThan">
      <formula>0</formula>
    </cfRule>
    <cfRule type="cellIs" dxfId="314" priority="308" operator="lessThan">
      <formula>0</formula>
    </cfRule>
  </conditionalFormatting>
  <conditionalFormatting sqref="AD26:AD27">
    <cfRule type="cellIs" dxfId="313" priority="305" operator="greaterThan">
      <formula>0</formula>
    </cfRule>
    <cfRule type="cellIs" dxfId="312" priority="306" operator="lessThan">
      <formula>0</formula>
    </cfRule>
  </conditionalFormatting>
  <conditionalFormatting sqref="AF18:AF19">
    <cfRule type="cellIs" dxfId="311" priority="275" operator="greaterThan">
      <formula>0</formula>
    </cfRule>
    <cfRule type="cellIs" dxfId="310" priority="276" operator="lessThan">
      <formula>0</formula>
    </cfRule>
  </conditionalFormatting>
  <conditionalFormatting sqref="AF26:AF27">
    <cfRule type="cellIs" dxfId="309" priority="273" operator="greaterThan">
      <formula>0</formula>
    </cfRule>
    <cfRule type="cellIs" dxfId="308" priority="274" operator="lessThan">
      <formula>0</formula>
    </cfRule>
  </conditionalFormatting>
  <conditionalFormatting sqref="AH18:AH19">
    <cfRule type="cellIs" dxfId="307" priority="249" operator="greaterThan">
      <formula>0</formula>
    </cfRule>
    <cfRule type="cellIs" dxfId="306" priority="250" operator="lessThan">
      <formula>0</formula>
    </cfRule>
  </conditionalFormatting>
  <conditionalFormatting sqref="AH26:AH27">
    <cfRule type="cellIs" dxfId="305" priority="247" operator="greaterThan">
      <formula>0</formula>
    </cfRule>
    <cfRule type="cellIs" dxfId="304" priority="248" operator="lessThan">
      <formula>0</formula>
    </cfRule>
  </conditionalFormatting>
  <conditionalFormatting sqref="AJ18:AJ19">
    <cfRule type="cellIs" dxfId="303" priority="199" operator="greaterThan">
      <formula>0</formula>
    </cfRule>
    <cfRule type="cellIs" dxfId="302" priority="200" operator="lessThan">
      <formula>0</formula>
    </cfRule>
  </conditionalFormatting>
  <conditionalFormatting sqref="AJ26:AJ27">
    <cfRule type="cellIs" dxfId="301" priority="197" operator="greaterThan">
      <formula>0</formula>
    </cfRule>
    <cfRule type="cellIs" dxfId="300" priority="198" operator="lessThan">
      <formula>0</formula>
    </cfRule>
  </conditionalFormatting>
  <conditionalFormatting sqref="AL18:AL19">
    <cfRule type="cellIs" dxfId="299" priority="139" operator="greaterThan">
      <formula>0</formula>
    </cfRule>
    <cfRule type="cellIs" dxfId="298" priority="140" operator="lessThan">
      <formula>0</formula>
    </cfRule>
  </conditionalFormatting>
  <conditionalFormatting sqref="AL26:AL27">
    <cfRule type="cellIs" dxfId="297" priority="137" operator="greaterThan">
      <formula>0</formula>
    </cfRule>
    <cfRule type="cellIs" dxfId="296" priority="138" operator="lessThan">
      <formula>0</formula>
    </cfRule>
  </conditionalFormatting>
  <conditionalFormatting sqref="AN18:AN19">
    <cfRule type="cellIs" dxfId="295" priority="117" operator="greaterThan">
      <formula>0</formula>
    </cfRule>
    <cfRule type="cellIs" dxfId="294" priority="118" operator="lessThan">
      <formula>0</formula>
    </cfRule>
  </conditionalFormatting>
  <conditionalFormatting sqref="AN26:AN27">
    <cfRule type="cellIs" dxfId="293" priority="115" operator="greaterThan">
      <formula>0</formula>
    </cfRule>
    <cfRule type="cellIs" dxfId="292" priority="116" operator="lessThan">
      <formula>0</formula>
    </cfRule>
  </conditionalFormatting>
  <conditionalFormatting sqref="AP18:AP19">
    <cfRule type="cellIs" dxfId="291" priority="79" operator="greaterThan">
      <formula>0</formula>
    </cfRule>
    <cfRule type="cellIs" dxfId="290" priority="80" operator="lessThan">
      <formula>0</formula>
    </cfRule>
  </conditionalFormatting>
  <conditionalFormatting sqref="AP26:AP27">
    <cfRule type="cellIs" dxfId="289" priority="77" operator="greaterThan">
      <formula>0</formula>
    </cfRule>
    <cfRule type="cellIs" dxfId="288" priority="78" operator="lessThan">
      <formula>0</formula>
    </cfRule>
  </conditionalFormatting>
  <conditionalFormatting sqref="D4:D6 D13:D14">
    <cfRule type="cellIs" dxfId="287" priority="731" operator="lessThan">
      <formula>0</formula>
    </cfRule>
    <cfRule type="cellIs" dxfId="286" priority="732" operator="greaterThan">
      <formula>0</formula>
    </cfRule>
  </conditionalFormatting>
  <conditionalFormatting sqref="F4:F6 F13:F14">
    <cfRule type="cellIs" dxfId="285" priority="673" operator="lessThan">
      <formula>0</formula>
    </cfRule>
    <cfRule type="cellIs" dxfId="284" priority="674" operator="greaterThan">
      <formula>0</formula>
    </cfRule>
  </conditionalFormatting>
  <conditionalFormatting sqref="H4:H6 H13:H14">
    <cfRule type="cellIs" dxfId="283" priority="671" operator="lessThan">
      <formula>0</formula>
    </cfRule>
    <cfRule type="cellIs" dxfId="282" priority="672" operator="greaterThan">
      <formula>0</formula>
    </cfRule>
  </conditionalFormatting>
  <conditionalFormatting sqref="J4:J6 J13:J14">
    <cfRule type="cellIs" dxfId="281" priority="669" operator="lessThan">
      <formula>0</formula>
    </cfRule>
    <cfRule type="cellIs" dxfId="280" priority="670" operator="greaterThan">
      <formula>0</formula>
    </cfRule>
  </conditionalFormatting>
  <conditionalFormatting sqref="L4:L6 L13:L14">
    <cfRule type="cellIs" dxfId="279" priority="667" operator="lessThan">
      <formula>0</formula>
    </cfRule>
    <cfRule type="cellIs" dxfId="278" priority="668" operator="greaterThan">
      <formula>0</formula>
    </cfRule>
  </conditionalFormatting>
  <conditionalFormatting sqref="N4:N6 N13:N15">
    <cfRule type="cellIs" dxfId="277" priority="665" operator="lessThan">
      <formula>0</formula>
    </cfRule>
    <cfRule type="cellIs" dxfId="276" priority="666" operator="greaterThan">
      <formula>0</formula>
    </cfRule>
  </conditionalFormatting>
  <conditionalFormatting sqref="P5:P6 P13:P15 P41:P42 P28:P38 P20:P24">
    <cfRule type="cellIs" dxfId="275" priority="575" operator="lessThan">
      <formula>0</formula>
    </cfRule>
    <cfRule type="cellIs" dxfId="274" priority="576" operator="greaterThan">
      <formula>0</formula>
    </cfRule>
  </conditionalFormatting>
  <conditionalFormatting sqref="R5:R6 R13:R15 R41:R42 R28:R38 R21:R24">
    <cfRule type="cellIs" dxfId="273" priority="503" operator="lessThan">
      <formula>0</formula>
    </cfRule>
    <cfRule type="cellIs" dxfId="272" priority="504" operator="greaterThan">
      <formula>0</formula>
    </cfRule>
  </conditionalFormatting>
  <conditionalFormatting sqref="T5:T6 T13:T15 T41 T28:T38 T21:T24">
    <cfRule type="cellIs" dxfId="271" priority="479" operator="lessThan">
      <formula>0</formula>
    </cfRule>
    <cfRule type="cellIs" dxfId="270" priority="480" operator="greaterThan">
      <formula>0</formula>
    </cfRule>
  </conditionalFormatting>
  <conditionalFormatting sqref="V5:V6 V13:V15 V41 V28:V38 V21:V24">
    <cfRule type="cellIs" dxfId="269" priority="433" operator="lessThan">
      <formula>0</formula>
    </cfRule>
    <cfRule type="cellIs" dxfId="268" priority="434" operator="greaterThan">
      <formula>0</formula>
    </cfRule>
  </conditionalFormatting>
  <conditionalFormatting sqref="X5:X6 X13:X15 X28:X36 X21:X24">
    <cfRule type="cellIs" dxfId="267" priority="409" operator="lessThan">
      <formula>0</formula>
    </cfRule>
    <cfRule type="cellIs" dxfId="266" priority="410" operator="greaterThan">
      <formula>0</formula>
    </cfRule>
  </conditionalFormatting>
  <conditionalFormatting sqref="Z5:Z6 Z13:Z15 Z28:Z35 Z21:Z24">
    <cfRule type="cellIs" dxfId="265" priority="383" operator="lessThan">
      <formula>0</formula>
    </cfRule>
    <cfRule type="cellIs" dxfId="264" priority="384" operator="greaterThan">
      <formula>0</formula>
    </cfRule>
  </conditionalFormatting>
  <conditionalFormatting sqref="AB5:AB6 AB13:AB15 AB28:AB35 AB21:AB24">
    <cfRule type="cellIs" dxfId="263" priority="343" operator="lessThan">
      <formula>0</formula>
    </cfRule>
    <cfRule type="cellIs" dxfId="262" priority="344" operator="greaterThan">
      <formula>0</formula>
    </cfRule>
  </conditionalFormatting>
  <conditionalFormatting sqref="AD5:AD6 AD13:AD15 AD28:AD35 AD21:AD24">
    <cfRule type="cellIs" dxfId="261" priority="315" operator="lessThan">
      <formula>0</formula>
    </cfRule>
    <cfRule type="cellIs" dxfId="260" priority="316" operator="greaterThan">
      <formula>0</formula>
    </cfRule>
  </conditionalFormatting>
  <conditionalFormatting sqref="AF5:AF6 AF13:AF15 AF28:AF35 AF21:AF24">
    <cfRule type="cellIs" dxfId="259" priority="283" operator="lessThan">
      <formula>0</formula>
    </cfRule>
    <cfRule type="cellIs" dxfId="258" priority="284" operator="greaterThan">
      <formula>0</formula>
    </cfRule>
  </conditionalFormatting>
  <conditionalFormatting sqref="AH5:AH6 AH13:AH15 AH28:AH35 AH21:AH24">
    <cfRule type="cellIs" dxfId="257" priority="257" operator="lessThan">
      <formula>0</formula>
    </cfRule>
    <cfRule type="cellIs" dxfId="256" priority="258" operator="greaterThan">
      <formula>0</formula>
    </cfRule>
  </conditionalFormatting>
  <conditionalFormatting sqref="AJ5:AJ6 AJ13:AJ15 AJ28:AJ35 AJ21:AJ24">
    <cfRule type="cellIs" dxfId="255" priority="207" operator="lessThan">
      <formula>0</formula>
    </cfRule>
    <cfRule type="cellIs" dxfId="254" priority="208" operator="greaterThan">
      <formula>0</formula>
    </cfRule>
  </conditionalFormatting>
  <conditionalFormatting sqref="AL5:AL6 AL13:AL15 AL28:AL35 AL21:AL24">
    <cfRule type="cellIs" dxfId="253" priority="147" operator="lessThan">
      <formula>0</formula>
    </cfRule>
    <cfRule type="cellIs" dxfId="252" priority="148" operator="greaterThan">
      <formula>0</formula>
    </cfRule>
  </conditionalFormatting>
  <conditionalFormatting sqref="AN5:AN6 AN13:AN15 AN28:AN35 AN21:AN24">
    <cfRule type="cellIs" dxfId="251" priority="125" operator="lessThan">
      <formula>0</formula>
    </cfRule>
    <cfRule type="cellIs" dxfId="250" priority="126" operator="greaterThan">
      <formula>0</formula>
    </cfRule>
  </conditionalFormatting>
  <conditionalFormatting sqref="AP5:AP6 AP13:AP15 AP28:AP35 AP21:AP24">
    <cfRule type="cellIs" dxfId="249" priority="87" operator="lessThan">
      <formula>0</formula>
    </cfRule>
    <cfRule type="cellIs" dxfId="248" priority="88" operator="greaterThan">
      <formula>0</formula>
    </cfRule>
  </conditionalFormatting>
  <conditionalFormatting sqref="R7 R10:R11">
    <cfRule type="cellIs" dxfId="247" priority="495" operator="lessThan">
      <formula>0</formula>
    </cfRule>
    <cfRule type="cellIs" dxfId="246" priority="496" operator="greaterThan">
      <formula>0</formula>
    </cfRule>
  </conditionalFormatting>
  <conditionalFormatting sqref="T7 T10:T11">
    <cfRule type="cellIs" dxfId="245" priority="473" operator="lessThan">
      <formula>0</formula>
    </cfRule>
    <cfRule type="cellIs" dxfId="244" priority="474" operator="greaterThan">
      <formula>0</formula>
    </cfRule>
  </conditionalFormatting>
  <conditionalFormatting sqref="V7 V10:V11">
    <cfRule type="cellIs" dxfId="243" priority="427" operator="lessThan">
      <formula>0</formula>
    </cfRule>
    <cfRule type="cellIs" dxfId="242" priority="428" operator="greaterThan">
      <formula>0</formula>
    </cfRule>
  </conditionalFormatting>
  <conditionalFormatting sqref="X7 X10:X11">
    <cfRule type="cellIs" dxfId="241" priority="403" operator="lessThan">
      <formula>0</formula>
    </cfRule>
    <cfRule type="cellIs" dxfId="240" priority="404" operator="greaterThan">
      <formula>0</formula>
    </cfRule>
  </conditionalFormatting>
  <conditionalFormatting sqref="Z7 Z10:Z11">
    <cfRule type="cellIs" dxfId="239" priority="377" operator="lessThan">
      <formula>0</formula>
    </cfRule>
    <cfRule type="cellIs" dxfId="238" priority="378" operator="greaterThan">
      <formula>0</formula>
    </cfRule>
  </conditionalFormatting>
  <conditionalFormatting sqref="AB7 AB10:AB11">
    <cfRule type="cellIs" dxfId="237" priority="337" operator="lessThan">
      <formula>0</formula>
    </cfRule>
    <cfRule type="cellIs" dxfId="236" priority="338" operator="greaterThan">
      <formula>0</formula>
    </cfRule>
  </conditionalFormatting>
  <conditionalFormatting sqref="AD7 AD10:AD11">
    <cfRule type="cellIs" dxfId="235" priority="309" operator="lessThan">
      <formula>0</formula>
    </cfRule>
    <cfRule type="cellIs" dxfId="234" priority="310" operator="greaterThan">
      <formula>0</formula>
    </cfRule>
  </conditionalFormatting>
  <conditionalFormatting sqref="AF7 AF10:AF11">
    <cfRule type="cellIs" dxfId="233" priority="277" operator="lessThan">
      <formula>0</formula>
    </cfRule>
    <cfRule type="cellIs" dxfId="232" priority="278" operator="greaterThan">
      <formula>0</formula>
    </cfRule>
  </conditionalFormatting>
  <conditionalFormatting sqref="AH7 AH10:AH11">
    <cfRule type="cellIs" dxfId="231" priority="251" operator="lessThan">
      <formula>0</formula>
    </cfRule>
    <cfRule type="cellIs" dxfId="230" priority="252" operator="greaterThan">
      <formula>0</formula>
    </cfRule>
  </conditionalFormatting>
  <conditionalFormatting sqref="AJ7 AJ10:AJ11">
    <cfRule type="cellIs" dxfId="229" priority="201" operator="lessThan">
      <formula>0</formula>
    </cfRule>
    <cfRule type="cellIs" dxfId="228" priority="202" operator="greaterThan">
      <formula>0</formula>
    </cfRule>
  </conditionalFormatting>
  <conditionalFormatting sqref="AL7 AL10:AL11">
    <cfRule type="cellIs" dxfId="227" priority="141" operator="lessThan">
      <formula>0</formula>
    </cfRule>
    <cfRule type="cellIs" dxfId="226" priority="142" operator="greaterThan">
      <formula>0</formula>
    </cfRule>
  </conditionalFormatting>
  <conditionalFormatting sqref="AN7 AN10:AN11">
    <cfRule type="cellIs" dxfId="225" priority="119" operator="lessThan">
      <formula>0</formula>
    </cfRule>
    <cfRule type="cellIs" dxfId="224" priority="120" operator="greaterThan">
      <formula>0</formula>
    </cfRule>
  </conditionalFormatting>
  <conditionalFormatting sqref="AP7 AP10:AP11">
    <cfRule type="cellIs" dxfId="223" priority="81" operator="lessThan">
      <formula>0</formula>
    </cfRule>
    <cfRule type="cellIs" dxfId="222" priority="82" operator="greaterThan">
      <formula>0</formula>
    </cfRule>
  </conditionalFormatting>
  <conditionalFormatting sqref="D17:D19 F17:F19 H17:H19 J17:J19 L17:L19 N17:N19 P17:P19">
    <cfRule type="cellIs" dxfId="221" priority="509" operator="greaterThan">
      <formula>0</formula>
    </cfRule>
    <cfRule type="cellIs" dxfId="220" priority="510" operator="lessThan">
      <formula>0</formula>
    </cfRule>
  </conditionalFormatting>
  <conditionalFormatting sqref="L25 L28">
    <cfRule type="cellIs" dxfId="219" priority="561" operator="greaterThan">
      <formula>0</formula>
    </cfRule>
    <cfRule type="cellIs" dxfId="218" priority="562" operator="lessThan">
      <formula>0</formula>
    </cfRule>
  </conditionalFormatting>
  <conditionalFormatting sqref="D26:D27 P26:P27 N26:N27 L26:L27 J26:J27 H26:H27 F26:F27">
    <cfRule type="cellIs" dxfId="217" priority="507" operator="greaterThan">
      <formula>0</formula>
    </cfRule>
    <cfRule type="cellIs" dxfId="216" priority="508" operator="lessThan">
      <formula>0</formula>
    </cfRule>
  </conditionalFormatting>
  <conditionalFormatting sqref="D30:D38 D41:D42">
    <cfRule type="cellIs" dxfId="215" priority="623" operator="lessThan">
      <formula>0</formula>
    </cfRule>
    <cfRule type="cellIs" dxfId="214" priority="624" operator="greaterThan">
      <formula>0</formula>
    </cfRule>
  </conditionalFormatting>
  <conditionalFormatting sqref="F30:F36 F38 F41:F42">
    <cfRule type="cellIs" dxfId="213" priority="619" operator="lessThan">
      <formula>0</formula>
    </cfRule>
    <cfRule type="cellIs" dxfId="212" priority="620" operator="greaterThan">
      <formula>0</formula>
    </cfRule>
  </conditionalFormatting>
  <conditionalFormatting sqref="H30:H38 H41:H42">
    <cfRule type="cellIs" dxfId="211" priority="615" operator="lessThan">
      <formula>0</formula>
    </cfRule>
    <cfRule type="cellIs" dxfId="210" priority="616" operator="greaterThan">
      <formula>0</formula>
    </cfRule>
  </conditionalFormatting>
  <conditionalFormatting sqref="J30:J39 J41:J42">
    <cfRule type="cellIs" dxfId="209" priority="611" operator="lessThan">
      <formula>0</formula>
    </cfRule>
    <cfRule type="cellIs" dxfId="208" priority="612" operator="greaterThan">
      <formula>0</formula>
    </cfRule>
  </conditionalFormatting>
  <conditionalFormatting sqref="L30:L39 L41:L42">
    <cfRule type="cellIs" dxfId="207" priority="607" operator="lessThan">
      <formula>0</formula>
    </cfRule>
    <cfRule type="cellIs" dxfId="206" priority="608" operator="greaterThan">
      <formula>0</formula>
    </cfRule>
  </conditionalFormatting>
  <conditionalFormatting sqref="N30:N38 N41:N42">
    <cfRule type="cellIs" dxfId="205" priority="603" operator="lessThan">
      <formula>0</formula>
    </cfRule>
    <cfRule type="cellIs" dxfId="204" priority="604" operator="greaterThan">
      <formula>0</formula>
    </cfRule>
  </conditionalFormatting>
  <conditionalFormatting sqref="AD37:AD39 AD41:AD42">
    <cfRule type="cellIs" dxfId="203" priority="299" operator="lessThan">
      <formula>0</formula>
    </cfRule>
    <cfRule type="cellIs" dxfId="202" priority="300" operator="greaterThan">
      <formula>0</formula>
    </cfRule>
  </conditionalFormatting>
  <conditionalFormatting sqref="AF37:AF39 AF41:AF42">
    <cfRule type="cellIs" dxfId="201" priority="215" operator="lessThan">
      <formula>0</formula>
    </cfRule>
    <cfRule type="cellIs" dxfId="200" priority="216" operator="greaterThan">
      <formula>0</formula>
    </cfRule>
  </conditionalFormatting>
  <conditionalFormatting sqref="AH37:AH39 AH41:AH42">
    <cfRule type="cellIs" dxfId="199" priority="211" operator="lessThan">
      <formula>0</formula>
    </cfRule>
    <cfRule type="cellIs" dxfId="198" priority="212" operator="greaterThan">
      <formula>0</formula>
    </cfRule>
  </conditionalFormatting>
  <conditionalFormatting sqref="AJ37:AJ39 AJ41:AJ42">
    <cfRule type="cellIs" dxfId="197" priority="63" operator="lessThan">
      <formula>0</formula>
    </cfRule>
    <cfRule type="cellIs" dxfId="196" priority="64" operator="greaterThan">
      <formula>0</formula>
    </cfRule>
  </conditionalFormatting>
  <conditionalFormatting sqref="AL37:AL39 AL41:AL42">
    <cfRule type="cellIs" dxfId="195" priority="59" operator="lessThan">
      <formula>0</formula>
    </cfRule>
    <cfRule type="cellIs" dxfId="194" priority="60" operator="greaterThan">
      <formula>0</formula>
    </cfRule>
  </conditionalFormatting>
  <conditionalFormatting sqref="AN37:AN39 AN41:AN42">
    <cfRule type="cellIs" dxfId="193" priority="55" operator="lessThan">
      <formula>0</formula>
    </cfRule>
    <cfRule type="cellIs" dxfId="192" priority="56" operator="greaterThan">
      <formula>0</formula>
    </cfRule>
  </conditionalFormatting>
  <conditionalFormatting sqref="AP37:AP39 AP41:AP42">
    <cfRule type="cellIs" dxfId="191" priority="51" operator="lessThan">
      <formula>0</formula>
    </cfRule>
    <cfRule type="cellIs" dxfId="190" priority="52" operator="greaterThan">
      <formula>0</formula>
    </cfRule>
  </conditionalFormatting>
  <conditionalFormatting sqref="X38 X41">
    <cfRule type="cellIs" dxfId="189" priority="361" operator="lessThan">
      <formula>0</formula>
    </cfRule>
    <cfRule type="cellIs" dxfId="188" priority="362" operator="greaterThan">
      <formula>0</formula>
    </cfRule>
  </conditionalFormatting>
  <conditionalFormatting sqref="Z38 Z41">
    <cfRule type="cellIs" dxfId="187" priority="353" operator="lessThan">
      <formula>0</formula>
    </cfRule>
    <cfRule type="cellIs" dxfId="186" priority="354" operator="greaterThan">
      <formula>0</formula>
    </cfRule>
  </conditionalFormatting>
  <conditionalFormatting sqref="AB38 AB41">
    <cfRule type="cellIs" dxfId="185" priority="325" operator="lessThan">
      <formula>0</formula>
    </cfRule>
    <cfRule type="cellIs" dxfId="184" priority="326" operator="greaterThan">
      <formula>0</formula>
    </cfRule>
  </conditionalFormatting>
  <conditionalFormatting sqref="D40 F40 H40 J40 L40 N40 P40">
    <cfRule type="cellIs" dxfId="183" priority="505" operator="greaterThan">
      <formula>0</formula>
    </cfRule>
    <cfRule type="cellIs" dxfId="182" priority="506" operator="lessThan">
      <formula>0</formula>
    </cfRule>
  </conditionalFormatting>
  <conditionalFormatting sqref="AR4">
    <cfRule type="cellIs" dxfId="181" priority="27" operator="lessThan">
      <formula>0</formula>
    </cfRule>
    <cfRule type="cellIs" dxfId="180" priority="28" operator="greaterThan">
      <formula>0</formula>
    </cfRule>
  </conditionalFormatting>
  <conditionalFormatting sqref="AR8">
    <cfRule type="cellIs" dxfId="179" priority="33" operator="lessThan">
      <formula>0</formula>
    </cfRule>
    <cfRule type="cellIs" dxfId="178" priority="34" operator="greaterThan">
      <formula>0</formula>
    </cfRule>
  </conditionalFormatting>
  <conditionalFormatting sqref="AR9">
    <cfRule type="cellIs" dxfId="177" priority="35" operator="lessThan">
      <formula>0</formula>
    </cfRule>
    <cfRule type="cellIs" dxfId="176" priority="36" operator="greaterThan">
      <formula>0</formula>
    </cfRule>
  </conditionalFormatting>
  <conditionalFormatting sqref="AR12">
    <cfRule type="cellIs" dxfId="175" priority="31" operator="lessThan">
      <formula>0</formula>
    </cfRule>
    <cfRule type="cellIs" dxfId="174" priority="32" operator="greaterThan">
      <formula>0</formula>
    </cfRule>
  </conditionalFormatting>
  <conditionalFormatting sqref="AR16">
    <cfRule type="cellIs" dxfId="173" priority="43" operator="greaterThan">
      <formula>0</formula>
    </cfRule>
    <cfRule type="cellIs" dxfId="172" priority="44" operator="lessThan">
      <formula>0</formula>
    </cfRule>
  </conditionalFormatting>
  <conditionalFormatting sqref="AR17">
    <cfRule type="cellIs" dxfId="171" priority="29" operator="greaterThan">
      <formula>0</formula>
    </cfRule>
    <cfRule type="cellIs" dxfId="170" priority="30" operator="lessThan">
      <formula>0</formula>
    </cfRule>
  </conditionalFormatting>
  <conditionalFormatting sqref="AR20">
    <cfRule type="cellIs" dxfId="169" priority="25" operator="lessThan">
      <formula>0</formula>
    </cfRule>
    <cfRule type="cellIs" dxfId="168" priority="26" operator="greaterThan">
      <formula>0</formula>
    </cfRule>
  </conditionalFormatting>
  <conditionalFormatting sqref="AR25">
    <cfRule type="cellIs" dxfId="167" priority="45" operator="greaterThan">
      <formula>0</formula>
    </cfRule>
    <cfRule type="cellIs" dxfId="166" priority="46" operator="lessThan">
      <formula>0</formula>
    </cfRule>
  </conditionalFormatting>
  <conditionalFormatting sqref="AR18:AR19">
    <cfRule type="cellIs" dxfId="165" priority="39" operator="greaterThan">
      <formula>0</formula>
    </cfRule>
    <cfRule type="cellIs" dxfId="164" priority="40" operator="lessThan">
      <formula>0</formula>
    </cfRule>
  </conditionalFormatting>
  <conditionalFormatting sqref="AR26:AR27">
    <cfRule type="cellIs" dxfId="163" priority="37" operator="greaterThan">
      <formula>0</formula>
    </cfRule>
    <cfRule type="cellIs" dxfId="162" priority="38" operator="lessThan">
      <formula>0</formula>
    </cfRule>
  </conditionalFormatting>
  <conditionalFormatting sqref="AR5:AR6 AR13:AR15 AR28:AR35 AR21:AR24">
    <cfRule type="cellIs" dxfId="161" priority="47" operator="lessThan">
      <formula>0</formula>
    </cfRule>
    <cfRule type="cellIs" dxfId="160" priority="48" operator="greaterThan">
      <formula>0</formula>
    </cfRule>
  </conditionalFormatting>
  <conditionalFormatting sqref="AR7 AR10:AR11">
    <cfRule type="cellIs" dxfId="159" priority="41" operator="lessThan">
      <formula>0</formula>
    </cfRule>
    <cfRule type="cellIs" dxfId="158" priority="42" operator="greaterThan">
      <formula>0</formula>
    </cfRule>
  </conditionalFormatting>
  <conditionalFormatting sqref="AT4">
    <cfRule type="cellIs" dxfId="31" priority="3" operator="lessThan">
      <formula>0</formula>
    </cfRule>
    <cfRule type="cellIs" dxfId="30" priority="4" operator="greaterThan">
      <formula>0</formula>
    </cfRule>
  </conditionalFormatting>
  <conditionalFormatting sqref="AT8">
    <cfRule type="cellIs" dxfId="29" priority="9" operator="lessThan">
      <formula>0</formula>
    </cfRule>
    <cfRule type="cellIs" dxfId="28" priority="10" operator="greaterThan">
      <formula>0</formula>
    </cfRule>
  </conditionalFormatting>
  <conditionalFormatting sqref="AT9">
    <cfRule type="cellIs" dxfId="27" priority="11" operator="lessThan">
      <formula>0</formula>
    </cfRule>
    <cfRule type="cellIs" dxfId="26" priority="12" operator="greaterThan">
      <formula>0</formula>
    </cfRule>
  </conditionalFormatting>
  <conditionalFormatting sqref="AT12">
    <cfRule type="cellIs" dxfId="25" priority="7" operator="lessThan">
      <formula>0</formula>
    </cfRule>
    <cfRule type="cellIs" dxfId="24" priority="8" operator="greaterThan">
      <formula>0</formula>
    </cfRule>
  </conditionalFormatting>
  <conditionalFormatting sqref="AT16">
    <cfRule type="cellIs" dxfId="23" priority="19" operator="greaterThan">
      <formula>0</formula>
    </cfRule>
    <cfRule type="cellIs" dxfId="22" priority="20" operator="lessThan">
      <formula>0</formula>
    </cfRule>
  </conditionalFormatting>
  <conditionalFormatting sqref="AT17">
    <cfRule type="cellIs" dxfId="21" priority="5" operator="greaterThan">
      <formula>0</formula>
    </cfRule>
    <cfRule type="cellIs" dxfId="20" priority="6" operator="lessThan">
      <formula>0</formula>
    </cfRule>
  </conditionalFormatting>
  <conditionalFormatting sqref="AT20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AT25">
    <cfRule type="cellIs" dxfId="17" priority="21" operator="greaterThan">
      <formula>0</formula>
    </cfRule>
    <cfRule type="cellIs" dxfId="16" priority="22" operator="lessThan">
      <formula>0</formula>
    </cfRule>
  </conditionalFormatting>
  <conditionalFormatting sqref="AT18:AT19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AT26:AT27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AT5:AT6 AT13:AT15 AT28:AT35 AT21:AT24">
    <cfRule type="cellIs" dxfId="11" priority="23" operator="lessThan">
      <formula>0</formula>
    </cfRule>
    <cfRule type="cellIs" dxfId="10" priority="24" operator="greaterThan">
      <formula>0</formula>
    </cfRule>
  </conditionalFormatting>
  <conditionalFormatting sqref="AT7 AT10:AT11">
    <cfRule type="cellIs" dxfId="9" priority="17" operator="lessThan">
      <formula>0</formula>
    </cfRule>
    <cfRule type="cellIs" dxfId="8" priority="18" operator="greaterThan">
      <formula>0</formula>
    </cfRule>
  </conditionalFormatting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20" r:id="rId4" xr:uid="{00000000-0004-0000-0000-000003000000}"/>
  </hyperlinks>
  <pageMargins left="0.75" right="0.75" top="1" bottom="1" header="0.51180555555555596" footer="0.51180555555555596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8"/>
  <sheetViews>
    <sheetView workbookViewId="0">
      <pane xSplit="1" ySplit="3" topLeftCell="AK4" activePane="bottomRight" state="frozen"/>
      <selection pane="topRight"/>
      <selection pane="bottomLeft"/>
      <selection pane="bottomRight" activeCell="AS4" sqref="AS4"/>
    </sheetView>
  </sheetViews>
  <sheetFormatPr defaultColWidth="9" defaultRowHeight="14.4" x14ac:dyDescent="0.25"/>
  <cols>
    <col min="1" max="1" width="14" style="1" customWidth="1"/>
    <col min="2" max="3" width="14.6640625" style="2" customWidth="1"/>
    <col min="4" max="4" width="10.109375" style="2" customWidth="1"/>
    <col min="5" max="5" width="14.6640625" style="2" customWidth="1"/>
    <col min="6" max="6" width="10.109375" style="2" customWidth="1"/>
    <col min="7" max="7" width="14.6640625" style="2" customWidth="1"/>
    <col min="8" max="8" width="10.109375" style="2" customWidth="1"/>
    <col min="9" max="9" width="14.6640625" style="2" customWidth="1"/>
    <col min="10" max="10" width="10.109375" style="2" customWidth="1"/>
    <col min="11" max="11" width="14.6640625" style="2" customWidth="1"/>
    <col min="12" max="12" width="10.109375" style="2" customWidth="1"/>
    <col min="13" max="13" width="14.6640625" style="2" customWidth="1"/>
    <col min="14" max="14" width="10.109375" style="2" customWidth="1"/>
    <col min="15" max="15" width="14.6640625" style="2" customWidth="1"/>
    <col min="16" max="16" width="10.109375" style="2" customWidth="1"/>
    <col min="17" max="17" width="14.6640625" style="2" customWidth="1"/>
    <col min="18" max="18" width="10.109375" style="2" customWidth="1"/>
    <col min="19" max="19" width="13.88671875" style="2" customWidth="1"/>
    <col min="20" max="20" width="9" style="2"/>
    <col min="21" max="21" width="13.88671875" style="2" customWidth="1"/>
    <col min="22" max="22" width="9" style="2"/>
    <col min="23" max="23" width="13.88671875" style="2" customWidth="1"/>
    <col min="24" max="24" width="9" style="2"/>
    <col min="25" max="25" width="13.88671875" style="2" customWidth="1"/>
    <col min="26" max="26" width="9" style="2"/>
    <col min="27" max="27" width="13.77734375" style="2" customWidth="1"/>
    <col min="28" max="28" width="9" style="2"/>
    <col min="29" max="29" width="11.44140625" style="2" customWidth="1"/>
    <col min="30" max="30" width="9" style="2"/>
    <col min="31" max="31" width="11.44140625" style="2" customWidth="1"/>
    <col min="32" max="32" width="9" style="2"/>
    <col min="33" max="33" width="13.77734375" style="2" customWidth="1"/>
    <col min="34" max="34" width="9" style="2"/>
    <col min="35" max="35" width="13.77734375" style="2" customWidth="1"/>
    <col min="36" max="36" width="9" style="2"/>
    <col min="37" max="37" width="13.88671875" style="2" customWidth="1"/>
    <col min="38" max="38" width="9" style="2"/>
    <col min="39" max="39" width="13.88671875" style="2" customWidth="1"/>
    <col min="40" max="40" width="9" style="2"/>
    <col min="41" max="41" width="13.88671875" style="2" customWidth="1"/>
    <col min="42" max="42" width="9" style="2"/>
    <col min="43" max="43" width="13.88671875" style="2" bestFit="1" customWidth="1"/>
    <col min="44" max="44" width="9" style="2"/>
    <col min="45" max="45" width="13.88671875" style="2" bestFit="1" customWidth="1"/>
    <col min="46" max="16384" width="9" style="2"/>
  </cols>
  <sheetData>
    <row r="1" spans="1:46" s="1" customFormat="1" x14ac:dyDescent="0.25">
      <c r="A1" s="54" t="s">
        <v>110</v>
      </c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46" s="1" customFormat="1" x14ac:dyDescent="0.25">
      <c r="A2" s="54"/>
      <c r="B2" s="14">
        <v>10.28</v>
      </c>
      <c r="C2" s="17">
        <v>11.04</v>
      </c>
      <c r="D2" s="55" t="s">
        <v>1</v>
      </c>
      <c r="E2" s="17">
        <v>11.11</v>
      </c>
      <c r="F2" s="55" t="s">
        <v>1</v>
      </c>
      <c r="G2" s="17">
        <v>11.18</v>
      </c>
      <c r="H2" s="55" t="s">
        <v>1</v>
      </c>
      <c r="I2" s="17">
        <v>11.25</v>
      </c>
      <c r="J2" s="55" t="s">
        <v>1</v>
      </c>
      <c r="K2" s="17">
        <v>12.02</v>
      </c>
      <c r="L2" s="55" t="s">
        <v>1</v>
      </c>
      <c r="M2" s="17">
        <v>12.09</v>
      </c>
      <c r="N2" s="55" t="s">
        <v>1</v>
      </c>
      <c r="O2" s="17">
        <v>12.16</v>
      </c>
      <c r="P2" s="55" t="s">
        <v>1</v>
      </c>
      <c r="Q2" s="17">
        <v>12.23</v>
      </c>
      <c r="R2" s="55" t="s">
        <v>1</v>
      </c>
      <c r="S2" s="30">
        <v>12.3</v>
      </c>
      <c r="T2" s="55" t="s">
        <v>1</v>
      </c>
      <c r="U2" s="30" t="s">
        <v>2</v>
      </c>
      <c r="V2" s="55" t="s">
        <v>1</v>
      </c>
      <c r="W2" s="31" t="s">
        <v>3</v>
      </c>
      <c r="X2" s="55" t="s">
        <v>1</v>
      </c>
      <c r="Y2" s="31" t="s">
        <v>4</v>
      </c>
      <c r="Z2" s="55" t="s">
        <v>1</v>
      </c>
      <c r="AA2" s="31" t="s">
        <v>5</v>
      </c>
      <c r="AB2" s="55" t="s">
        <v>1</v>
      </c>
      <c r="AC2" s="31" t="s">
        <v>6</v>
      </c>
      <c r="AD2" s="55" t="s">
        <v>1</v>
      </c>
      <c r="AE2" s="31" t="s">
        <v>7</v>
      </c>
      <c r="AF2" s="55" t="s">
        <v>1</v>
      </c>
      <c r="AG2" s="31" t="s">
        <v>8</v>
      </c>
      <c r="AH2" s="55" t="s">
        <v>1</v>
      </c>
      <c r="AI2" s="31" t="s">
        <v>9</v>
      </c>
      <c r="AJ2" s="55" t="s">
        <v>1</v>
      </c>
      <c r="AK2" s="31" t="s">
        <v>10</v>
      </c>
      <c r="AL2" s="55" t="s">
        <v>1</v>
      </c>
      <c r="AM2" s="31" t="s">
        <v>11</v>
      </c>
      <c r="AN2" s="55" t="s">
        <v>1</v>
      </c>
      <c r="AO2" s="31" t="s">
        <v>12</v>
      </c>
      <c r="AP2" s="55" t="s">
        <v>1</v>
      </c>
      <c r="AQ2" s="31" t="s">
        <v>121</v>
      </c>
      <c r="AR2" s="55" t="s">
        <v>1</v>
      </c>
      <c r="AS2" s="31" t="s">
        <v>123</v>
      </c>
      <c r="AT2" s="55" t="s">
        <v>1</v>
      </c>
    </row>
    <row r="3" spans="1:46" s="1" customFormat="1" x14ac:dyDescent="0.25">
      <c r="A3" s="54"/>
      <c r="B3" s="14">
        <v>301</v>
      </c>
      <c r="C3" s="17">
        <v>308</v>
      </c>
      <c r="D3" s="55"/>
      <c r="E3" s="17">
        <v>315</v>
      </c>
      <c r="F3" s="55"/>
      <c r="G3" s="17">
        <v>322</v>
      </c>
      <c r="H3" s="55"/>
      <c r="I3" s="17">
        <v>329</v>
      </c>
      <c r="J3" s="55"/>
      <c r="K3" s="17">
        <v>336</v>
      </c>
      <c r="L3" s="55"/>
      <c r="M3" s="17">
        <v>343</v>
      </c>
      <c r="N3" s="55"/>
      <c r="O3" s="17">
        <v>350</v>
      </c>
      <c r="P3" s="55"/>
      <c r="Q3" s="17">
        <v>357</v>
      </c>
      <c r="R3" s="55"/>
      <c r="S3" s="17">
        <v>364</v>
      </c>
      <c r="T3" s="55"/>
      <c r="U3" s="17">
        <v>371</v>
      </c>
      <c r="V3" s="55"/>
      <c r="W3" s="17">
        <v>378</v>
      </c>
      <c r="X3" s="55"/>
      <c r="Y3" s="17">
        <v>385</v>
      </c>
      <c r="Z3" s="55"/>
      <c r="AA3" s="17">
        <v>392</v>
      </c>
      <c r="AB3" s="55"/>
      <c r="AC3" s="17">
        <v>399</v>
      </c>
      <c r="AD3" s="55"/>
      <c r="AE3" s="17">
        <v>406</v>
      </c>
      <c r="AF3" s="55"/>
      <c r="AG3" s="17">
        <v>413</v>
      </c>
      <c r="AH3" s="55"/>
      <c r="AI3" s="17">
        <v>420</v>
      </c>
      <c r="AJ3" s="55"/>
      <c r="AK3" s="17">
        <v>427</v>
      </c>
      <c r="AL3" s="55"/>
      <c r="AM3" s="17">
        <v>434</v>
      </c>
      <c r="AN3" s="55"/>
      <c r="AO3" s="17">
        <v>441</v>
      </c>
      <c r="AP3" s="55"/>
      <c r="AQ3" s="17">
        <v>448</v>
      </c>
      <c r="AR3" s="55"/>
      <c r="AS3" s="17">
        <v>455</v>
      </c>
      <c r="AT3" s="55"/>
    </row>
    <row r="4" spans="1:46" x14ac:dyDescent="0.25">
      <c r="A4" s="18" t="s">
        <v>55</v>
      </c>
      <c r="D4" s="19"/>
      <c r="F4" s="19"/>
      <c r="H4" s="19"/>
      <c r="J4" s="19"/>
      <c r="L4" s="19"/>
      <c r="M4" s="2">
        <v>197</v>
      </c>
      <c r="N4" s="19"/>
      <c r="O4" s="2">
        <v>203</v>
      </c>
      <c r="P4" s="19">
        <f>(O4-M4)/M4</f>
        <v>3.0456852791878174E-2</v>
      </c>
      <c r="Q4" s="2">
        <v>180</v>
      </c>
      <c r="R4" s="19">
        <f>(Q4-O4)/O4</f>
        <v>-0.11330049261083744</v>
      </c>
      <c r="S4" s="2">
        <v>181</v>
      </c>
      <c r="T4" s="19">
        <f>(S4-Q4)/Q4</f>
        <v>5.5555555555555558E-3</v>
      </c>
      <c r="U4" s="2">
        <v>178</v>
      </c>
      <c r="V4" s="19">
        <f>(U4-S4)/S4</f>
        <v>-1.6574585635359115E-2</v>
      </c>
      <c r="W4" s="2">
        <v>175</v>
      </c>
      <c r="X4" s="19">
        <f>(W4-U4)/U4</f>
        <v>-1.6853932584269662E-2</v>
      </c>
      <c r="Y4" s="2">
        <v>391</v>
      </c>
      <c r="Z4" s="19">
        <f t="shared" ref="Z4:AD4" si="0">(Y4-W4)/W4</f>
        <v>1.2342857142857142</v>
      </c>
      <c r="AA4" s="2">
        <v>200</v>
      </c>
      <c r="AB4" s="19">
        <f t="shared" si="0"/>
        <v>-0.48849104859335041</v>
      </c>
      <c r="AC4" s="2">
        <v>153</v>
      </c>
      <c r="AD4" s="19">
        <f t="shared" si="0"/>
        <v>-0.23499999999999999</v>
      </c>
      <c r="AE4" s="2">
        <v>130</v>
      </c>
      <c r="AF4" s="19">
        <f t="shared" ref="AF4:AF7" si="1">(AE4-AC4)/AC4</f>
        <v>-0.15032679738562091</v>
      </c>
      <c r="AG4" s="2">
        <v>152</v>
      </c>
      <c r="AH4" s="19">
        <f t="shared" ref="AH4:AH7" si="2">(AG4-AE4)/AE4</f>
        <v>0.16923076923076924</v>
      </c>
      <c r="AI4" s="2">
        <v>175</v>
      </c>
      <c r="AJ4" s="19">
        <f t="shared" ref="AJ4:AL7" si="3">(AI4-AG4)/AG4</f>
        <v>0.15131578947368421</v>
      </c>
      <c r="AK4" s="2">
        <v>167</v>
      </c>
      <c r="AL4" s="19">
        <f t="shared" si="3"/>
        <v>-4.5714285714285714E-2</v>
      </c>
      <c r="AM4" s="2">
        <v>183</v>
      </c>
      <c r="AN4" s="19">
        <f t="shared" ref="AN4:AN7" si="4">(AM4-AK4)/AK4</f>
        <v>9.580838323353294E-2</v>
      </c>
      <c r="AO4" s="2">
        <v>162</v>
      </c>
      <c r="AP4" s="19">
        <f t="shared" ref="AP4:AP7" si="5">(AO4-AM4)/AM4</f>
        <v>-0.11475409836065574</v>
      </c>
      <c r="AQ4" s="2">
        <v>169</v>
      </c>
      <c r="AR4" s="19">
        <f t="shared" ref="AR4:AT7" si="6">(AQ4-AO4)/AO4</f>
        <v>4.3209876543209874E-2</v>
      </c>
      <c r="AS4" s="2">
        <v>160</v>
      </c>
      <c r="AT4" s="19">
        <f t="shared" si="6"/>
        <v>-5.3254437869822487E-2</v>
      </c>
    </row>
    <row r="5" spans="1:46" x14ac:dyDescent="0.25">
      <c r="A5" s="20" t="s">
        <v>68</v>
      </c>
      <c r="B5" s="21"/>
      <c r="C5" s="21"/>
      <c r="D5" s="19"/>
      <c r="E5" s="21"/>
      <c r="F5" s="19"/>
      <c r="G5" s="21"/>
      <c r="H5" s="19"/>
      <c r="I5" s="21"/>
      <c r="J5" s="19"/>
      <c r="K5" s="21"/>
      <c r="L5" s="19"/>
      <c r="M5" s="2">
        <v>173</v>
      </c>
      <c r="N5" s="19"/>
      <c r="O5" s="2">
        <v>179</v>
      </c>
      <c r="P5" s="19">
        <f t="shared" ref="P5:X17" si="7">(O5-M5)/M5</f>
        <v>3.4682080924855488E-2</v>
      </c>
      <c r="Q5" s="2">
        <v>132</v>
      </c>
      <c r="R5" s="19">
        <f t="shared" si="7"/>
        <v>-0.26256983240223464</v>
      </c>
      <c r="S5" s="2">
        <v>156</v>
      </c>
      <c r="T5" s="19">
        <f t="shared" ref="T5:X7" si="8">(S5-Q5)/Q5</f>
        <v>0.18181818181818182</v>
      </c>
      <c r="U5" s="2">
        <v>146</v>
      </c>
      <c r="V5" s="19">
        <f t="shared" si="8"/>
        <v>-6.4102564102564097E-2</v>
      </c>
      <c r="W5" s="2">
        <v>149</v>
      </c>
      <c r="X5" s="19">
        <f t="shared" si="8"/>
        <v>2.0547945205479451E-2</v>
      </c>
      <c r="Y5" s="2">
        <v>123</v>
      </c>
      <c r="Z5" s="19">
        <f t="shared" ref="Z5:AB7" si="9">(Y5-W5)/W5</f>
        <v>-0.17449664429530201</v>
      </c>
      <c r="AA5" s="2">
        <v>142</v>
      </c>
      <c r="AB5" s="19">
        <f t="shared" si="9"/>
        <v>0.15447154471544716</v>
      </c>
      <c r="AC5" s="2">
        <v>112</v>
      </c>
      <c r="AD5" s="19">
        <f t="shared" ref="AD5:AD7" si="10">(AC5-AA5)/AA5</f>
        <v>-0.21126760563380281</v>
      </c>
      <c r="AE5" s="2">
        <v>90</v>
      </c>
      <c r="AF5" s="19">
        <f t="shared" si="1"/>
        <v>-0.19642857142857142</v>
      </c>
      <c r="AG5" s="2">
        <v>95</v>
      </c>
      <c r="AH5" s="19">
        <f t="shared" si="2"/>
        <v>5.5555555555555552E-2</v>
      </c>
      <c r="AI5" s="2">
        <v>134</v>
      </c>
      <c r="AJ5" s="19">
        <f t="shared" si="3"/>
        <v>0.41052631578947368</v>
      </c>
      <c r="AK5" s="2">
        <v>128</v>
      </c>
      <c r="AL5" s="19">
        <f t="shared" si="3"/>
        <v>-4.4776119402985072E-2</v>
      </c>
      <c r="AM5" s="2">
        <v>137</v>
      </c>
      <c r="AN5" s="19">
        <f t="shared" si="4"/>
        <v>7.03125E-2</v>
      </c>
      <c r="AO5" s="2">
        <v>123</v>
      </c>
      <c r="AP5" s="19">
        <f t="shared" si="5"/>
        <v>-0.10218978102189781</v>
      </c>
      <c r="AQ5" s="2">
        <v>190</v>
      </c>
      <c r="AR5" s="19">
        <f t="shared" si="6"/>
        <v>0.54471544715447151</v>
      </c>
      <c r="AS5" s="2">
        <v>119</v>
      </c>
      <c r="AT5" s="19">
        <f t="shared" si="6"/>
        <v>-0.37368421052631579</v>
      </c>
    </row>
    <row r="6" spans="1:46" x14ac:dyDescent="0.25">
      <c r="A6" s="20" t="s">
        <v>81</v>
      </c>
      <c r="D6" s="19"/>
      <c r="F6" s="19"/>
      <c r="H6" s="19"/>
      <c r="J6" s="19"/>
      <c r="L6" s="19"/>
      <c r="M6" s="2">
        <v>24</v>
      </c>
      <c r="N6" s="19"/>
      <c r="O6" s="2">
        <v>24</v>
      </c>
      <c r="P6" s="19">
        <f t="shared" si="7"/>
        <v>0</v>
      </c>
      <c r="Q6" s="2">
        <v>48</v>
      </c>
      <c r="R6" s="19">
        <f t="shared" si="7"/>
        <v>1</v>
      </c>
      <c r="S6" s="2">
        <v>25</v>
      </c>
      <c r="T6" s="19">
        <f t="shared" si="8"/>
        <v>-0.47916666666666669</v>
      </c>
      <c r="U6" s="2">
        <v>32</v>
      </c>
      <c r="V6" s="19">
        <f t="shared" si="8"/>
        <v>0.28000000000000003</v>
      </c>
      <c r="W6" s="2">
        <v>26</v>
      </c>
      <c r="X6" s="19">
        <f t="shared" si="8"/>
        <v>-0.1875</v>
      </c>
      <c r="Y6" s="2">
        <v>268</v>
      </c>
      <c r="Z6" s="19">
        <f t="shared" si="9"/>
        <v>9.3076923076923084</v>
      </c>
      <c r="AA6" s="2">
        <v>61</v>
      </c>
      <c r="AB6" s="19">
        <f t="shared" si="9"/>
        <v>-0.77238805970149249</v>
      </c>
      <c r="AC6" s="2">
        <v>41</v>
      </c>
      <c r="AD6" s="19">
        <f t="shared" si="10"/>
        <v>-0.32786885245901637</v>
      </c>
      <c r="AE6" s="2">
        <v>40</v>
      </c>
      <c r="AF6" s="19">
        <f t="shared" si="1"/>
        <v>-2.4390243902439025E-2</v>
      </c>
      <c r="AG6" s="2">
        <v>57</v>
      </c>
      <c r="AH6" s="19">
        <f t="shared" si="2"/>
        <v>0.42499999999999999</v>
      </c>
      <c r="AI6" s="2">
        <v>41</v>
      </c>
      <c r="AJ6" s="19">
        <f t="shared" si="3"/>
        <v>-0.2807017543859649</v>
      </c>
      <c r="AK6" s="2">
        <v>39</v>
      </c>
      <c r="AL6" s="19">
        <f t="shared" si="3"/>
        <v>-4.878048780487805E-2</v>
      </c>
      <c r="AM6" s="2">
        <v>46</v>
      </c>
      <c r="AN6" s="19">
        <f t="shared" si="4"/>
        <v>0.17948717948717949</v>
      </c>
      <c r="AO6" s="2">
        <v>39</v>
      </c>
      <c r="AP6" s="19">
        <f t="shared" si="5"/>
        <v>-0.15217391304347827</v>
      </c>
      <c r="AQ6" s="2">
        <v>29</v>
      </c>
      <c r="AR6" s="19">
        <f t="shared" si="6"/>
        <v>-0.25641025641025639</v>
      </c>
      <c r="AS6" s="2">
        <v>41</v>
      </c>
      <c r="AT6" s="19">
        <f t="shared" si="6"/>
        <v>0.41379310344827586</v>
      </c>
    </row>
    <row r="7" spans="1:46" x14ac:dyDescent="0.25">
      <c r="A7" s="6" t="s">
        <v>87</v>
      </c>
      <c r="M7" s="2">
        <v>7.6</v>
      </c>
      <c r="O7" s="2">
        <v>7.52</v>
      </c>
      <c r="P7" s="19">
        <f t="shared" si="7"/>
        <v>-1.0526315789473694E-2</v>
      </c>
      <c r="Q7" s="2">
        <v>6.43</v>
      </c>
      <c r="R7" s="19">
        <f t="shared" si="7"/>
        <v>-0.14494680851063829</v>
      </c>
      <c r="S7" s="2">
        <v>6.03</v>
      </c>
      <c r="T7" s="19">
        <f t="shared" si="8"/>
        <v>-6.2208398133747976E-2</v>
      </c>
      <c r="U7" s="2">
        <v>5.93</v>
      </c>
      <c r="V7" s="19">
        <f t="shared" si="8"/>
        <v>-1.6583747927031597E-2</v>
      </c>
      <c r="W7" s="2">
        <v>6.48</v>
      </c>
      <c r="X7" s="19">
        <f t="shared" si="8"/>
        <v>9.2748735244519515E-2</v>
      </c>
      <c r="Y7" s="2">
        <v>14.48</v>
      </c>
      <c r="Z7" s="19">
        <f t="shared" si="9"/>
        <v>1.2345679012345678</v>
      </c>
      <c r="AA7" s="2">
        <v>7.41</v>
      </c>
      <c r="AB7" s="19">
        <f t="shared" si="9"/>
        <v>-0.48825966850828728</v>
      </c>
      <c r="AC7" s="34">
        <v>5.6666666666666696</v>
      </c>
      <c r="AD7" s="19">
        <f t="shared" si="10"/>
        <v>-0.23526765632028751</v>
      </c>
      <c r="AE7" s="34">
        <v>4.8148148148148104</v>
      </c>
      <c r="AF7" s="19">
        <f t="shared" si="1"/>
        <v>-0.15032679738562213</v>
      </c>
      <c r="AG7" s="34">
        <v>5.6296296296296298</v>
      </c>
      <c r="AH7" s="19">
        <f t="shared" si="2"/>
        <v>0.16923076923077032</v>
      </c>
      <c r="AI7" s="34">
        <v>6.4814814814814801</v>
      </c>
      <c r="AJ7" s="19">
        <f t="shared" si="3"/>
        <v>0.15131578947368393</v>
      </c>
      <c r="AK7" s="34">
        <v>6.95</v>
      </c>
      <c r="AL7" s="19">
        <f t="shared" si="3"/>
        <v>7.228571428571455E-2</v>
      </c>
      <c r="AM7" s="34">
        <v>7.625</v>
      </c>
      <c r="AN7" s="19">
        <f t="shared" si="4"/>
        <v>9.7122302158273346E-2</v>
      </c>
      <c r="AO7" s="34">
        <v>6.75</v>
      </c>
      <c r="AP7" s="19">
        <f t="shared" si="5"/>
        <v>-0.11475409836065574</v>
      </c>
      <c r="AQ7" s="34">
        <v>7.04</v>
      </c>
      <c r="AR7" s="19">
        <f t="shared" si="6"/>
        <v>4.2962962962962967E-2</v>
      </c>
      <c r="AS7" s="2">
        <v>7.27</v>
      </c>
      <c r="AT7" s="19">
        <f t="shared" si="6"/>
        <v>3.2670454545454482E-2</v>
      </c>
    </row>
    <row r="8" spans="1:46" x14ac:dyDescent="0.25">
      <c r="A8" s="6" t="s">
        <v>99</v>
      </c>
      <c r="B8" s="2">
        <v>16.600000000000001</v>
      </c>
      <c r="C8" s="2">
        <v>17.66</v>
      </c>
      <c r="D8" s="19">
        <f>(C8-B8)/B8</f>
        <v>6.3855421686746905E-2</v>
      </c>
      <c r="E8" s="2">
        <v>26.64</v>
      </c>
      <c r="F8" s="19">
        <f t="shared" ref="F8:J8" si="11">(E8-C8)/C8</f>
        <v>0.50849377123442807</v>
      </c>
      <c r="G8" s="2">
        <v>17.149999999999999</v>
      </c>
      <c r="H8" s="19">
        <f t="shared" si="11"/>
        <v>-0.35623123123123129</v>
      </c>
      <c r="I8" s="2">
        <v>17.03</v>
      </c>
      <c r="J8" s="19">
        <f t="shared" si="11"/>
        <v>-6.9970845481048078E-3</v>
      </c>
      <c r="K8" s="2">
        <v>16.59</v>
      </c>
      <c r="L8" s="19">
        <f t="shared" ref="L8:N8" si="12">(K8-I8)/I8</f>
        <v>-2.5836758661186215E-2</v>
      </c>
      <c r="M8" s="2">
        <v>17.89</v>
      </c>
      <c r="N8" s="19">
        <f t="shared" si="12"/>
        <v>7.8360458107293599E-2</v>
      </c>
      <c r="O8" s="2">
        <v>17.55</v>
      </c>
      <c r="P8" s="19">
        <f t="shared" si="7"/>
        <v>-1.9005030743432075E-2</v>
      </c>
      <c r="R8" s="19"/>
      <c r="T8" s="19"/>
      <c r="V8" s="19"/>
      <c r="X8" s="19"/>
      <c r="Z8" s="19"/>
      <c r="AB8" s="19"/>
      <c r="AD8" s="19"/>
      <c r="AF8" s="19"/>
      <c r="AH8" s="19"/>
      <c r="AJ8" s="19"/>
      <c r="AL8" s="19"/>
      <c r="AN8" s="19"/>
      <c r="AP8" s="19"/>
      <c r="AR8" s="19"/>
      <c r="AT8" s="19"/>
    </row>
    <row r="9" spans="1:46" x14ac:dyDescent="0.25">
      <c r="A9" s="6"/>
      <c r="B9" s="10"/>
      <c r="C9" s="10"/>
      <c r="D9" s="22"/>
      <c r="E9" s="10"/>
      <c r="F9" s="22"/>
      <c r="G9" s="10"/>
      <c r="H9" s="22"/>
      <c r="I9" s="10"/>
      <c r="J9" s="22"/>
      <c r="K9" s="10"/>
      <c r="L9" s="22"/>
      <c r="M9" s="10"/>
      <c r="N9" s="22"/>
      <c r="P9" s="19"/>
      <c r="R9" s="19"/>
      <c r="T9" s="19"/>
      <c r="V9" s="19"/>
      <c r="X9" s="19"/>
      <c r="Z9" s="19"/>
      <c r="AB9" s="19"/>
      <c r="AD9" s="19"/>
      <c r="AF9" s="19"/>
      <c r="AH9" s="19"/>
      <c r="AJ9" s="19"/>
      <c r="AL9" s="19"/>
      <c r="AN9" s="19"/>
      <c r="AP9" s="19"/>
      <c r="AR9" s="19"/>
      <c r="AT9" s="19"/>
    </row>
    <row r="10" spans="1:46" x14ac:dyDescent="0.25">
      <c r="A10" s="6" t="s">
        <v>111</v>
      </c>
      <c r="B10" s="10">
        <v>2619448</v>
      </c>
      <c r="C10" s="23">
        <v>2862150</v>
      </c>
      <c r="D10" s="24">
        <f>(C10-B10)/B10</f>
        <v>9.2653872113513988E-2</v>
      </c>
      <c r="E10" s="23">
        <v>1815671</v>
      </c>
      <c r="F10" s="24">
        <f t="shared" ref="F10:J10" si="13">(E10-C10)/C10</f>
        <v>-0.36562688887724265</v>
      </c>
      <c r="G10" s="10">
        <v>2574419</v>
      </c>
      <c r="H10" s="24">
        <f t="shared" si="13"/>
        <v>0.41788848310073795</v>
      </c>
      <c r="I10" s="10">
        <v>2264533</v>
      </c>
      <c r="J10" s="19">
        <f t="shared" si="13"/>
        <v>-0.12037123716069528</v>
      </c>
      <c r="K10" s="10">
        <v>2695189</v>
      </c>
      <c r="L10" s="19">
        <f>(K10-I10)/I10</f>
        <v>0.1901743096700291</v>
      </c>
      <c r="M10" s="23">
        <v>2425215</v>
      </c>
      <c r="N10" s="24">
        <f t="shared" ref="N10:N16" si="14">(M10-K10)/K10</f>
        <v>-0.10016885643270286</v>
      </c>
      <c r="O10" s="2">
        <v>3954702</v>
      </c>
      <c r="P10" s="24">
        <f t="shared" si="7"/>
        <v>0.63066037444102896</v>
      </c>
      <c r="Q10" s="2">
        <v>3268776</v>
      </c>
      <c r="R10" s="19">
        <f t="shared" si="7"/>
        <v>-0.17344568566733978</v>
      </c>
      <c r="S10" s="32">
        <v>2749272</v>
      </c>
      <c r="T10" s="24">
        <f t="shared" si="7"/>
        <v>-0.1589292138708801</v>
      </c>
      <c r="U10" s="32">
        <v>2808985</v>
      </c>
      <c r="V10" s="19">
        <f t="shared" si="7"/>
        <v>2.1719567943804759E-2</v>
      </c>
      <c r="W10" s="2">
        <v>2656170</v>
      </c>
      <c r="X10" s="19">
        <f t="shared" si="7"/>
        <v>-5.4402212898965283E-2</v>
      </c>
      <c r="Y10" s="2">
        <v>2967533</v>
      </c>
      <c r="Z10" s="19">
        <f t="shared" ref="Z10:AB17" si="15">(Y10-W10)/W10</f>
        <v>0.11722254223186016</v>
      </c>
      <c r="AA10" s="2">
        <v>3004059</v>
      </c>
      <c r="AB10" s="19">
        <f t="shared" si="15"/>
        <v>1.2308540461049632E-2</v>
      </c>
      <c r="AC10" s="2">
        <v>2011053</v>
      </c>
      <c r="AD10" s="19">
        <f t="shared" ref="AD10:AD17" si="16">(AC10-AA10)/AA10</f>
        <v>-0.3305547594105176</v>
      </c>
      <c r="AE10" s="2">
        <v>1677792</v>
      </c>
      <c r="AF10" s="19">
        <f t="shared" ref="AF10:AF17" si="17">(AE10-AC10)/AC10</f>
        <v>-0.16571467783295618</v>
      </c>
      <c r="AG10" s="2">
        <v>2198206</v>
      </c>
      <c r="AH10" s="19">
        <f t="shared" ref="AH10:AH17" si="18">(AG10-AE10)/AE10</f>
        <v>0.3101779004787244</v>
      </c>
      <c r="AI10" s="2">
        <v>2981012</v>
      </c>
      <c r="AJ10" s="19">
        <f t="shared" ref="AJ10:AL17" si="19">(AI10-AG10)/AG10</f>
        <v>0.35611130167054406</v>
      </c>
      <c r="AK10" s="2">
        <v>2655956</v>
      </c>
      <c r="AL10" s="19">
        <f t="shared" si="19"/>
        <v>-0.10904216420463923</v>
      </c>
      <c r="AM10" s="2">
        <v>3082842</v>
      </c>
      <c r="AN10" s="19">
        <f t="shared" ref="AN10:AN17" si="20">(AM10-AK10)/AK10</f>
        <v>0.1607278132619667</v>
      </c>
      <c r="AO10" s="2">
        <v>3045924</v>
      </c>
      <c r="AP10" s="19">
        <f t="shared" ref="AP10:AP17" si="21">(AO10-AM10)/AM10</f>
        <v>-1.1975313687824417E-2</v>
      </c>
      <c r="AQ10" s="2">
        <v>2501180</v>
      </c>
      <c r="AR10" s="19">
        <f t="shared" ref="AR10:AT17" si="22">(AQ10-AO10)/AO10</f>
        <v>-0.17884359557231239</v>
      </c>
      <c r="AS10" s="2">
        <v>2233381</v>
      </c>
      <c r="AT10" s="19">
        <f t="shared" si="22"/>
        <v>-0.10706906340207423</v>
      </c>
    </row>
    <row r="11" spans="1:46" x14ac:dyDescent="0.25">
      <c r="A11" s="6" t="s">
        <v>42</v>
      </c>
      <c r="B11" s="10">
        <v>24427</v>
      </c>
      <c r="C11" s="10">
        <v>62687</v>
      </c>
      <c r="D11" s="19">
        <f t="shared" ref="D11:D16" si="23">(C11-B11)/B11</f>
        <v>1.5662995865231097</v>
      </c>
      <c r="E11" s="10">
        <v>38052</v>
      </c>
      <c r="F11" s="19">
        <f t="shared" ref="F11:F16" si="24">(E11-C11)/C11</f>
        <v>-0.39298419129963152</v>
      </c>
      <c r="G11" s="10">
        <v>24522</v>
      </c>
      <c r="H11" s="19">
        <f t="shared" ref="H11:H16" si="25">(G11-E11)/E11</f>
        <v>-0.3555660674865973</v>
      </c>
      <c r="I11" s="10">
        <v>23898</v>
      </c>
      <c r="J11" s="19">
        <f t="shared" ref="J11:J16" si="26">(I11-G11)/G11</f>
        <v>-2.5446537802789333E-2</v>
      </c>
      <c r="K11" s="10">
        <v>24847</v>
      </c>
      <c r="L11" s="19">
        <f t="shared" ref="L11:L16" si="27">(K11-I11)/I11</f>
        <v>3.9710436019750606E-2</v>
      </c>
      <c r="M11" s="10">
        <v>26925</v>
      </c>
      <c r="N11" s="19">
        <f t="shared" si="14"/>
        <v>8.3631826779892948E-2</v>
      </c>
      <c r="O11" s="2">
        <v>27499</v>
      </c>
      <c r="P11" s="19">
        <f t="shared" si="7"/>
        <v>2.1318477251624883E-2</v>
      </c>
      <c r="Q11" s="2">
        <v>23360</v>
      </c>
      <c r="R11" s="19">
        <f t="shared" si="7"/>
        <v>-0.15051456416596967</v>
      </c>
      <c r="S11" s="2">
        <v>20567</v>
      </c>
      <c r="T11" s="19">
        <f t="shared" ref="T11:X17" si="28">(S11-Q11)/Q11</f>
        <v>-0.11956335616438356</v>
      </c>
      <c r="U11" s="2">
        <v>21905</v>
      </c>
      <c r="V11" s="19">
        <f t="shared" si="28"/>
        <v>6.5055671707103607E-2</v>
      </c>
      <c r="W11" s="2">
        <v>20149</v>
      </c>
      <c r="X11" s="19">
        <f t="shared" si="28"/>
        <v>-8.0164346039716963E-2</v>
      </c>
      <c r="Y11" s="2">
        <v>26911</v>
      </c>
      <c r="Z11" s="19">
        <f t="shared" si="15"/>
        <v>0.33559978162687976</v>
      </c>
      <c r="AA11" s="2">
        <v>25926</v>
      </c>
      <c r="AB11" s="19">
        <f t="shared" si="15"/>
        <v>-3.6602132956783474E-2</v>
      </c>
      <c r="AC11" s="2">
        <v>9218</v>
      </c>
      <c r="AD11" s="19">
        <f t="shared" si="16"/>
        <v>-0.6444495872868935</v>
      </c>
      <c r="AE11" s="2">
        <v>5240</v>
      </c>
      <c r="AF11" s="19">
        <f t="shared" si="17"/>
        <v>-0.43154697331308312</v>
      </c>
      <c r="AG11" s="2">
        <v>14882</v>
      </c>
      <c r="AH11" s="19">
        <f t="shared" si="18"/>
        <v>1.8400763358778627</v>
      </c>
      <c r="AI11" s="2">
        <v>30138</v>
      </c>
      <c r="AJ11" s="19">
        <f t="shared" si="19"/>
        <v>1.0251310307754333</v>
      </c>
      <c r="AK11" s="2">
        <v>38053</v>
      </c>
      <c r="AL11" s="19">
        <f t="shared" si="19"/>
        <v>0.26262525715044133</v>
      </c>
      <c r="AM11" s="2">
        <v>30464</v>
      </c>
      <c r="AN11" s="19">
        <f t="shared" si="20"/>
        <v>-0.19943237064094815</v>
      </c>
      <c r="AO11" s="2">
        <v>26348</v>
      </c>
      <c r="AP11" s="19">
        <f t="shared" si="21"/>
        <v>-0.13511029411764705</v>
      </c>
      <c r="AQ11" s="2">
        <v>22960</v>
      </c>
      <c r="AR11" s="19">
        <f t="shared" si="22"/>
        <v>-0.12858660998937302</v>
      </c>
      <c r="AS11" s="2">
        <v>21229</v>
      </c>
      <c r="AT11" s="19">
        <f t="shared" si="22"/>
        <v>-7.539198606271777E-2</v>
      </c>
    </row>
    <row r="12" spans="1:46" x14ac:dyDescent="0.25">
      <c r="A12" s="6" t="s">
        <v>112</v>
      </c>
      <c r="B12" s="22">
        <f t="shared" ref="B12:G12" si="29">B11/B10</f>
        <v>9.3252471513082143E-3</v>
      </c>
      <c r="C12" s="22">
        <f t="shared" si="29"/>
        <v>2.1902066628234018E-2</v>
      </c>
      <c r="D12" s="24">
        <f t="shared" si="23"/>
        <v>1.3486848415767121</v>
      </c>
      <c r="E12" s="22">
        <f t="shared" si="29"/>
        <v>2.0957541316681271E-2</v>
      </c>
      <c r="F12" s="24">
        <f t="shared" si="24"/>
        <v>-4.3124940106572258E-2</v>
      </c>
      <c r="G12" s="22">
        <f t="shared" si="29"/>
        <v>9.5252559897980871E-3</v>
      </c>
      <c r="H12" s="24">
        <f t="shared" si="25"/>
        <v>-0.54549744906305364</v>
      </c>
      <c r="I12" s="22">
        <f t="shared" ref="I12:M12" si="30">I11/I10</f>
        <v>1.0553169240633721E-2</v>
      </c>
      <c r="J12" s="19">
        <f t="shared" si="26"/>
        <v>0.10791450139886717</v>
      </c>
      <c r="K12" s="22">
        <f t="shared" si="30"/>
        <v>9.2190195195958422E-3</v>
      </c>
      <c r="L12" s="19">
        <f t="shared" si="27"/>
        <v>-0.12642171186840195</v>
      </c>
      <c r="M12" s="22">
        <f t="shared" si="30"/>
        <v>1.1102108472857046E-2</v>
      </c>
      <c r="N12" s="24">
        <f t="shared" si="14"/>
        <v>0.2042613044975696</v>
      </c>
      <c r="O12" s="22">
        <f>O11/O10</f>
        <v>6.9534948524566454E-3</v>
      </c>
      <c r="P12" s="24">
        <f t="shared" si="7"/>
        <v>-0.3736779937381377</v>
      </c>
      <c r="Q12" s="22">
        <f>Q11/Q10</f>
        <v>7.1464058718003313E-3</v>
      </c>
      <c r="R12" s="19">
        <f t="shared" si="7"/>
        <v>2.774303043821643E-2</v>
      </c>
      <c r="S12" s="33">
        <v>7.4999999999999997E-3</v>
      </c>
      <c r="T12" s="24">
        <f t="shared" si="7"/>
        <v>4.9478595890410926E-2</v>
      </c>
      <c r="U12" s="33">
        <v>7.7999999999999996E-3</v>
      </c>
      <c r="V12" s="19">
        <f t="shared" si="7"/>
        <v>3.9999999999999994E-2</v>
      </c>
      <c r="W12" s="19">
        <v>7.6E-3</v>
      </c>
      <c r="X12" s="19">
        <f t="shared" si="7"/>
        <v>-2.5641025641025599E-2</v>
      </c>
      <c r="Y12" s="19">
        <v>9.1000000000000004E-3</v>
      </c>
      <c r="Z12" s="19">
        <f t="shared" si="15"/>
        <v>0.19736842105263164</v>
      </c>
      <c r="AA12" s="19">
        <v>8.6E-3</v>
      </c>
      <c r="AB12" s="19">
        <f t="shared" si="15"/>
        <v>-5.4945054945054993E-2</v>
      </c>
      <c r="AC12" s="19">
        <v>4.5836683568260001E-3</v>
      </c>
      <c r="AD12" s="19">
        <f t="shared" si="16"/>
        <v>-0.46701530734581392</v>
      </c>
      <c r="AE12" s="19">
        <v>3.1231523335431299E-3</v>
      </c>
      <c r="AF12" s="19">
        <f t="shared" si="17"/>
        <v>-0.3186347505067354</v>
      </c>
      <c r="AG12" s="19">
        <v>6.7700661357488799E-3</v>
      </c>
      <c r="AH12" s="19">
        <f t="shared" si="18"/>
        <v>1.167702824814961</v>
      </c>
      <c r="AI12" s="19">
        <v>1.01099894935009E-2</v>
      </c>
      <c r="AJ12" s="19">
        <f t="shared" si="19"/>
        <v>0.49333688782090007</v>
      </c>
      <c r="AK12" s="19">
        <v>1.4327421086795101E-2</v>
      </c>
      <c r="AL12" s="19">
        <f t="shared" si="19"/>
        <v>0.41715489378157439</v>
      </c>
      <c r="AM12" s="19">
        <v>9.8817908929487806E-3</v>
      </c>
      <c r="AN12" s="19">
        <f t="shared" si="20"/>
        <v>-0.31028823449208487</v>
      </c>
      <c r="AO12" s="19">
        <v>8.65024866017668E-3</v>
      </c>
      <c r="AP12" s="19">
        <f t="shared" si="21"/>
        <v>-0.12462743303451969</v>
      </c>
      <c r="AQ12" s="19">
        <v>9.1999999999999998E-3</v>
      </c>
      <c r="AR12" s="19">
        <f t="shared" si="22"/>
        <v>6.3553241232731372E-2</v>
      </c>
      <c r="AS12" s="19">
        <v>9.4999999999999998E-3</v>
      </c>
      <c r="AT12" s="19">
        <f t="shared" si="22"/>
        <v>3.2608695652173905E-2</v>
      </c>
    </row>
    <row r="13" spans="1:46" x14ac:dyDescent="0.25">
      <c r="A13" s="6" t="s">
        <v>43</v>
      </c>
      <c r="B13" s="25">
        <v>99.111393130552301</v>
      </c>
      <c r="C13" s="25">
        <v>67.796863783559601</v>
      </c>
      <c r="D13" s="19">
        <f t="shared" si="23"/>
        <v>-0.31595287239827541</v>
      </c>
      <c r="E13" s="25">
        <v>92.115368443183002</v>
      </c>
      <c r="F13" s="19">
        <f t="shared" si="24"/>
        <v>0.35869660191450503</v>
      </c>
      <c r="G13" s="25">
        <v>82.059538373705195</v>
      </c>
      <c r="H13" s="19">
        <f t="shared" si="25"/>
        <v>-0.10916560655869567</v>
      </c>
      <c r="I13" s="25">
        <v>80.2759226713533</v>
      </c>
      <c r="J13" s="19">
        <f t="shared" si="26"/>
        <v>-2.1735629247987935E-2</v>
      </c>
      <c r="K13" s="25">
        <v>79.840503883768704</v>
      </c>
      <c r="L13" s="19">
        <f t="shared" si="27"/>
        <v>-5.4240271938970274E-3</v>
      </c>
      <c r="M13" s="25">
        <v>87.243602599814295</v>
      </c>
      <c r="N13" s="19">
        <f t="shared" si="14"/>
        <v>9.2723597120867057E-2</v>
      </c>
      <c r="O13" s="25">
        <v>90.327320993490702</v>
      </c>
      <c r="P13" s="19">
        <f t="shared" si="7"/>
        <v>3.5346068958447281E-2</v>
      </c>
      <c r="Q13" s="25">
        <v>83.63</v>
      </c>
      <c r="R13" s="19">
        <f t="shared" si="7"/>
        <v>-7.4145019688708999E-2</v>
      </c>
      <c r="S13" s="25">
        <v>87.27</v>
      </c>
      <c r="T13" s="19">
        <f t="shared" si="28"/>
        <v>4.3525050819084067E-2</v>
      </c>
      <c r="U13" s="25">
        <v>90.03</v>
      </c>
      <c r="V13" s="19">
        <f t="shared" si="28"/>
        <v>3.1625988312134812E-2</v>
      </c>
      <c r="W13" s="25">
        <v>89.747699999999995</v>
      </c>
      <c r="X13" s="19">
        <f t="shared" si="28"/>
        <v>-3.1356214595135668E-3</v>
      </c>
      <c r="Y13" s="25">
        <v>86</v>
      </c>
      <c r="Z13" s="19">
        <f t="shared" si="15"/>
        <v>-4.1758173189953555E-2</v>
      </c>
      <c r="AA13" s="25">
        <v>115.87</v>
      </c>
      <c r="AB13" s="19">
        <f t="shared" si="15"/>
        <v>0.34732558139534891</v>
      </c>
      <c r="AC13" s="25">
        <v>101.310980668786</v>
      </c>
      <c r="AD13" s="19">
        <f t="shared" si="16"/>
        <v>-0.12564960154668164</v>
      </c>
      <c r="AE13" s="25">
        <v>91.873055319733993</v>
      </c>
      <c r="AF13" s="19">
        <f t="shared" si="17"/>
        <v>-9.3157970505756249E-2</v>
      </c>
      <c r="AG13" s="25">
        <v>89.637101827163406</v>
      </c>
      <c r="AH13" s="19">
        <f t="shared" si="18"/>
        <v>-2.4337423902896074E-2</v>
      </c>
      <c r="AI13" s="25">
        <v>86.1774500365416</v>
      </c>
      <c r="AJ13" s="19">
        <f t="shared" si="19"/>
        <v>-3.8596203135757796E-2</v>
      </c>
      <c r="AK13" s="25">
        <v>66.524752823462293</v>
      </c>
      <c r="AL13" s="19">
        <f t="shared" si="19"/>
        <v>-0.22804918461553486</v>
      </c>
      <c r="AM13" s="25">
        <v>73.601537200739799</v>
      </c>
      <c r="AN13" s="19">
        <f t="shared" si="20"/>
        <v>0.10637821377641599</v>
      </c>
      <c r="AO13" s="25">
        <v>83.1275580554111</v>
      </c>
      <c r="AP13" s="19">
        <f t="shared" si="21"/>
        <v>0.12942692798236219</v>
      </c>
      <c r="AQ13" s="25">
        <v>82.63</v>
      </c>
      <c r="AR13" s="19">
        <f t="shared" si="22"/>
        <v>-5.985476622318713E-3</v>
      </c>
      <c r="AS13" s="25">
        <v>83.37</v>
      </c>
      <c r="AT13" s="19">
        <f t="shared" si="22"/>
        <v>8.9555851385696369E-3</v>
      </c>
    </row>
    <row r="14" spans="1:46" x14ac:dyDescent="0.25">
      <c r="A14" s="6" t="s">
        <v>113</v>
      </c>
      <c r="B14" s="26">
        <v>2420994</v>
      </c>
      <c r="C14" s="26">
        <v>4249982</v>
      </c>
      <c r="D14" s="19">
        <f t="shared" si="23"/>
        <v>0.75546986072662714</v>
      </c>
      <c r="E14" s="26">
        <v>3505174</v>
      </c>
      <c r="F14" s="19">
        <f t="shared" si="24"/>
        <v>-0.17524968341042385</v>
      </c>
      <c r="G14" s="26">
        <v>2012264</v>
      </c>
      <c r="H14" s="19">
        <f t="shared" si="25"/>
        <v>-0.42591608861642816</v>
      </c>
      <c r="I14" s="26">
        <v>1918434</v>
      </c>
      <c r="J14" s="19">
        <f t="shared" si="26"/>
        <v>-4.6629070539452082E-2</v>
      </c>
      <c r="K14" s="26">
        <v>1983797</v>
      </c>
      <c r="L14" s="19">
        <f t="shared" si="27"/>
        <v>3.4071018341001048E-2</v>
      </c>
      <c r="M14" s="26">
        <v>2349034</v>
      </c>
      <c r="N14" s="19">
        <f t="shared" si="14"/>
        <v>0.18411006771358157</v>
      </c>
      <c r="O14" s="26">
        <v>2483911</v>
      </c>
      <c r="P14" s="19">
        <f t="shared" si="7"/>
        <v>5.7418070577096796E-2</v>
      </c>
      <c r="Q14" s="26">
        <v>1953634</v>
      </c>
      <c r="R14" s="19">
        <f t="shared" si="7"/>
        <v>-0.21348470214915108</v>
      </c>
      <c r="S14" s="26">
        <v>1794895</v>
      </c>
      <c r="T14" s="19">
        <f t="shared" si="28"/>
        <v>-8.1253192767939131E-2</v>
      </c>
      <c r="U14" s="26">
        <v>1972134</v>
      </c>
      <c r="V14" s="19">
        <f t="shared" si="28"/>
        <v>9.8746166210279707E-2</v>
      </c>
      <c r="W14" s="26">
        <v>1808326</v>
      </c>
      <c r="X14" s="19">
        <f t="shared" si="28"/>
        <v>-8.3061292995303571E-2</v>
      </c>
      <c r="Y14" s="26">
        <v>2314396</v>
      </c>
      <c r="Z14" s="19">
        <f t="shared" si="15"/>
        <v>0.27985551277811632</v>
      </c>
      <c r="AA14" s="26">
        <v>2355005</v>
      </c>
      <c r="AB14" s="19">
        <f t="shared" si="15"/>
        <v>1.7546262610201539E-2</v>
      </c>
      <c r="AC14" s="26">
        <v>933884.61980486801</v>
      </c>
      <c r="AD14" s="19">
        <f t="shared" si="16"/>
        <v>-0.60344686325300034</v>
      </c>
      <c r="AE14" s="26">
        <v>481414.80987540598</v>
      </c>
      <c r="AF14" s="19">
        <f t="shared" si="17"/>
        <v>-0.4845029036070902</v>
      </c>
      <c r="AG14" s="26">
        <v>1333979.3493918499</v>
      </c>
      <c r="AH14" s="19">
        <f t="shared" si="18"/>
        <v>1.7709561941750287</v>
      </c>
      <c r="AI14" s="26">
        <v>2597215.9892012901</v>
      </c>
      <c r="AJ14" s="19">
        <f t="shared" si="19"/>
        <v>0.94696866213509168</v>
      </c>
      <c r="AK14" s="26">
        <v>2531466.4191912101</v>
      </c>
      <c r="AL14" s="19">
        <f t="shared" si="19"/>
        <v>-2.5315403217696833E-2</v>
      </c>
      <c r="AM14" s="26">
        <v>2242197.2292833398</v>
      </c>
      <c r="AN14" s="19">
        <f t="shared" si="20"/>
        <v>-0.11426941622251115</v>
      </c>
      <c r="AO14" s="26">
        <v>2190244.8996439702</v>
      </c>
      <c r="AP14" s="19">
        <f t="shared" si="21"/>
        <v>-2.3170276441727134E-2</v>
      </c>
      <c r="AQ14" s="26">
        <v>1897184.39</v>
      </c>
      <c r="AR14" s="19">
        <f t="shared" si="22"/>
        <v>-0.13380262165733522</v>
      </c>
      <c r="AS14" s="26">
        <v>1769842</v>
      </c>
      <c r="AT14" s="19">
        <f t="shared" si="22"/>
        <v>-6.7121778289563047E-2</v>
      </c>
    </row>
    <row r="15" spans="1:46" s="16" customFormat="1" ht="24" x14ac:dyDescent="0.25">
      <c r="A15" s="27" t="s">
        <v>114</v>
      </c>
      <c r="B15" s="28">
        <v>0.73108443518833599</v>
      </c>
      <c r="C15" s="28">
        <v>0.73650000000000004</v>
      </c>
      <c r="D15" s="28">
        <f t="shared" si="23"/>
        <v>7.4075777721473984E-3</v>
      </c>
      <c r="E15" s="28">
        <v>0.70040000000000002</v>
      </c>
      <c r="F15" s="28">
        <f t="shared" si="24"/>
        <v>-4.9015614392396496E-2</v>
      </c>
      <c r="G15" s="28">
        <v>0.68440000000000001</v>
      </c>
      <c r="H15" s="28">
        <f t="shared" si="25"/>
        <v>-2.2844089091947479E-2</v>
      </c>
      <c r="I15" s="28">
        <v>0.67549999999999999</v>
      </c>
      <c r="J15" s="28">
        <f t="shared" si="26"/>
        <v>-1.3004091174751636E-2</v>
      </c>
      <c r="K15" s="28">
        <v>0.69450000000000001</v>
      </c>
      <c r="L15" s="28">
        <f t="shared" si="27"/>
        <v>2.8127313101406391E-2</v>
      </c>
      <c r="M15" s="28">
        <v>0.71179999999999999</v>
      </c>
      <c r="N15" s="28">
        <f t="shared" si="14"/>
        <v>2.491000719942402E-2</v>
      </c>
      <c r="O15" s="29">
        <v>0.72799999999999998</v>
      </c>
      <c r="P15" s="28">
        <f t="shared" si="7"/>
        <v>2.275920202304017E-2</v>
      </c>
      <c r="Q15" s="29">
        <v>0.72589999999999999</v>
      </c>
      <c r="R15" s="28">
        <f t="shared" si="7"/>
        <v>-2.8846153846153722E-3</v>
      </c>
      <c r="S15" s="29">
        <v>0.68200000000000005</v>
      </c>
      <c r="T15" s="28">
        <f t="shared" si="28"/>
        <v>-6.0476649676263865E-2</v>
      </c>
      <c r="U15" s="29">
        <v>0.70299999999999996</v>
      </c>
      <c r="V15" s="28">
        <f t="shared" si="28"/>
        <v>3.0791788856304847E-2</v>
      </c>
      <c r="W15" s="28">
        <v>0.64</v>
      </c>
      <c r="X15" s="28">
        <f t="shared" si="28"/>
        <v>-8.9615931721194808E-2</v>
      </c>
      <c r="Y15" s="28">
        <v>0.61739999999999995</v>
      </c>
      <c r="Z15" s="28">
        <f t="shared" si="15"/>
        <v>-3.5312500000000101E-2</v>
      </c>
      <c r="AA15" s="28">
        <v>0.64849999999999997</v>
      </c>
      <c r="AB15" s="28">
        <f t="shared" si="15"/>
        <v>5.0372529964366732E-2</v>
      </c>
      <c r="AC15" s="28">
        <v>0.67790547770647203</v>
      </c>
      <c r="AD15" s="28">
        <f t="shared" si="16"/>
        <v>4.5343836093249129E-2</v>
      </c>
      <c r="AE15" s="28">
        <v>0.60824476041548403</v>
      </c>
      <c r="AF15" s="28">
        <f t="shared" si="17"/>
        <v>-0.1027587467306918</v>
      </c>
      <c r="AG15" s="28">
        <v>0.61024621143856494</v>
      </c>
      <c r="AH15" s="28">
        <f t="shared" si="18"/>
        <v>3.2905355760298673E-3</v>
      </c>
      <c r="AI15" s="28">
        <v>0.63367047692192902</v>
      </c>
      <c r="AJ15" s="28">
        <f t="shared" si="19"/>
        <v>3.8384942084515102E-2</v>
      </c>
      <c r="AK15" s="28">
        <v>0.65335449505369603</v>
      </c>
      <c r="AL15" s="28">
        <f t="shared" si="19"/>
        <v>3.1063492538555129E-2</v>
      </c>
      <c r="AM15" s="28">
        <v>0.61025100681629196</v>
      </c>
      <c r="AN15" s="28">
        <f t="shared" si="20"/>
        <v>-6.5972590016177349E-2</v>
      </c>
      <c r="AO15" s="28">
        <v>0.59420895736310997</v>
      </c>
      <c r="AP15" s="28">
        <f t="shared" si="21"/>
        <v>-2.6287624721627444E-2</v>
      </c>
      <c r="AQ15" s="28">
        <v>0.56379999999999997</v>
      </c>
      <c r="AR15" s="28">
        <f t="shared" si="22"/>
        <v>-5.1175528383237842E-2</v>
      </c>
      <c r="AS15" s="28">
        <v>0.51770000000000005</v>
      </c>
      <c r="AT15" s="28">
        <f t="shared" si="22"/>
        <v>-8.1766583894998093E-2</v>
      </c>
    </row>
    <row r="16" spans="1:46" x14ac:dyDescent="0.25">
      <c r="A16" s="6" t="s">
        <v>115</v>
      </c>
      <c r="B16" s="26">
        <v>12634</v>
      </c>
      <c r="C16" s="26">
        <v>215418</v>
      </c>
      <c r="D16" s="19">
        <f t="shared" si="23"/>
        <v>16.050656957416496</v>
      </c>
      <c r="E16" s="26">
        <v>184743</v>
      </c>
      <c r="F16" s="19">
        <f t="shared" si="24"/>
        <v>-0.14239757123360164</v>
      </c>
      <c r="G16" s="26">
        <v>8862</v>
      </c>
      <c r="H16" s="19">
        <f t="shared" si="25"/>
        <v>-0.95203065880709958</v>
      </c>
      <c r="I16" s="26">
        <v>8656</v>
      </c>
      <c r="J16" s="19">
        <f t="shared" si="26"/>
        <v>-2.3245317084179644E-2</v>
      </c>
      <c r="K16" s="26">
        <v>6997</v>
      </c>
      <c r="L16" s="19">
        <f t="shared" si="27"/>
        <v>-0.19165896487985212</v>
      </c>
      <c r="M16" s="26">
        <v>6873</v>
      </c>
      <c r="N16" s="19">
        <f t="shared" si="14"/>
        <v>-1.7721880806059739E-2</v>
      </c>
      <c r="O16" s="26">
        <v>7535</v>
      </c>
      <c r="P16" s="19">
        <f t="shared" si="7"/>
        <v>9.6318929143023424E-2</v>
      </c>
      <c r="Q16" s="26">
        <v>6613</v>
      </c>
      <c r="R16" s="19">
        <f t="shared" si="7"/>
        <v>-0.12236230922362309</v>
      </c>
      <c r="S16" s="26">
        <v>5661</v>
      </c>
      <c r="T16" s="19">
        <f t="shared" si="28"/>
        <v>-0.14395886889460155</v>
      </c>
      <c r="U16" s="26">
        <v>6240</v>
      </c>
      <c r="V16" s="19">
        <f t="shared" si="28"/>
        <v>0.10227874933757286</v>
      </c>
      <c r="W16" s="26">
        <v>5362</v>
      </c>
      <c r="X16" s="19">
        <f t="shared" si="28"/>
        <v>-0.1407051282051282</v>
      </c>
      <c r="Y16" s="26">
        <v>42992.4</v>
      </c>
      <c r="Z16" s="19">
        <f t="shared" si="15"/>
        <v>7.0179783662812385</v>
      </c>
      <c r="AA16" s="26">
        <v>77203.399999999994</v>
      </c>
      <c r="AB16" s="19">
        <f t="shared" si="15"/>
        <v>0.79574529451717024</v>
      </c>
      <c r="AC16" s="26">
        <v>2664</v>
      </c>
      <c r="AD16" s="19">
        <f t="shared" si="16"/>
        <v>-0.96549374768468743</v>
      </c>
      <c r="AE16" s="26">
        <v>8964.11999712139</v>
      </c>
      <c r="AF16" s="19">
        <f t="shared" si="17"/>
        <v>2.3649099088293508</v>
      </c>
      <c r="AG16" s="26">
        <v>27484.629968501598</v>
      </c>
      <c r="AH16" s="19">
        <f t="shared" si="18"/>
        <v>2.0660711790256738</v>
      </c>
      <c r="AI16" s="26">
        <v>176583.57002128701</v>
      </c>
      <c r="AJ16" s="19">
        <f t="shared" si="19"/>
        <v>5.4248116210281276</v>
      </c>
      <c r="AK16" s="26">
        <v>146165.11005488</v>
      </c>
      <c r="AL16" s="19">
        <f t="shared" si="19"/>
        <v>-0.17226098647082563</v>
      </c>
      <c r="AM16" s="26">
        <v>58302.369983382501</v>
      </c>
      <c r="AN16" s="19">
        <f t="shared" si="20"/>
        <v>-0.60111978869997129</v>
      </c>
      <c r="AO16" s="26">
        <v>87236.299986816899</v>
      </c>
      <c r="AP16" s="19">
        <f t="shared" si="21"/>
        <v>0.49627365082553632</v>
      </c>
      <c r="AQ16" s="26">
        <v>52177.97</v>
      </c>
      <c r="AR16" s="19">
        <f t="shared" si="22"/>
        <v>-0.40187777326772106</v>
      </c>
      <c r="AS16" s="26">
        <v>49859</v>
      </c>
      <c r="AT16" s="19">
        <f t="shared" si="22"/>
        <v>-4.4443469149911374E-2</v>
      </c>
    </row>
    <row r="17" spans="1:46" x14ac:dyDescent="0.25">
      <c r="A17" s="6" t="s">
        <v>116</v>
      </c>
      <c r="B17" s="19">
        <v>0.25840000000000002</v>
      </c>
      <c r="C17" s="19">
        <v>0.2107</v>
      </c>
      <c r="D17" s="19">
        <v>-0.226388229710489</v>
      </c>
      <c r="E17" s="19">
        <v>0.2112</v>
      </c>
      <c r="F17" s="19">
        <v>2.3674242424242399E-3</v>
      </c>
      <c r="G17" s="19">
        <v>0.2155</v>
      </c>
      <c r="H17" s="19">
        <v>1.9953596287703001E-2</v>
      </c>
      <c r="I17" s="19">
        <v>0.2122</v>
      </c>
      <c r="J17" s="19">
        <v>-1.5551366635249799E-2</v>
      </c>
      <c r="K17" s="19">
        <v>0.21870000000000001</v>
      </c>
      <c r="L17" s="19">
        <v>2.9721079103795199E-2</v>
      </c>
      <c r="M17" s="19">
        <v>0.21310000000000001</v>
      </c>
      <c r="N17" s="19">
        <v>-2.6278742374471999E-2</v>
      </c>
      <c r="O17" s="19">
        <v>0.21859999999999999</v>
      </c>
      <c r="P17" s="19">
        <f t="shared" si="7"/>
        <v>2.5809479117784969E-2</v>
      </c>
      <c r="Q17" s="19">
        <v>0.2092</v>
      </c>
      <c r="R17" s="19">
        <f t="shared" si="7"/>
        <v>-4.3000914913083221E-2</v>
      </c>
      <c r="S17" s="19">
        <v>0.2213</v>
      </c>
      <c r="T17" s="19">
        <f t="shared" si="28"/>
        <v>5.7839388145315487E-2</v>
      </c>
      <c r="U17" s="19">
        <v>0.22159999999999999</v>
      </c>
      <c r="V17" s="19">
        <f t="shared" si="28"/>
        <v>1.3556258472661306E-3</v>
      </c>
      <c r="W17" s="19">
        <v>0.21279999999999999</v>
      </c>
      <c r="X17" s="19">
        <f t="shared" si="28"/>
        <v>-3.9711191335740081E-2</v>
      </c>
      <c r="Y17" s="19">
        <v>0.20530000000000001</v>
      </c>
      <c r="Z17" s="19">
        <f t="shared" si="15"/>
        <v>-3.5244360902255543E-2</v>
      </c>
      <c r="AA17" s="19">
        <v>0.2087</v>
      </c>
      <c r="AB17" s="19">
        <f t="shared" si="15"/>
        <v>1.6561130053580061E-2</v>
      </c>
      <c r="AC17" s="19">
        <v>0.19819999999999999</v>
      </c>
      <c r="AD17" s="19">
        <f t="shared" si="16"/>
        <v>-5.0311451844753281E-2</v>
      </c>
      <c r="AE17" s="19">
        <v>0.2089</v>
      </c>
      <c r="AF17" s="19">
        <f t="shared" si="17"/>
        <v>5.3985872855701389E-2</v>
      </c>
      <c r="AG17" s="19">
        <v>0.2104</v>
      </c>
      <c r="AH17" s="19">
        <f t="shared" si="18"/>
        <v>7.1804691239827729E-3</v>
      </c>
      <c r="AI17" s="19">
        <v>0.20930000000000001</v>
      </c>
      <c r="AJ17" s="19">
        <f t="shared" si="19"/>
        <v>-5.2281368821292295E-3</v>
      </c>
      <c r="AK17" s="19">
        <v>0.20730000000000001</v>
      </c>
      <c r="AL17" s="19">
        <f t="shared" si="19"/>
        <v>-9.5556617295747808E-3</v>
      </c>
      <c r="AM17" s="19">
        <v>0.20849999999999999</v>
      </c>
      <c r="AN17" s="19">
        <f t="shared" si="20"/>
        <v>5.7887120115773221E-3</v>
      </c>
      <c r="AO17" s="19">
        <v>0.19620000000000001</v>
      </c>
      <c r="AP17" s="19">
        <f t="shared" si="21"/>
        <v>-5.8992805755395582E-2</v>
      </c>
      <c r="AQ17" s="19">
        <v>0.20499999999999999</v>
      </c>
      <c r="AR17" s="19">
        <f t="shared" si="22"/>
        <v>4.4852191641182336E-2</v>
      </c>
      <c r="AS17" s="19">
        <v>0.20860000000000001</v>
      </c>
      <c r="AT17" s="19">
        <f t="shared" si="22"/>
        <v>1.7560975609756196E-2</v>
      </c>
    </row>
    <row r="18" spans="1:46" x14ac:dyDescent="0.25">
      <c r="F18" s="19"/>
    </row>
  </sheetData>
  <mergeCells count="24">
    <mergeCell ref="AT2:AT3"/>
    <mergeCell ref="AR2:AR3"/>
    <mergeCell ref="AH2:AH3"/>
    <mergeCell ref="AJ2:AJ3"/>
    <mergeCell ref="AL2:AL3"/>
    <mergeCell ref="AN2:AN3"/>
    <mergeCell ref="AP2:AP3"/>
    <mergeCell ref="X2:X3"/>
    <mergeCell ref="Z2:Z3"/>
    <mergeCell ref="AB2:AB3"/>
    <mergeCell ref="AD2:AD3"/>
    <mergeCell ref="AF2:AF3"/>
    <mergeCell ref="B1:V1"/>
    <mergeCell ref="A1:A3"/>
    <mergeCell ref="D2:D3"/>
    <mergeCell ref="F2:F3"/>
    <mergeCell ref="H2:H3"/>
    <mergeCell ref="J2:J3"/>
    <mergeCell ref="L2:L3"/>
    <mergeCell ref="N2:N3"/>
    <mergeCell ref="P2:P3"/>
    <mergeCell ref="R2:R3"/>
    <mergeCell ref="T2:T3"/>
    <mergeCell ref="V2:V3"/>
  </mergeCells>
  <phoneticPr fontId="14" type="noConversion"/>
  <conditionalFormatting sqref="R10">
    <cfRule type="cellIs" dxfId="157" priority="107" operator="lessThan">
      <formula>0</formula>
    </cfRule>
    <cfRule type="cellIs" dxfId="156" priority="108" operator="greaterThan">
      <formula>0</formula>
    </cfRule>
  </conditionalFormatting>
  <conditionalFormatting sqref="V10">
    <cfRule type="cellIs" dxfId="155" priority="95" operator="lessThan">
      <formula>0</formula>
    </cfRule>
    <cfRule type="cellIs" dxfId="154" priority="96" operator="greaterThan">
      <formula>0</formula>
    </cfRule>
  </conditionalFormatting>
  <conditionalFormatting sqref="X10">
    <cfRule type="cellIs" dxfId="153" priority="89" operator="lessThan">
      <formula>0</formula>
    </cfRule>
    <cfRule type="cellIs" dxfId="152" priority="90" operator="greaterThan">
      <formula>0</formula>
    </cfRule>
  </conditionalFormatting>
  <conditionalFormatting sqref="Z10">
    <cfRule type="cellIs" dxfId="151" priority="83" operator="lessThan">
      <formula>0</formula>
    </cfRule>
    <cfRule type="cellIs" dxfId="150" priority="84" operator="greaterThan">
      <formula>0</formula>
    </cfRule>
  </conditionalFormatting>
  <conditionalFormatting sqref="AB10">
    <cfRule type="cellIs" dxfId="149" priority="75" operator="lessThan">
      <formula>0</formula>
    </cfRule>
    <cfRule type="cellIs" dxfId="148" priority="76" operator="greaterThan">
      <formula>0</formula>
    </cfRule>
  </conditionalFormatting>
  <conditionalFormatting sqref="AD10">
    <cfRule type="cellIs" dxfId="147" priority="68" operator="greaterThan">
      <formula>0</formula>
    </cfRule>
    <cfRule type="cellIs" dxfId="146" priority="67" operator="lessThan">
      <formula>0</formula>
    </cfRule>
  </conditionalFormatting>
  <conditionalFormatting sqref="AF10">
    <cfRule type="cellIs" dxfId="145" priority="60" operator="greaterThan">
      <formula>0</formula>
    </cfRule>
    <cfRule type="cellIs" dxfId="144" priority="59" operator="lessThan">
      <formula>0</formula>
    </cfRule>
  </conditionalFormatting>
  <conditionalFormatting sqref="AH10">
    <cfRule type="cellIs" dxfId="143" priority="52" operator="greaterThan">
      <formula>0</formula>
    </cfRule>
    <cfRule type="cellIs" dxfId="142" priority="51" operator="lessThan">
      <formula>0</formula>
    </cfRule>
  </conditionalFormatting>
  <conditionalFormatting sqref="AJ10">
    <cfRule type="cellIs" dxfId="141" priority="44" operator="greaterThan">
      <formula>0</formula>
    </cfRule>
    <cfRule type="cellIs" dxfId="140" priority="43" operator="lessThan">
      <formula>0</formula>
    </cfRule>
  </conditionalFormatting>
  <conditionalFormatting sqref="AL10">
    <cfRule type="cellIs" dxfId="139" priority="35" operator="lessThan">
      <formula>0</formula>
    </cfRule>
    <cfRule type="cellIs" dxfId="138" priority="36" operator="greaterThan">
      <formula>0</formula>
    </cfRule>
  </conditionalFormatting>
  <conditionalFormatting sqref="AN10">
    <cfRule type="cellIs" dxfId="137" priority="28" operator="greaterThan">
      <formula>0</formula>
    </cfRule>
    <cfRule type="cellIs" dxfId="136" priority="27" operator="lessThan">
      <formula>0</formula>
    </cfRule>
  </conditionalFormatting>
  <conditionalFormatting sqref="AP10">
    <cfRule type="cellIs" dxfId="135" priority="20" operator="greaterThan">
      <formula>0</formula>
    </cfRule>
    <cfRule type="cellIs" dxfId="134" priority="19" operator="lessThan">
      <formula>0</formula>
    </cfRule>
  </conditionalFormatting>
  <conditionalFormatting sqref="R12">
    <cfRule type="cellIs" dxfId="133" priority="105" operator="lessThan">
      <formula>0</formula>
    </cfRule>
    <cfRule type="cellIs" dxfId="132" priority="106" operator="greaterThan">
      <formula>0</formula>
    </cfRule>
  </conditionalFormatting>
  <conditionalFormatting sqref="V12">
    <cfRule type="cellIs" dxfId="131" priority="93" operator="lessThan">
      <formula>0</formula>
    </cfRule>
    <cfRule type="cellIs" dxfId="130" priority="94" operator="greaterThan">
      <formula>0</formula>
    </cfRule>
  </conditionalFormatting>
  <conditionalFormatting sqref="X12">
    <cfRule type="cellIs" dxfId="129" priority="87" operator="lessThan">
      <formula>0</formula>
    </cfRule>
    <cfRule type="cellIs" dxfId="128" priority="88" operator="greaterThan">
      <formula>0</formula>
    </cfRule>
  </conditionalFormatting>
  <conditionalFormatting sqref="Z12">
    <cfRule type="cellIs" dxfId="127" priority="81" operator="lessThan">
      <formula>0</formula>
    </cfRule>
    <cfRule type="cellIs" dxfId="126" priority="82" operator="greaterThan">
      <formula>0</formula>
    </cfRule>
  </conditionalFormatting>
  <conditionalFormatting sqref="AB12">
    <cfRule type="cellIs" dxfId="125" priority="73" operator="lessThan">
      <formula>0</formula>
    </cfRule>
    <cfRule type="cellIs" dxfId="124" priority="74" operator="greaterThan">
      <formula>0</formula>
    </cfRule>
  </conditionalFormatting>
  <conditionalFormatting sqref="AD12">
    <cfRule type="cellIs" dxfId="123" priority="66" operator="greaterThan">
      <formula>0</formula>
    </cfRule>
    <cfRule type="cellIs" dxfId="122" priority="65" operator="lessThan">
      <formula>0</formula>
    </cfRule>
  </conditionalFormatting>
  <conditionalFormatting sqref="AF12">
    <cfRule type="cellIs" dxfId="121" priority="58" operator="greaterThan">
      <formula>0</formula>
    </cfRule>
    <cfRule type="cellIs" dxfId="120" priority="57" operator="lessThan">
      <formula>0</formula>
    </cfRule>
  </conditionalFormatting>
  <conditionalFormatting sqref="AH12">
    <cfRule type="cellIs" dxfId="119" priority="50" operator="greaterThan">
      <formula>0</formula>
    </cfRule>
    <cfRule type="cellIs" dxfId="118" priority="49" operator="lessThan">
      <formula>0</formula>
    </cfRule>
  </conditionalFormatting>
  <conditionalFormatting sqref="AJ12">
    <cfRule type="cellIs" dxfId="117" priority="42" operator="greaterThan">
      <formula>0</formula>
    </cfRule>
    <cfRule type="cellIs" dxfId="116" priority="41" operator="lessThan">
      <formula>0</formula>
    </cfRule>
  </conditionalFormatting>
  <conditionalFormatting sqref="AL12">
    <cfRule type="cellIs" dxfId="115" priority="33" operator="lessThan">
      <formula>0</formula>
    </cfRule>
    <cfRule type="cellIs" dxfId="114" priority="34" operator="greaterThan">
      <formula>0</formula>
    </cfRule>
  </conditionalFormatting>
  <conditionalFormatting sqref="AN12">
    <cfRule type="cellIs" dxfId="113" priority="26" operator="greaterThan">
      <formula>0</formula>
    </cfRule>
    <cfRule type="cellIs" dxfId="112" priority="25" operator="lessThan">
      <formula>0</formula>
    </cfRule>
  </conditionalFormatting>
  <conditionalFormatting sqref="AP12">
    <cfRule type="cellIs" dxfId="111" priority="18" operator="greaterThan">
      <formula>0</formula>
    </cfRule>
    <cfRule type="cellIs" dxfId="110" priority="17" operator="lessThan">
      <formula>0</formula>
    </cfRule>
  </conditionalFormatting>
  <conditionalFormatting sqref="D17">
    <cfRule type="cellIs" dxfId="109" priority="127" operator="lessThan">
      <formula>0</formula>
    </cfRule>
    <cfRule type="cellIs" dxfId="108" priority="128" operator="greaterThan">
      <formula>0</formula>
    </cfRule>
  </conditionalFormatting>
  <conditionalFormatting sqref="F17">
    <cfRule type="cellIs" dxfId="107" priority="123" operator="lessThan">
      <formula>0</formula>
    </cfRule>
    <cfRule type="cellIs" dxfId="106" priority="124" operator="greaterThan">
      <formula>0</formula>
    </cfRule>
  </conditionalFormatting>
  <conditionalFormatting sqref="H17">
    <cfRule type="cellIs" dxfId="105" priority="121" operator="lessThan">
      <formula>0</formula>
    </cfRule>
    <cfRule type="cellIs" dxfId="104" priority="122" operator="greaterThan">
      <formula>0</formula>
    </cfRule>
  </conditionalFormatting>
  <conditionalFormatting sqref="J17">
    <cfRule type="cellIs" dxfId="103" priority="119" operator="lessThan">
      <formula>0</formula>
    </cfRule>
    <cfRule type="cellIs" dxfId="102" priority="120" operator="greaterThan">
      <formula>0</formula>
    </cfRule>
  </conditionalFormatting>
  <conditionalFormatting sqref="L17">
    <cfRule type="cellIs" dxfId="101" priority="117" operator="lessThan">
      <formula>0</formula>
    </cfRule>
    <cfRule type="cellIs" dxfId="100" priority="118" operator="greaterThan">
      <formula>0</formula>
    </cfRule>
  </conditionalFormatting>
  <conditionalFormatting sqref="N17">
    <cfRule type="cellIs" dxfId="99" priority="115" operator="lessThan">
      <formula>0</formula>
    </cfRule>
    <cfRule type="cellIs" dxfId="98" priority="116" operator="greaterThan">
      <formula>0</formula>
    </cfRule>
  </conditionalFormatting>
  <conditionalFormatting sqref="AB17">
    <cfRule type="cellIs" dxfId="97" priority="79" operator="lessThan">
      <formula>0</formula>
    </cfRule>
    <cfRule type="cellIs" dxfId="96" priority="80" operator="greaterThan">
      <formula>0</formula>
    </cfRule>
  </conditionalFormatting>
  <conditionalFormatting sqref="AD17">
    <cfRule type="cellIs" dxfId="95" priority="72" operator="greaterThan">
      <formula>0</formula>
    </cfRule>
    <cfRule type="cellIs" dxfId="94" priority="71" operator="lessThan">
      <formula>0</formula>
    </cfRule>
  </conditionalFormatting>
  <conditionalFormatting sqref="AF17">
    <cfRule type="cellIs" dxfId="93" priority="64" operator="greaterThan">
      <formula>0</formula>
    </cfRule>
    <cfRule type="cellIs" dxfId="92" priority="63" operator="lessThan">
      <formula>0</formula>
    </cfRule>
  </conditionalFormatting>
  <conditionalFormatting sqref="AH17">
    <cfRule type="cellIs" dxfId="91" priority="56" operator="greaterThan">
      <formula>0</formula>
    </cfRule>
    <cfRule type="cellIs" dxfId="90" priority="55" operator="lessThan">
      <formula>0</formula>
    </cfRule>
  </conditionalFormatting>
  <conditionalFormatting sqref="AJ17">
    <cfRule type="cellIs" dxfId="89" priority="48" operator="greaterThan">
      <formula>0</formula>
    </cfRule>
    <cfRule type="cellIs" dxfId="88" priority="47" operator="lessThan">
      <formula>0</formula>
    </cfRule>
  </conditionalFormatting>
  <conditionalFormatting sqref="AL17">
    <cfRule type="cellIs" dxfId="87" priority="39" operator="lessThan">
      <formula>0</formula>
    </cfRule>
    <cfRule type="cellIs" dxfId="86" priority="40" operator="greaterThan">
      <formula>0</formula>
    </cfRule>
  </conditionalFormatting>
  <conditionalFormatting sqref="AN17">
    <cfRule type="cellIs" dxfId="85" priority="32" operator="greaterThan">
      <formula>0</formula>
    </cfRule>
    <cfRule type="cellIs" dxfId="84" priority="31" operator="lessThan">
      <formula>0</formula>
    </cfRule>
  </conditionalFormatting>
  <conditionalFormatting sqref="AP17">
    <cfRule type="cellIs" dxfId="83" priority="24" operator="greaterThan">
      <formula>0</formula>
    </cfRule>
    <cfRule type="cellIs" dxfId="82" priority="23" operator="lessThan">
      <formula>0</formula>
    </cfRule>
  </conditionalFormatting>
  <conditionalFormatting sqref="F18">
    <cfRule type="cellIs" dxfId="81" priority="125" operator="lessThan">
      <formula>0</formula>
    </cfRule>
    <cfRule type="cellIs" dxfId="80" priority="126" operator="greaterThan">
      <formula>0</formula>
    </cfRule>
  </conditionalFormatting>
  <conditionalFormatting sqref="J8:J16">
    <cfRule type="cellIs" dxfId="79" priority="133" operator="lessThan">
      <formula>0</formula>
    </cfRule>
    <cfRule type="cellIs" dxfId="78" priority="134" operator="greaterThan">
      <formula>0</formula>
    </cfRule>
  </conditionalFormatting>
  <conditionalFormatting sqref="L8:L16">
    <cfRule type="cellIs" dxfId="77" priority="131" operator="lessThan">
      <formula>0</formula>
    </cfRule>
    <cfRule type="cellIs" dxfId="76" priority="132" operator="greaterThan">
      <formula>0</formula>
    </cfRule>
  </conditionalFormatting>
  <conditionalFormatting sqref="P4:P9 P11 P13:P17">
    <cfRule type="cellIs" dxfId="75" priority="111" operator="lessThan">
      <formula>0</formula>
    </cfRule>
    <cfRule type="cellIs" dxfId="74" priority="112" operator="greaterThan">
      <formula>0</formula>
    </cfRule>
  </conditionalFormatting>
  <conditionalFormatting sqref="R4:R9 R11 R13:R17">
    <cfRule type="cellIs" dxfId="73" priority="109" operator="lessThan">
      <formula>0</formula>
    </cfRule>
    <cfRule type="cellIs" dxfId="72" priority="110" operator="greaterThan">
      <formula>0</formula>
    </cfRule>
  </conditionalFormatting>
  <conditionalFormatting sqref="T4:T9 T11 T13:T17">
    <cfRule type="cellIs" dxfId="71" priority="103" operator="lessThan">
      <formula>0</formula>
    </cfRule>
    <cfRule type="cellIs" dxfId="70" priority="104" operator="greaterThan">
      <formula>0</formula>
    </cfRule>
  </conditionalFormatting>
  <conditionalFormatting sqref="V4:V9 V11 V13:V17">
    <cfRule type="cellIs" dxfId="69" priority="97" operator="lessThan">
      <formula>0</formula>
    </cfRule>
    <cfRule type="cellIs" dxfId="68" priority="98" operator="greaterThan">
      <formula>0</formula>
    </cfRule>
  </conditionalFormatting>
  <conditionalFormatting sqref="X4:X9 X11 X13:X17">
    <cfRule type="cellIs" dxfId="67" priority="91" operator="lessThan">
      <formula>0</formula>
    </cfRule>
    <cfRule type="cellIs" dxfId="66" priority="92" operator="greaterThan">
      <formula>0</formula>
    </cfRule>
  </conditionalFormatting>
  <conditionalFormatting sqref="Z4:Z9 Z11 Z13:Z17">
    <cfRule type="cellIs" dxfId="65" priority="85" operator="lessThan">
      <formula>0</formula>
    </cfRule>
    <cfRule type="cellIs" dxfId="64" priority="86" operator="greaterThan">
      <formula>0</formula>
    </cfRule>
  </conditionalFormatting>
  <conditionalFormatting sqref="AB4:AB9 AB11 AB13:AB16">
    <cfRule type="cellIs" dxfId="63" priority="77" operator="lessThan">
      <formula>0</formula>
    </cfRule>
    <cfRule type="cellIs" dxfId="62" priority="78" operator="greaterThan">
      <formula>0</formula>
    </cfRule>
  </conditionalFormatting>
  <conditionalFormatting sqref="AD4:AD9 AD11 AD13:AD16">
    <cfRule type="cellIs" dxfId="61" priority="70" operator="greaterThan">
      <formula>0</formula>
    </cfRule>
    <cfRule type="cellIs" dxfId="60" priority="69" operator="lessThan">
      <formula>0</formula>
    </cfRule>
  </conditionalFormatting>
  <conditionalFormatting sqref="AF4:AF9 AF11 AF13:AF16">
    <cfRule type="cellIs" dxfId="59" priority="62" operator="greaterThan">
      <formula>0</formula>
    </cfRule>
    <cfRule type="cellIs" dxfId="58" priority="61" operator="lessThan">
      <formula>0</formula>
    </cfRule>
  </conditionalFormatting>
  <conditionalFormatting sqref="AH4:AH9 AH11 AH13:AH16">
    <cfRule type="cellIs" dxfId="57" priority="54" operator="greaterThan">
      <formula>0</formula>
    </cfRule>
    <cfRule type="cellIs" dxfId="56" priority="53" operator="lessThan">
      <formula>0</formula>
    </cfRule>
  </conditionalFormatting>
  <conditionalFormatting sqref="AJ4:AJ9 AJ11 AJ13:AJ16">
    <cfRule type="cellIs" dxfId="55" priority="46" operator="greaterThan">
      <formula>0</formula>
    </cfRule>
    <cfRule type="cellIs" dxfId="54" priority="45" operator="lessThan">
      <formula>0</formula>
    </cfRule>
  </conditionalFormatting>
  <conditionalFormatting sqref="AL4:AL9 AL11 AL13:AL16">
    <cfRule type="cellIs" dxfId="53" priority="37" operator="lessThan">
      <formula>0</formula>
    </cfRule>
    <cfRule type="cellIs" dxfId="52" priority="38" operator="greaterThan">
      <formula>0</formula>
    </cfRule>
  </conditionalFormatting>
  <conditionalFormatting sqref="AN4:AN9 AN11 AN13:AN16">
    <cfRule type="cellIs" dxfId="51" priority="30" operator="greaterThan">
      <formula>0</formula>
    </cfRule>
    <cfRule type="cellIs" dxfId="50" priority="29" operator="lessThan">
      <formula>0</formula>
    </cfRule>
  </conditionalFormatting>
  <conditionalFormatting sqref="AP4:AP9 AP11 AP13:AP16">
    <cfRule type="cellIs" dxfId="49" priority="22" operator="greaterThan">
      <formula>0</formula>
    </cfRule>
    <cfRule type="cellIs" dxfId="48" priority="21" operator="lessThan">
      <formula>0</formula>
    </cfRule>
  </conditionalFormatting>
  <conditionalFormatting sqref="D8:D9 D11 D13:D16">
    <cfRule type="cellIs" dxfId="47" priority="139" operator="lessThan">
      <formula>0</formula>
    </cfRule>
    <cfRule type="cellIs" dxfId="46" priority="140" operator="greaterThan">
      <formula>0</formula>
    </cfRule>
  </conditionalFormatting>
  <conditionalFormatting sqref="F8:F9 F11 F13:F16">
    <cfRule type="cellIs" dxfId="45" priority="137" operator="lessThan">
      <formula>0</formula>
    </cfRule>
    <cfRule type="cellIs" dxfId="44" priority="138" operator="greaterThan">
      <formula>0</formula>
    </cfRule>
  </conditionalFormatting>
  <conditionalFormatting sqref="H8:H9 H11 H13:H16">
    <cfRule type="cellIs" dxfId="43" priority="135" operator="lessThan">
      <formula>0</formula>
    </cfRule>
    <cfRule type="cellIs" dxfId="42" priority="136" operator="greaterThan">
      <formula>0</formula>
    </cfRule>
  </conditionalFormatting>
  <conditionalFormatting sqref="N8:N9 N11 N13:N16">
    <cfRule type="cellIs" dxfId="41" priority="129" operator="lessThan">
      <formula>0</formula>
    </cfRule>
    <cfRule type="cellIs" dxfId="40" priority="130" operator="greaterThan">
      <formula>0</formula>
    </cfRule>
  </conditionalFormatting>
  <conditionalFormatting sqref="AR10">
    <cfRule type="cellIs" dxfId="39" priority="11" operator="lessThan">
      <formula>0</formula>
    </cfRule>
    <cfRule type="cellIs" dxfId="38" priority="12" operator="greaterThan">
      <formula>0</formula>
    </cfRule>
  </conditionalFormatting>
  <conditionalFormatting sqref="AR12">
    <cfRule type="cellIs" dxfId="37" priority="9" operator="lessThan">
      <formula>0</formula>
    </cfRule>
    <cfRule type="cellIs" dxfId="36" priority="10" operator="greaterThan">
      <formula>0</formula>
    </cfRule>
  </conditionalFormatting>
  <conditionalFormatting sqref="AR17">
    <cfRule type="cellIs" dxfId="35" priority="15" operator="lessThan">
      <formula>0</formula>
    </cfRule>
    <cfRule type="cellIs" dxfId="34" priority="16" operator="greaterThan">
      <formula>0</formula>
    </cfRule>
  </conditionalFormatting>
  <conditionalFormatting sqref="AR4:AR9 AR11 AR13:AR16">
    <cfRule type="cellIs" dxfId="33" priority="13" operator="lessThan">
      <formula>0</formula>
    </cfRule>
    <cfRule type="cellIs" dxfId="32" priority="14" operator="greaterThan">
      <formula>0</formula>
    </cfRule>
  </conditionalFormatting>
  <conditionalFormatting sqref="AT10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T12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AT17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AT4:AT9 AT11 AT13:AT16">
    <cfRule type="cellIs" dxfId="1" priority="5" operator="lessThan">
      <formula>0</formula>
    </cfRule>
    <cfRule type="cellIs" dxfId="0" priority="6" operator="greaterThan">
      <formula>0</formula>
    </cfRule>
  </conditionalFormatting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workbookViewId="0">
      <pane xSplit="1" ySplit="3" topLeftCell="N4" activePane="bottomRight" state="frozen"/>
      <selection pane="topRight"/>
      <selection pane="bottomLeft"/>
      <selection pane="bottomRight" activeCell="X5" sqref="X5"/>
    </sheetView>
  </sheetViews>
  <sheetFormatPr defaultColWidth="9" defaultRowHeight="14.4" x14ac:dyDescent="0.25"/>
  <cols>
    <col min="1" max="1" width="14" style="1" customWidth="1"/>
    <col min="2" max="9" width="14.6640625" style="2" customWidth="1"/>
    <col min="10" max="10" width="13.88671875" style="2" customWidth="1"/>
    <col min="11" max="11" width="14.6640625" style="2" customWidth="1"/>
    <col min="12" max="12" width="13.88671875" style="2" customWidth="1"/>
    <col min="13" max="13" width="14.6640625" style="2" customWidth="1"/>
    <col min="14" max="21" width="13.88671875" style="2" customWidth="1"/>
    <col min="22" max="23" width="13.88671875" style="2" bestFit="1" customWidth="1"/>
    <col min="24" max="16384" width="9" style="2"/>
  </cols>
  <sheetData>
    <row r="1" spans="1:23" s="1" customFormat="1" x14ac:dyDescent="0.25">
      <c r="A1" s="54"/>
      <c r="B1" s="53" t="s">
        <v>117</v>
      </c>
      <c r="C1" s="53"/>
      <c r="D1" s="53"/>
      <c r="E1" s="53"/>
      <c r="F1" s="53"/>
      <c r="G1" s="53"/>
      <c r="H1" s="53"/>
      <c r="I1" s="53"/>
      <c r="J1" s="53"/>
    </row>
    <row r="2" spans="1:23" s="1" customFormat="1" x14ac:dyDescent="0.25">
      <c r="A2" s="54"/>
      <c r="B2" s="3">
        <v>11.04</v>
      </c>
      <c r="C2" s="14">
        <v>11.11</v>
      </c>
      <c r="D2" s="14">
        <v>11.18</v>
      </c>
      <c r="E2" s="14">
        <v>11.25</v>
      </c>
      <c r="F2" s="14">
        <v>12.02</v>
      </c>
      <c r="G2" s="14">
        <v>12.09</v>
      </c>
      <c r="H2" s="14">
        <v>12.16</v>
      </c>
      <c r="I2" s="14">
        <v>12.23</v>
      </c>
      <c r="J2" s="12">
        <v>12.3</v>
      </c>
      <c r="K2" s="13" t="s">
        <v>2</v>
      </c>
      <c r="L2" s="13" t="s">
        <v>3</v>
      </c>
      <c r="M2" s="13" t="s">
        <v>4</v>
      </c>
      <c r="N2" s="13" t="s">
        <v>5</v>
      </c>
      <c r="O2" s="13" t="s">
        <v>6</v>
      </c>
      <c r="P2" s="13" t="s">
        <v>7</v>
      </c>
      <c r="Q2" s="13" t="s">
        <v>8</v>
      </c>
      <c r="R2" s="13" t="s">
        <v>9</v>
      </c>
      <c r="S2" s="13" t="s">
        <v>10</v>
      </c>
      <c r="T2" s="13" t="s">
        <v>118</v>
      </c>
      <c r="U2" s="13" t="s">
        <v>119</v>
      </c>
      <c r="V2" s="13" t="s">
        <v>122</v>
      </c>
      <c r="W2" s="13" t="s">
        <v>124</v>
      </c>
    </row>
    <row r="3" spans="1:23" s="1" customFormat="1" x14ac:dyDescent="0.25">
      <c r="A3" s="54"/>
      <c r="B3" s="3">
        <v>308</v>
      </c>
      <c r="C3" s="14">
        <v>315</v>
      </c>
      <c r="D3" s="14">
        <v>322</v>
      </c>
      <c r="E3" s="14">
        <v>329</v>
      </c>
      <c r="F3" s="14">
        <v>336</v>
      </c>
      <c r="G3" s="14">
        <v>343</v>
      </c>
      <c r="H3" s="14">
        <v>350</v>
      </c>
      <c r="I3" s="14">
        <v>357</v>
      </c>
      <c r="J3" s="14">
        <v>364</v>
      </c>
      <c r="K3" s="14">
        <v>371</v>
      </c>
      <c r="L3" s="14">
        <v>378</v>
      </c>
      <c r="M3" s="14">
        <v>385</v>
      </c>
      <c r="N3" s="14">
        <v>392</v>
      </c>
      <c r="O3" s="14">
        <v>399</v>
      </c>
      <c r="P3" s="14">
        <v>406</v>
      </c>
      <c r="Q3" s="14">
        <v>413</v>
      </c>
      <c r="R3" s="14">
        <v>420</v>
      </c>
      <c r="S3" s="14">
        <v>427</v>
      </c>
      <c r="T3" s="14">
        <v>434</v>
      </c>
      <c r="U3" s="14">
        <v>441</v>
      </c>
      <c r="V3" s="14">
        <v>448</v>
      </c>
      <c r="W3" s="51">
        <v>455</v>
      </c>
    </row>
    <row r="4" spans="1:23" ht="57" customHeight="1" x14ac:dyDescent="0.25">
      <c r="A4" s="6" t="s">
        <v>13</v>
      </c>
      <c r="B4" s="5">
        <v>153559</v>
      </c>
      <c r="C4" s="5">
        <v>152291</v>
      </c>
      <c r="D4" s="5">
        <v>149038</v>
      </c>
      <c r="E4" s="5">
        <v>147934</v>
      </c>
      <c r="F4" s="5">
        <v>152093</v>
      </c>
      <c r="G4" s="5">
        <v>148414</v>
      </c>
      <c r="H4" s="5">
        <v>140805</v>
      </c>
      <c r="I4" s="5">
        <f>'平台事业部 - 平台事业部'!Q4</f>
        <v>143088</v>
      </c>
      <c r="J4" s="5">
        <f>'平台事业部 - 平台事业部'!S4</f>
        <v>134949</v>
      </c>
      <c r="K4" s="5">
        <f>'平台事业部 - 平台事业部'!U4</f>
        <v>128504</v>
      </c>
      <c r="L4" s="5">
        <f>'平台事业部 - 平台事业部'!W4</f>
        <v>127131</v>
      </c>
      <c r="M4" s="5">
        <f>'平台事业部 - 平台事业部'!Y4</f>
        <v>138958</v>
      </c>
      <c r="N4" s="5">
        <f>'平台事业部 - 平台事业部'!AA4</f>
        <v>148306</v>
      </c>
      <c r="O4" s="5">
        <f>'平台事业部 - 平台事业部'!AC4</f>
        <v>126192</v>
      </c>
      <c r="P4" s="5">
        <f>'平台事业部 - 平台事业部'!AE4</f>
        <v>111593</v>
      </c>
      <c r="Q4" s="5">
        <f>'平台事业部 - 平台事业部'!AG4</f>
        <v>120482</v>
      </c>
      <c r="R4" s="5">
        <f>'平台事业部 - 平台事业部'!AI4</f>
        <v>134046</v>
      </c>
      <c r="S4" s="5">
        <f>'平台事业部 - 平台事业部'!AK4</f>
        <v>137358</v>
      </c>
      <c r="T4" s="5">
        <f>'平台事业部 - 平台事业部'!AM4</f>
        <v>146871</v>
      </c>
      <c r="U4" s="5">
        <f>'平台事业部 - 平台事业部'!AO4</f>
        <v>141836</v>
      </c>
      <c r="V4" s="5">
        <f>'平台事业部 - 平台事业部'!AQ4</f>
        <v>144638</v>
      </c>
      <c r="W4" s="5">
        <f>'平台事业部 - 平台事业部'!AS4</f>
        <v>149435</v>
      </c>
    </row>
    <row r="5" spans="1:23" ht="57" customHeight="1" x14ac:dyDescent="0.25">
      <c r="A5" s="6" t="s">
        <v>15</v>
      </c>
      <c r="B5" s="5">
        <v>29491</v>
      </c>
      <c r="C5" s="5">
        <v>34818</v>
      </c>
      <c r="D5" s="5">
        <v>32635</v>
      </c>
      <c r="E5" s="5">
        <v>28575</v>
      </c>
      <c r="F5" s="5">
        <v>32869</v>
      </c>
      <c r="G5" s="5">
        <v>31008</v>
      </c>
      <c r="H5" s="5">
        <v>21248</v>
      </c>
      <c r="I5" s="5">
        <f>'平台事业部 - 平台事业部'!Q6</f>
        <v>28121</v>
      </c>
      <c r="J5" s="5">
        <f>'平台事业部 - 平台事业部'!S6</f>
        <v>19488</v>
      </c>
      <c r="K5" s="5">
        <f>'平台事业部 - 平台事业部'!U6</f>
        <v>16790</v>
      </c>
      <c r="L5" s="5">
        <f>'平台事业部 - 平台事业部'!W6</f>
        <v>13056</v>
      </c>
      <c r="M5" s="5">
        <f>'平台事业部 - 平台事业部'!Y6</f>
        <v>19174</v>
      </c>
      <c r="N5" s="5">
        <f>'平台事业部 - 平台事业部'!AA6</f>
        <v>29617</v>
      </c>
      <c r="O5" s="5">
        <f>'平台事业部 - 平台事业部'!AC6</f>
        <v>14680</v>
      </c>
      <c r="P5" s="5">
        <f>'平台事业部 - 平台事业部'!AE6</f>
        <v>7918</v>
      </c>
      <c r="Q5" s="5">
        <f>'平台事业部 - 平台事业部'!AG6</f>
        <v>9796</v>
      </c>
      <c r="R5" s="5">
        <f>'平台事业部 - 平台事业部'!AI6</f>
        <v>15115</v>
      </c>
      <c r="S5" s="5">
        <f>'平台事业部 - 平台事业部'!AK6</f>
        <v>16985</v>
      </c>
      <c r="T5" s="5">
        <f>'平台事业部 - 平台事业部'!AM6</f>
        <v>21304</v>
      </c>
      <c r="U5" s="5">
        <f>'平台事业部 - 平台事业部'!AO6</f>
        <v>25333</v>
      </c>
      <c r="V5" s="5">
        <f>'平台事业部 - 平台事业部'!AQ6</f>
        <v>22809</v>
      </c>
      <c r="W5" s="5">
        <f>'平台事业部 - 平台事业部'!AS6</f>
        <v>25994</v>
      </c>
    </row>
    <row r="6" spans="1:23" ht="57" customHeight="1" x14ac:dyDescent="0.25">
      <c r="A6" s="6" t="s">
        <v>25</v>
      </c>
      <c r="B6" s="15">
        <f>'平台事业部 - 平台事业部'!C16</f>
        <v>14.504682106595491</v>
      </c>
      <c r="C6" s="15">
        <f>'平台事业部 - 平台事业部'!E16</f>
        <v>20.626832680426848</v>
      </c>
      <c r="D6" s="15">
        <f>'平台事业部 - 平台事业部'!G16</f>
        <v>11.253122414526539</v>
      </c>
      <c r="E6" s="15">
        <f>'平台事业部 - 平台事业部'!I16</f>
        <v>15.929000174892357</v>
      </c>
      <c r="F6" s="15">
        <f>'平台事业部 - 平台事业部'!K16</f>
        <v>15.646476923619838</v>
      </c>
      <c r="G6" s="15">
        <f>'平台事业部 - 平台事业部'!M16</f>
        <v>11.388385900558578</v>
      </c>
      <c r="H6" s="15">
        <f>'平台事业部 - 平台事业部'!O16</f>
        <v>7.8334243224054028</v>
      </c>
      <c r="I6" s="15">
        <f>'平台事业部 - 平台事业部'!Q16</f>
        <v>5.2471871556179019</v>
      </c>
      <c r="J6" s="15">
        <f>'平台事业部 - 平台事业部'!S16</f>
        <v>8.4080931855050611</v>
      </c>
      <c r="K6" s="15">
        <f>'平台事业部 - 平台事业部'!U16</f>
        <v>9.7157772482996414</v>
      </c>
      <c r="L6" s="15">
        <f>'平台事业部 - 平台事业部'!W16</f>
        <v>7.0328569239041965</v>
      </c>
      <c r="M6" s="15">
        <f>'平台事业部 - 平台事业部'!Y16</f>
        <v>8.2958459377718583</v>
      </c>
      <c r="N6" s="15">
        <f>'平台事业部 - 平台事业部'!AA16</f>
        <v>9.0262879430578558</v>
      </c>
      <c r="O6" s="15">
        <f>'平台事业部 - 平台事业部'!AC16</f>
        <v>1.6073542232883726</v>
      </c>
      <c r="P6" s="15">
        <f>'平台事业部 - 平台事业部'!AE16</f>
        <v>2.633911340428126</v>
      </c>
      <c r="Q6" s="15">
        <f>'平台事业部 - 平台事业部'!AG16</f>
        <v>5.3373050180783688</v>
      </c>
      <c r="R6" s="15">
        <f>'平台事业部 - 平台事业部'!AI16</f>
        <v>21.283675159857093</v>
      </c>
      <c r="S6" s="15">
        <f>'平台事业部 - 平台事业部'!AK16</f>
        <v>34.238712986379923</v>
      </c>
      <c r="T6" s="15">
        <f>'平台事业部 - 平台事业部'!AM16</f>
        <v>13.727525347581148</v>
      </c>
      <c r="U6" s="15">
        <f>'平台事业部 - 平台事业部'!AO16</f>
        <v>13.017511941504992</v>
      </c>
      <c r="V6" s="15">
        <f>'平台事业部 - 平台事业部'!AQ16</f>
        <v>10.651743171555088</v>
      </c>
      <c r="W6" s="15">
        <f>'平台事业部 - 平台事业部'!AS16</f>
        <v>9.6296976225282744</v>
      </c>
    </row>
    <row r="7" spans="1:23" ht="57" customHeight="1" x14ac:dyDescent="0.25">
      <c r="A7" s="6" t="s">
        <v>34</v>
      </c>
      <c r="B7" s="15">
        <f>'平台事业部 - 平台事业部'!C25</f>
        <v>99.663928239889941</v>
      </c>
      <c r="C7" s="15">
        <f>'平台事业部 - 平台事业部'!E25</f>
        <v>137.90035719414399</v>
      </c>
      <c r="D7" s="15">
        <f>'平台事业部 - 平台事业部'!G25</f>
        <v>85.644974346565661</v>
      </c>
      <c r="E7" s="15">
        <f>'平台事业部 - 平台事业部'!I25</f>
        <v>110.61268043682846</v>
      </c>
      <c r="F7" s="15">
        <f>'平台事业部 - 平台事业部'!K25</f>
        <v>115.25863962403865</v>
      </c>
      <c r="G7" s="15">
        <f>'平台事业部 - 平台事业部'!M25</f>
        <v>81.366605991824983</v>
      </c>
      <c r="H7" s="15">
        <f>'平台事业部 - 平台事业部'!O25</f>
        <v>40.379573023403687</v>
      </c>
      <c r="I7" s="15">
        <f>'平台事业部 - 平台事业部'!Q25</f>
        <v>34.411415579088391</v>
      </c>
      <c r="J7" s="15">
        <f>'平台事业部 - 平台事业部'!S25</f>
        <v>53.565518142897226</v>
      </c>
      <c r="K7" s="15">
        <f>'平台事业部 - 平台事业部'!U25</f>
        <v>50.11609830996958</v>
      </c>
      <c r="L7" s="15">
        <f>'平台事业部 - 平台事业部'!W25</f>
        <v>31.295494205348735</v>
      </c>
      <c r="M7" s="15">
        <f>'平台事业部 - 平台事业部'!Y25</f>
        <v>44.580871639808748</v>
      </c>
      <c r="N7" s="15">
        <f>'平台事业部 - 平台事业部'!AA25</f>
        <v>63.378750594960763</v>
      </c>
      <c r="O7" s="15">
        <f>'平台事业部 - 平台事业部'!AC25</f>
        <v>14.812278718062341</v>
      </c>
      <c r="P7" s="15">
        <f>'平台事业部 - 平台事业部'!AE25</f>
        <v>24.739395010094782</v>
      </c>
      <c r="Q7" s="15">
        <f>'平台事业部 - 平台事业部'!AG25</f>
        <v>22.088821274649639</v>
      </c>
      <c r="R7" s="15">
        <f>'平台事业部 - 平台事业部'!AI25</f>
        <v>49.845483427524009</v>
      </c>
      <c r="S7" s="15">
        <f>'平台事业部 - 平台事业部'!AK25</f>
        <v>68.376783077444202</v>
      </c>
      <c r="T7" s="15">
        <f>'平台事业部 - 平台事业部'!AM25</f>
        <v>44.540237588313857</v>
      </c>
      <c r="U7" s="15">
        <f>'平台事业部 - 平台事业部'!AO25</f>
        <v>72.942408762253038</v>
      </c>
      <c r="V7" s="15">
        <f>'平台事业部 - 平台事业部'!AQ25</f>
        <v>57.112273154677943</v>
      </c>
      <c r="W7" s="15">
        <f>'平台事业部 - 平台事业部'!AS25</f>
        <v>64.315097636176773</v>
      </c>
    </row>
    <row r="8" spans="1:23" ht="57" customHeight="1" x14ac:dyDescent="0.25">
      <c r="A8" s="6" t="s">
        <v>37</v>
      </c>
      <c r="B8" s="7">
        <v>3249029</v>
      </c>
      <c r="C8" s="7">
        <v>4726273</v>
      </c>
      <c r="D8" s="7">
        <v>2933708</v>
      </c>
      <c r="E8" s="7">
        <v>2809491.1306067598</v>
      </c>
      <c r="F8" s="7">
        <v>2826323.34015112</v>
      </c>
      <c r="G8" s="7">
        <v>3287268.1800463102</v>
      </c>
      <c r="H8" s="7">
        <v>3408563.7406075299</v>
      </c>
      <c r="I8" s="7">
        <f>'平台事业部 - 平台事业部'!Q29</f>
        <v>2691495.5</v>
      </c>
      <c r="J8" s="7">
        <f>'平台事业部 - 平台事业部'!S29</f>
        <v>2632351.21</v>
      </c>
      <c r="K8" s="7">
        <f>'平台事业部 - 平台事业部'!U29</f>
        <v>2805003</v>
      </c>
      <c r="L8" s="7">
        <f>'平台事业部 - 平台事业部'!W29</f>
        <v>2827414.75</v>
      </c>
      <c r="M8" s="7">
        <f>'平台事业部 - 平台事业部'!Y29</f>
        <v>3749011.85</v>
      </c>
      <c r="N8" s="7">
        <f>'平台事业部 - 平台事业部'!AA29</f>
        <v>3631547.47</v>
      </c>
      <c r="O8" s="7">
        <f>'平台事业部 - 平台事业部'!AC29</f>
        <v>1377777.3602742001</v>
      </c>
      <c r="P8" s="7">
        <f>'平台事业部 - 平台事业部'!AE29</f>
        <v>791408.84998782398</v>
      </c>
      <c r="Q8" s="7">
        <f>'平台事业部 - 平台事业部'!AG29</f>
        <v>2185895.2798632602</v>
      </c>
      <c r="R8" s="7">
        <f>'平台事业部 - 平台事业部'!AI29</f>
        <v>4099041.88945489</v>
      </c>
      <c r="S8" s="7">
        <f>'平台事业部 - 平台事业部'!AK29</f>
        <v>3874342.72</v>
      </c>
      <c r="T8" s="7">
        <f>'平台事业部 - 平台事业部'!AM29</f>
        <v>3674280.3679376999</v>
      </c>
      <c r="U8" s="7">
        <f>'平台事业部 - 平台事业部'!AO29</f>
        <v>3686194.31903025</v>
      </c>
      <c r="V8" s="7">
        <f>'平台事业部 - 平台事业部'!AQ29</f>
        <v>3365220.85</v>
      </c>
      <c r="W8" s="7">
        <f>'平台事业部 - 平台事业部'!AS29</f>
        <v>3418208.01</v>
      </c>
    </row>
    <row r="9" spans="1:23" ht="57" customHeight="1" x14ac:dyDescent="0.25">
      <c r="A9" s="4" t="s">
        <v>55</v>
      </c>
      <c r="B9" s="5"/>
      <c r="C9" s="5"/>
      <c r="D9" s="5"/>
      <c r="E9" s="5"/>
      <c r="F9" s="5"/>
      <c r="G9" s="5">
        <v>351</v>
      </c>
      <c r="H9" s="5">
        <v>414</v>
      </c>
      <c r="I9" s="5">
        <v>391</v>
      </c>
      <c r="J9" s="5">
        <v>389</v>
      </c>
      <c r="K9" s="5">
        <v>363</v>
      </c>
      <c r="L9" s="5">
        <v>393</v>
      </c>
      <c r="M9" s="5">
        <f>'平台事业部 - 平台事业部'!Y39</f>
        <v>237</v>
      </c>
      <c r="N9" s="5">
        <f>'平台事业部 - 平台事业部'!AA39</f>
        <v>281</v>
      </c>
      <c r="O9" s="5">
        <f>'平台事业部 - 平台事业部'!AC39</f>
        <v>201</v>
      </c>
      <c r="P9" s="5">
        <f>'平台事业部 - 平台事业部'!AE39</f>
        <v>156</v>
      </c>
      <c r="Q9" s="5">
        <f>'平台事业部 - 平台事业部'!AG39</f>
        <v>176</v>
      </c>
      <c r="R9" s="5">
        <f>'平台事业部 - 平台事业部'!AI39</f>
        <v>234</v>
      </c>
      <c r="S9" s="5">
        <f>'平台事业部 - 平台事业部'!AK39</f>
        <v>254</v>
      </c>
      <c r="T9" s="5">
        <f>'平台事业部 - 平台事业部'!AM39</f>
        <v>275</v>
      </c>
      <c r="U9" s="5">
        <f>'平台事业部 - 平台事业部'!AO39</f>
        <v>0</v>
      </c>
      <c r="V9" s="5">
        <f>'平台事业部 - 平台事业部'!AQ39</f>
        <v>0</v>
      </c>
      <c r="W9" s="5">
        <f>'平台事业部 - 平台事业部'!AR39</f>
        <v>0</v>
      </c>
    </row>
    <row r="10" spans="1:23" ht="57" customHeight="1" x14ac:dyDescent="0.25">
      <c r="A10" s="6" t="s">
        <v>99</v>
      </c>
      <c r="B10" s="5">
        <v>16.16</v>
      </c>
      <c r="C10" s="5">
        <v>24.14</v>
      </c>
      <c r="D10" s="5">
        <v>15.28</v>
      </c>
      <c r="E10" s="5">
        <v>15.74</v>
      </c>
      <c r="F10" s="5">
        <v>14.65</v>
      </c>
      <c r="G10" s="5">
        <v>15.97</v>
      </c>
      <c r="H10" s="5">
        <v>15.58</v>
      </c>
      <c r="I10" s="5"/>
      <c r="J10" s="5"/>
      <c r="K10" s="5">
        <v>5.82</v>
      </c>
      <c r="L10" s="5">
        <v>6.08</v>
      </c>
      <c r="M10" s="5">
        <f>'平台事业部 - 平台事业部'!Y42</f>
        <v>5.95</v>
      </c>
      <c r="N10" s="5">
        <f>'平台事业部 - 平台事业部'!AA42</f>
        <v>5.66</v>
      </c>
      <c r="O10" s="5">
        <f>'平台事业部 - 平台事业部'!AC42</f>
        <v>4.45</v>
      </c>
      <c r="P10" s="5">
        <f>'平台事业部 - 平台事业部'!AE42</f>
        <v>4.29</v>
      </c>
      <c r="Q10" s="5">
        <f>'平台事业部 - 平台事业部'!AG42</f>
        <v>4.97</v>
      </c>
      <c r="R10" s="5"/>
      <c r="S10" s="5">
        <f>'平台事业部 - 平台事业部'!AK42</f>
        <v>4.8600000000000003</v>
      </c>
      <c r="T10" s="5">
        <f>'平台事业部 - 平台事业部'!AM42</f>
        <v>5.59</v>
      </c>
      <c r="U10" s="5"/>
    </row>
    <row r="11" spans="1:23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23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23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3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23" x14ac:dyDescent="0.25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23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2">
    <mergeCell ref="B1:J1"/>
    <mergeCell ref="A1:A3"/>
  </mergeCells>
  <phoneticPr fontId="14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6"/>
  <sheetViews>
    <sheetView workbookViewId="0">
      <pane xSplit="1" ySplit="3" topLeftCell="N4" activePane="bottomRight" state="frozen"/>
      <selection pane="topRight"/>
      <selection pane="bottomLeft"/>
      <selection pane="bottomRight" activeCell="W2" sqref="W2:W3"/>
    </sheetView>
  </sheetViews>
  <sheetFormatPr defaultColWidth="9" defaultRowHeight="14.4" x14ac:dyDescent="0.25"/>
  <cols>
    <col min="1" max="1" width="16" style="1" customWidth="1"/>
    <col min="2" max="9" width="14.6640625" style="2" customWidth="1"/>
    <col min="10" max="10" width="13.88671875" style="2" customWidth="1"/>
    <col min="11" max="11" width="14.6640625" style="2" customWidth="1"/>
    <col min="12" max="12" width="13.88671875" style="2" customWidth="1"/>
    <col min="13" max="13" width="14.6640625" style="2" customWidth="1"/>
    <col min="14" max="21" width="13.88671875" style="2" customWidth="1"/>
    <col min="22" max="23" width="13.88671875" style="2" bestFit="1" customWidth="1"/>
    <col min="24" max="16384" width="9" style="2"/>
  </cols>
  <sheetData>
    <row r="1" spans="1:23" s="1" customFormat="1" x14ac:dyDescent="0.25">
      <c r="A1" s="54"/>
      <c r="B1" s="53" t="s">
        <v>117</v>
      </c>
      <c r="C1" s="53"/>
      <c r="D1" s="53"/>
      <c r="E1" s="53"/>
      <c r="F1" s="53"/>
      <c r="G1" s="53"/>
      <c r="H1" s="53"/>
      <c r="I1" s="53"/>
      <c r="J1" s="53"/>
      <c r="K1" s="53"/>
    </row>
    <row r="2" spans="1:23" s="1" customFormat="1" x14ac:dyDescent="0.25">
      <c r="A2" s="54"/>
      <c r="B2" s="3">
        <v>11.04</v>
      </c>
      <c r="C2" s="3">
        <v>11.11</v>
      </c>
      <c r="D2" s="3">
        <v>11.18</v>
      </c>
      <c r="E2" s="3">
        <v>11.25</v>
      </c>
      <c r="F2" s="3">
        <v>12.02</v>
      </c>
      <c r="G2" s="3">
        <v>12.09</v>
      </c>
      <c r="H2" s="3">
        <v>12.16</v>
      </c>
      <c r="I2" s="3">
        <v>12.23</v>
      </c>
      <c r="J2" s="12">
        <v>12.3</v>
      </c>
      <c r="K2" s="13" t="s">
        <v>2</v>
      </c>
      <c r="L2" s="13" t="s">
        <v>3</v>
      </c>
      <c r="M2" s="13" t="s">
        <v>4</v>
      </c>
      <c r="N2" s="13" t="s">
        <v>5</v>
      </c>
      <c r="O2" s="13" t="s">
        <v>6</v>
      </c>
      <c r="P2" s="13" t="s">
        <v>7</v>
      </c>
      <c r="Q2" s="13" t="s">
        <v>8</v>
      </c>
      <c r="R2" s="13" t="s">
        <v>9</v>
      </c>
      <c r="S2" s="13" t="s">
        <v>10</v>
      </c>
      <c r="T2" s="13" t="s">
        <v>11</v>
      </c>
      <c r="U2" s="13" t="s">
        <v>12</v>
      </c>
      <c r="V2" s="13" t="s">
        <v>122</v>
      </c>
      <c r="W2" s="13" t="s">
        <v>124</v>
      </c>
    </row>
    <row r="3" spans="1:23" s="1" customFormat="1" x14ac:dyDescent="0.25">
      <c r="A3" s="54"/>
      <c r="B3" s="3">
        <v>308</v>
      </c>
      <c r="C3" s="3">
        <v>315</v>
      </c>
      <c r="D3" s="3">
        <v>322</v>
      </c>
      <c r="E3" s="3">
        <v>329</v>
      </c>
      <c r="F3" s="3">
        <v>336</v>
      </c>
      <c r="G3" s="3">
        <v>343</v>
      </c>
      <c r="H3" s="3">
        <v>350</v>
      </c>
      <c r="I3" s="3">
        <v>357</v>
      </c>
      <c r="J3" s="14">
        <v>364</v>
      </c>
      <c r="K3" s="14">
        <v>371</v>
      </c>
      <c r="L3" s="14">
        <v>378</v>
      </c>
      <c r="M3" s="14">
        <v>385</v>
      </c>
      <c r="N3" s="14">
        <v>392</v>
      </c>
      <c r="O3" s="14">
        <v>399</v>
      </c>
      <c r="P3" s="14">
        <v>406</v>
      </c>
      <c r="Q3" s="14">
        <v>413</v>
      </c>
      <c r="R3" s="14">
        <v>420</v>
      </c>
      <c r="S3" s="14">
        <v>427</v>
      </c>
      <c r="T3" s="14">
        <v>434</v>
      </c>
      <c r="U3" s="14">
        <v>441</v>
      </c>
      <c r="V3" s="14">
        <v>448</v>
      </c>
      <c r="W3" s="51">
        <v>455</v>
      </c>
    </row>
    <row r="4" spans="1:23" ht="57" customHeight="1" x14ac:dyDescent="0.25">
      <c r="A4" s="4" t="s">
        <v>55</v>
      </c>
      <c r="B4" s="5"/>
      <c r="C4" s="5"/>
      <c r="D4" s="5"/>
      <c r="E4" s="5"/>
      <c r="F4" s="5"/>
      <c r="G4" s="5">
        <v>197</v>
      </c>
      <c r="H4" s="5">
        <v>203</v>
      </c>
      <c r="I4" s="5">
        <f>'买手事业部 - 买手事业部'!Q4</f>
        <v>180</v>
      </c>
      <c r="J4" s="5">
        <f>'买手事业部 - 买手事业部'!S4</f>
        <v>181</v>
      </c>
      <c r="K4" s="5">
        <f>'买手事业部 - 买手事业部'!U4</f>
        <v>178</v>
      </c>
      <c r="L4" s="5">
        <f>'买手事业部 - 买手事业部'!W4</f>
        <v>175</v>
      </c>
      <c r="M4" s="5">
        <f>'买手事业部 - 买手事业部'!Y4</f>
        <v>391</v>
      </c>
      <c r="N4" s="5">
        <f>'买手事业部 - 买手事业部'!AA4</f>
        <v>200</v>
      </c>
      <c r="O4" s="5">
        <f>'买手事业部 - 买手事业部'!AC4</f>
        <v>153</v>
      </c>
      <c r="P4" s="5">
        <f>'买手事业部 - 买手事业部'!AE4</f>
        <v>130</v>
      </c>
      <c r="Q4" s="5">
        <f>'买手事业部 - 买手事业部'!AG4</f>
        <v>152</v>
      </c>
      <c r="R4" s="5">
        <f>'买手事业部 - 买手事业部'!AI4</f>
        <v>175</v>
      </c>
      <c r="S4" s="5">
        <f>'买手事业部 - 买手事业部'!AK4</f>
        <v>167</v>
      </c>
      <c r="T4" s="5">
        <f>'买手事业部 - 买手事业部'!AM4</f>
        <v>183</v>
      </c>
      <c r="U4" s="5">
        <f>'买手事业部 - 买手事业部'!AO4</f>
        <v>162</v>
      </c>
      <c r="V4" s="5">
        <f>'买手事业部 - 买手事业部'!AQ4</f>
        <v>169</v>
      </c>
      <c r="W4" s="5">
        <f>'买手事业部 - 买手事业部'!AS4</f>
        <v>160</v>
      </c>
    </row>
    <row r="5" spans="1:23" ht="57" customHeight="1" x14ac:dyDescent="0.25">
      <c r="A5" s="6" t="s">
        <v>99</v>
      </c>
      <c r="B5" s="5">
        <v>17.66</v>
      </c>
      <c r="C5" s="5">
        <v>26.64</v>
      </c>
      <c r="D5" s="5">
        <v>17.149999999999999</v>
      </c>
      <c r="E5" s="5">
        <v>17.03</v>
      </c>
      <c r="F5" s="5">
        <v>16.59</v>
      </c>
      <c r="G5" s="5">
        <v>17.89</v>
      </c>
      <c r="H5" s="5">
        <v>17.55</v>
      </c>
      <c r="I5" s="5"/>
      <c r="J5" s="5"/>
      <c r="K5" s="5"/>
      <c r="L5" s="5"/>
    </row>
    <row r="6" spans="1:23" ht="57" customHeight="1" x14ac:dyDescent="0.25">
      <c r="A6" s="4" t="s">
        <v>111</v>
      </c>
      <c r="B6" s="5"/>
      <c r="C6" s="5"/>
      <c r="D6" s="5">
        <v>2574419</v>
      </c>
      <c r="E6" s="5">
        <v>2264533</v>
      </c>
      <c r="F6" s="5">
        <v>2695189</v>
      </c>
      <c r="G6" s="5"/>
      <c r="H6" s="5">
        <v>3954702</v>
      </c>
      <c r="I6" s="5">
        <f>'买手事业部 - 买手事业部'!Q10</f>
        <v>3268776</v>
      </c>
      <c r="J6" s="5">
        <f>'买手事业部 - 买手事业部'!S10</f>
        <v>2749272</v>
      </c>
      <c r="K6" s="5">
        <f>'买手事业部 - 买手事业部'!U10</f>
        <v>2808985</v>
      </c>
      <c r="L6" s="5">
        <f>'买手事业部 - 买手事业部'!W10</f>
        <v>2656170</v>
      </c>
      <c r="M6" s="5">
        <f>'买手事业部 - 买手事业部'!Y10</f>
        <v>2967533</v>
      </c>
      <c r="N6" s="5">
        <f>'买手事业部 - 买手事业部'!AA10</f>
        <v>3004059</v>
      </c>
      <c r="O6" s="5">
        <f>'买手事业部 - 买手事业部'!AC10</f>
        <v>2011053</v>
      </c>
      <c r="P6" s="5">
        <f>'买手事业部 - 买手事业部'!AE10</f>
        <v>1677792</v>
      </c>
      <c r="Q6" s="5">
        <f>'买手事业部 - 买手事业部'!AG10</f>
        <v>2198206</v>
      </c>
      <c r="R6" s="5">
        <f>'买手事业部 - 买手事业部'!AI10</f>
        <v>2981012</v>
      </c>
      <c r="S6" s="5">
        <f>'买手事业部 - 买手事业部'!AK10</f>
        <v>2655956</v>
      </c>
      <c r="T6" s="5">
        <f>'买手事业部 - 买手事业部'!AM10</f>
        <v>3082842</v>
      </c>
      <c r="U6" s="5">
        <f>'买手事业部 - 买手事业部'!AO10</f>
        <v>3045924</v>
      </c>
      <c r="V6" s="5">
        <f>'买手事业部 - 买手事业部'!AQ10</f>
        <v>2501180</v>
      </c>
      <c r="W6" s="5">
        <f>'买手事业部 - 买手事业部'!AS10</f>
        <v>2233381</v>
      </c>
    </row>
    <row r="7" spans="1:23" ht="57" customHeight="1" x14ac:dyDescent="0.25">
      <c r="A7" s="6" t="s">
        <v>113</v>
      </c>
      <c r="B7" s="7">
        <v>4249982</v>
      </c>
      <c r="C7" s="7">
        <v>3505174</v>
      </c>
      <c r="D7" s="7">
        <v>2012264</v>
      </c>
      <c r="E7" s="7">
        <v>1918434</v>
      </c>
      <c r="F7" s="7">
        <v>1983797</v>
      </c>
      <c r="G7" s="7">
        <v>2349034</v>
      </c>
      <c r="H7" s="7">
        <v>2483911</v>
      </c>
      <c r="I7" s="7">
        <f>'买手事业部 - 买手事业部'!Q14</f>
        <v>1953634</v>
      </c>
      <c r="J7" s="7">
        <f>'买手事业部 - 买手事业部'!S14</f>
        <v>1794895</v>
      </c>
      <c r="K7" s="7">
        <f>'买手事业部 - 买手事业部'!U14</f>
        <v>1972134</v>
      </c>
      <c r="L7" s="7">
        <f>'买手事业部 - 买手事业部'!W14</f>
        <v>1808326</v>
      </c>
      <c r="M7" s="7">
        <f>'买手事业部 - 买手事业部'!Y14</f>
        <v>2314396</v>
      </c>
      <c r="N7" s="7">
        <f>'买手事业部 - 买手事业部'!AA14</f>
        <v>2355005</v>
      </c>
      <c r="O7" s="7">
        <f>'买手事业部 - 买手事业部'!AC14</f>
        <v>933884.61980486801</v>
      </c>
      <c r="P7" s="7">
        <f>'买手事业部 - 买手事业部'!AE14</f>
        <v>481414.80987540598</v>
      </c>
      <c r="Q7" s="7">
        <f>'买手事业部 - 买手事业部'!AG14</f>
        <v>1333979.3493918499</v>
      </c>
      <c r="R7" s="7">
        <f>'买手事业部 - 买手事业部'!AI14</f>
        <v>2597215.9892012901</v>
      </c>
      <c r="S7" s="7">
        <f>'买手事业部 - 买手事业部'!AK14</f>
        <v>2531466.4191912101</v>
      </c>
      <c r="T7" s="7">
        <f>'买手事业部 - 买手事业部'!AM14</f>
        <v>2242197.2292833398</v>
      </c>
      <c r="U7" s="7">
        <f>'买手事业部 - 买手事业部'!AO14</f>
        <v>2190244.8996439702</v>
      </c>
      <c r="V7" s="7">
        <f>'买手事业部 - 买手事业部'!AQ14</f>
        <v>1897184.39</v>
      </c>
      <c r="W7" s="7">
        <f>'买手事业部 - 买手事业部'!AS14</f>
        <v>1769842</v>
      </c>
    </row>
    <row r="8" spans="1:23" ht="57" customHeight="1" x14ac:dyDescent="0.25">
      <c r="A8" s="6" t="s">
        <v>120</v>
      </c>
      <c r="B8" s="8">
        <v>0.73650000000000004</v>
      </c>
      <c r="C8" s="8">
        <v>0.70040000000000002</v>
      </c>
      <c r="D8" s="8">
        <v>0.68440000000000001</v>
      </c>
      <c r="E8" s="8">
        <v>0.67549999999999999</v>
      </c>
      <c r="F8" s="8">
        <v>0.69450000000000001</v>
      </c>
      <c r="G8" s="8">
        <v>0.71179999999999999</v>
      </c>
      <c r="H8" s="9">
        <v>0.72799999999999998</v>
      </c>
      <c r="I8" s="9">
        <f>'买手事业部 - 买手事业部'!Q15</f>
        <v>0.72589999999999999</v>
      </c>
      <c r="J8" s="9">
        <f>'买手事业部 - 买手事业部'!S15</f>
        <v>0.68200000000000005</v>
      </c>
      <c r="K8" s="9">
        <f>'买手事业部 - 买手事业部'!U15</f>
        <v>0.70299999999999996</v>
      </c>
      <c r="L8" s="9">
        <f>'买手事业部 - 买手事业部'!W15</f>
        <v>0.64</v>
      </c>
      <c r="M8" s="9">
        <f>'买手事业部 - 买手事业部'!Y15</f>
        <v>0.61739999999999995</v>
      </c>
      <c r="N8" s="9">
        <f>'买手事业部 - 买手事业部'!AA15</f>
        <v>0.64849999999999997</v>
      </c>
      <c r="O8" s="9">
        <f>'买手事业部 - 买手事业部'!AC15</f>
        <v>0.67790547770647203</v>
      </c>
      <c r="P8" s="9">
        <f>'买手事业部 - 买手事业部'!AE15</f>
        <v>0.60824476041548403</v>
      </c>
      <c r="Q8" s="9">
        <f>'买手事业部 - 买手事业部'!AG15</f>
        <v>0.61024621143856494</v>
      </c>
      <c r="R8" s="9">
        <f>'买手事业部 - 买手事业部'!AI15</f>
        <v>0.63367047692192902</v>
      </c>
      <c r="S8" s="9">
        <f>'买手事业部 - 买手事业部'!AK15</f>
        <v>0.65335449505369603</v>
      </c>
      <c r="T8" s="9">
        <f>'买手事业部 - 买手事业部'!AM15</f>
        <v>0.61025100681629196</v>
      </c>
      <c r="U8" s="9">
        <f>'买手事业部 - 买手事业部'!AO15</f>
        <v>0.59420895736310997</v>
      </c>
      <c r="V8" s="9">
        <f>'买手事业部 - 买手事业部'!AQ15</f>
        <v>0.56379999999999997</v>
      </c>
      <c r="W8" s="9">
        <f>'买手事业部 - 买手事业部'!AS15</f>
        <v>0.51770000000000005</v>
      </c>
    </row>
    <row r="9" spans="1:23" ht="57" customHeight="1" x14ac:dyDescent="0.25">
      <c r="A9" s="6" t="s">
        <v>116</v>
      </c>
      <c r="B9" s="8">
        <v>0.2107</v>
      </c>
      <c r="C9" s="8">
        <v>0.2112</v>
      </c>
      <c r="D9" s="8">
        <v>0.2155</v>
      </c>
      <c r="E9" s="8">
        <v>0.2122</v>
      </c>
      <c r="F9" s="8">
        <v>0.21870000000000001</v>
      </c>
      <c r="G9" s="8">
        <v>0.21310000000000001</v>
      </c>
      <c r="H9" s="9">
        <v>0.21859999999999999</v>
      </c>
      <c r="I9" s="9">
        <f>'买手事业部 - 买手事业部'!Q17</f>
        <v>0.2092</v>
      </c>
      <c r="J9" s="9">
        <f>'买手事业部 - 买手事业部'!S17</f>
        <v>0.2213</v>
      </c>
      <c r="K9" s="9">
        <f>'买手事业部 - 买手事业部'!U17</f>
        <v>0.22159999999999999</v>
      </c>
      <c r="L9" s="9">
        <f>'买手事业部 - 买手事业部'!W17</f>
        <v>0.21279999999999999</v>
      </c>
      <c r="M9" s="9">
        <f>'买手事业部 - 买手事业部'!Y17</f>
        <v>0.20530000000000001</v>
      </c>
      <c r="N9" s="9">
        <f>'买手事业部 - 买手事业部'!AA17</f>
        <v>0.2087</v>
      </c>
      <c r="O9" s="9">
        <f>'买手事业部 - 买手事业部'!AC17</f>
        <v>0.19819999999999999</v>
      </c>
      <c r="P9" s="9">
        <f>'买手事业部 - 买手事业部'!AE17</f>
        <v>0.2089</v>
      </c>
      <c r="Q9" s="9">
        <f>'买手事业部 - 买手事业部'!AG17</f>
        <v>0.2104</v>
      </c>
      <c r="R9" s="9">
        <f>'买手事业部 - 买手事业部'!AI17</f>
        <v>0.20930000000000001</v>
      </c>
      <c r="S9" s="9">
        <f>'买手事业部 - 买手事业部'!AK17</f>
        <v>0.20730000000000001</v>
      </c>
      <c r="T9" s="9">
        <f>'买手事业部 - 买手事业部'!AM17</f>
        <v>0.20849999999999999</v>
      </c>
      <c r="U9" s="9">
        <f>'买手事业部 - 买手事业部'!AO17</f>
        <v>0.19620000000000001</v>
      </c>
      <c r="V9" s="9">
        <f>'买手事业部 - 买手事业部'!AQ17</f>
        <v>0.20499999999999999</v>
      </c>
      <c r="W9" s="9">
        <f>'买手事业部 - 买手事业部'!AS17</f>
        <v>0.20860000000000001</v>
      </c>
    </row>
    <row r="10" spans="1:23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23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23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23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3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23" x14ac:dyDescent="0.25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23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2">
    <mergeCell ref="B1:K1"/>
    <mergeCell ref="A1:A3"/>
  </mergeCells>
  <phoneticPr fontId="14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平台事业部 - 平台事业部</vt:lpstr>
      <vt:lpstr>买手事业部 - 买手事业部</vt:lpstr>
      <vt:lpstr>图表 - 平台 </vt:lpstr>
      <vt:lpstr>图表 - 买手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2017-12-15T08:10:00Z</dcterms:created>
  <dcterms:modified xsi:type="dcterms:W3CDTF">2018-04-08T10:33:38Z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