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\Documents\Baruch MFE\MTH9814\HW6\"/>
    </mc:Choice>
  </mc:AlternateContent>
  <bookViews>
    <workbookView xWindow="0" yWindow="0" windowWidth="19200" windowHeight="8292" activeTab="7"/>
  </bookViews>
  <sheets>
    <sheet name="EX1" sheetId="6" r:id="rId1"/>
    <sheet name="Ex2" sheetId="9" r:id="rId2"/>
    <sheet name="Ex3" sheetId="1" r:id="rId3"/>
    <sheet name="Ex4" sheetId="2" r:id="rId4"/>
    <sheet name="Ex5" sheetId="5" r:id="rId5"/>
    <sheet name="Ex6" sheetId="7" r:id="rId6"/>
    <sheet name="Ex7" sheetId="8" r:id="rId7"/>
    <sheet name="Ex8" sheetId="10" r:id="rId8"/>
  </sheets>
  <definedNames>
    <definedName name="solver_adj" localSheetId="0" hidden="1">'EX1'!$B$44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'EX1'!$B$49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0.8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5" l="1"/>
  <c r="N38" i="5"/>
  <c r="N35" i="5"/>
  <c r="N32" i="5"/>
  <c r="C38" i="5"/>
  <c r="I38" i="5"/>
  <c r="W38" i="5"/>
  <c r="AC38" i="5"/>
  <c r="AC28" i="5"/>
  <c r="AC13" i="5"/>
  <c r="W28" i="5"/>
  <c r="W13" i="5"/>
  <c r="AC5" i="5"/>
  <c r="AC30" i="5" s="1"/>
  <c r="AC31" i="5" s="1"/>
  <c r="AC33" i="5" s="1"/>
  <c r="W5" i="5"/>
  <c r="B46" i="6"/>
  <c r="B47" i="6" s="1"/>
  <c r="B5" i="6"/>
  <c r="B35" i="6" s="1"/>
  <c r="AC39" i="5" l="1"/>
  <c r="AC15" i="5"/>
  <c r="AC16" i="5" s="1"/>
  <c r="AC24" i="5" s="1"/>
  <c r="AF33" i="5"/>
  <c r="AC36" i="5"/>
  <c r="W15" i="5"/>
  <c r="W30" i="5"/>
  <c r="W31" i="5" s="1"/>
  <c r="W33" i="5" s="1"/>
  <c r="AC22" i="5"/>
  <c r="AC35" i="5"/>
  <c r="AC37" i="5"/>
  <c r="B36" i="6"/>
  <c r="B38" i="6" s="1"/>
  <c r="B24" i="6"/>
  <c r="B25" i="6" s="1"/>
  <c r="B27" i="6" s="1"/>
  <c r="B49" i="6"/>
  <c r="B13" i="6"/>
  <c r="O15" i="5"/>
  <c r="O14" i="5"/>
  <c r="O13" i="5"/>
  <c r="O27" i="5" s="1"/>
  <c r="C13" i="5"/>
  <c r="I28" i="5"/>
  <c r="I13" i="5"/>
  <c r="I30" i="5"/>
  <c r="I31" i="5"/>
  <c r="L33" i="5"/>
  <c r="I5" i="5"/>
  <c r="I39" i="5"/>
  <c r="I35" i="5"/>
  <c r="I36" i="5"/>
  <c r="I37" i="5"/>
  <c r="I33" i="5"/>
  <c r="I15" i="5"/>
  <c r="I16" i="5"/>
  <c r="I24" i="5"/>
  <c r="I18" i="5"/>
  <c r="I20" i="5"/>
  <c r="I21" i="5"/>
  <c r="I23" i="5"/>
  <c r="I22" i="5"/>
  <c r="C28" i="5"/>
  <c r="C5" i="5"/>
  <c r="C30" i="5"/>
  <c r="C31" i="5"/>
  <c r="C39" i="5"/>
  <c r="F33" i="5"/>
  <c r="C35" i="5"/>
  <c r="C36" i="5"/>
  <c r="C37" i="5"/>
  <c r="C33" i="5"/>
  <c r="C15" i="5"/>
  <c r="C16" i="5"/>
  <c r="C24" i="5"/>
  <c r="C18" i="5"/>
  <c r="C20" i="5"/>
  <c r="C21" i="5"/>
  <c r="C23" i="5"/>
  <c r="C22" i="5"/>
  <c r="B108" i="2"/>
  <c r="B104" i="2"/>
  <c r="B103" i="2"/>
  <c r="G92" i="2"/>
  <c r="F94" i="2"/>
  <c r="E94" i="2"/>
  <c r="D94" i="2"/>
  <c r="F93" i="2"/>
  <c r="E93" i="2"/>
  <c r="D93" i="2"/>
  <c r="F92" i="2"/>
  <c r="E92" i="2"/>
  <c r="D92" i="2"/>
  <c r="C94" i="2"/>
  <c r="C93" i="2"/>
  <c r="C92" i="2"/>
  <c r="C76" i="2"/>
  <c r="C70" i="2"/>
  <c r="C78" i="2"/>
  <c r="C79" i="2"/>
  <c r="C87" i="2"/>
  <c r="C81" i="2"/>
  <c r="C83" i="2"/>
  <c r="C84" i="2"/>
  <c r="C86" i="2"/>
  <c r="C85" i="2"/>
  <c r="A65" i="2"/>
  <c r="A62" i="2"/>
  <c r="A58" i="2"/>
  <c r="A53" i="2"/>
  <c r="C37" i="2"/>
  <c r="C31" i="2"/>
  <c r="C39" i="2"/>
  <c r="C40" i="2"/>
  <c r="C48" i="2"/>
  <c r="F42" i="2"/>
  <c r="C44" i="2"/>
  <c r="C45" i="2"/>
  <c r="C47" i="2"/>
  <c r="C46" i="2"/>
  <c r="C42" i="2"/>
  <c r="C33" i="1"/>
  <c r="C11" i="2"/>
  <c r="C5" i="2"/>
  <c r="C13" i="2"/>
  <c r="C18" i="2"/>
  <c r="E26" i="2"/>
  <c r="C14" i="2"/>
  <c r="C22" i="2"/>
  <c r="C16" i="2"/>
  <c r="C19" i="2"/>
  <c r="C21" i="2"/>
  <c r="C20" i="2"/>
  <c r="C39" i="1"/>
  <c r="C38" i="1"/>
  <c r="F33" i="1"/>
  <c r="C37" i="1"/>
  <c r="C36" i="1"/>
  <c r="C35" i="1"/>
  <c r="C31" i="1"/>
  <c r="C30" i="1"/>
  <c r="C28" i="1"/>
  <c r="C24" i="1"/>
  <c r="C23" i="1"/>
  <c r="C22" i="1"/>
  <c r="C21" i="1"/>
  <c r="C20" i="1"/>
  <c r="C18" i="1"/>
  <c r="C16" i="1"/>
  <c r="C15" i="1"/>
  <c r="C13" i="1"/>
  <c r="C7" i="1"/>
  <c r="C5" i="1"/>
  <c r="W37" i="5" l="1"/>
  <c r="W39" i="5"/>
  <c r="Z33" i="5"/>
  <c r="AC20" i="5"/>
  <c r="W35" i="5"/>
  <c r="W16" i="5"/>
  <c r="W24" i="5" s="1"/>
  <c r="W21" i="5"/>
  <c r="W20" i="5"/>
  <c r="AC21" i="5"/>
  <c r="W36" i="5"/>
  <c r="AC18" i="5"/>
  <c r="W22" i="5"/>
  <c r="B14" i="6"/>
  <c r="B16" i="6" s="1"/>
  <c r="AC23" i="5" l="1"/>
  <c r="W18" i="5"/>
  <c r="W23" i="5" s="1"/>
</calcChain>
</file>

<file path=xl/sharedStrings.xml><?xml version="1.0" encoding="utf-8"?>
<sst xmlns="http://schemas.openxmlformats.org/spreadsheetml/2006/main" count="331" uniqueCount="130">
  <si>
    <t>r</t>
  </si>
  <si>
    <t>S_0</t>
  </si>
  <si>
    <t>q</t>
  </si>
  <si>
    <t>sigma</t>
  </si>
  <si>
    <t>Part A</t>
  </si>
  <si>
    <t>K</t>
  </si>
  <si>
    <t>T</t>
  </si>
  <si>
    <t>d1</t>
  </si>
  <si>
    <t>d2</t>
  </si>
  <si>
    <t>V_call</t>
  </si>
  <si>
    <t>delta</t>
  </si>
  <si>
    <t>gamma</t>
  </si>
  <si>
    <t>vega</t>
  </si>
  <si>
    <t>theta</t>
  </si>
  <si>
    <t>rho</t>
  </si>
  <si>
    <t>Part B</t>
  </si>
  <si>
    <t>V_put</t>
  </si>
  <si>
    <t>*Use put call parity to find the relationship between call theta and put theta</t>
  </si>
  <si>
    <t>Assumption: a call option is for a single share. That is, 100 Call option is an option to buy 100 shares.</t>
  </si>
  <si>
    <t>We should consider the delta of the call option. Short call is covered by long underlying.</t>
  </si>
  <si>
    <t>The underlying position should be</t>
  </si>
  <si>
    <t>Around 41 shares</t>
  </si>
  <si>
    <t>We first analyze the European put with strike 50 and expiry 6 months.</t>
  </si>
  <si>
    <t>In order to be vega-neutral, the following should hold:</t>
  </si>
  <si>
    <t>-100 *Vega of Call + Put Position * Vega of Put = 0</t>
  </si>
  <si>
    <t>Thus, Put position must be</t>
  </si>
  <si>
    <t>In order to be delta-neutral, the following shouuld hold:</t>
  </si>
  <si>
    <t>Thus, the underlying position is</t>
  </si>
  <si>
    <t>-100 * Delta of Call + 79.75669 * Delta of Put + Underlying Position = 0</t>
  </si>
  <si>
    <t>Part C</t>
  </si>
  <si>
    <t>Gamma of initial shrot option position:</t>
  </si>
  <si>
    <t>Gamma of the hedge portfolio in (b):</t>
  </si>
  <si>
    <t>Part D</t>
  </si>
  <si>
    <t>We first analyze the European call with 55 strike and expiry 1 month.</t>
  </si>
  <si>
    <t>Now we combine the information</t>
  </si>
  <si>
    <t>Call</t>
  </si>
  <si>
    <t>SecurityType</t>
  </si>
  <si>
    <t>Put</t>
  </si>
  <si>
    <t>Strike</t>
  </si>
  <si>
    <t>Expiry</t>
  </si>
  <si>
    <t>Underlying</t>
  </si>
  <si>
    <t>Delta</t>
  </si>
  <si>
    <t>Vega</t>
  </si>
  <si>
    <t>Gamma</t>
  </si>
  <si>
    <t>Position</t>
  </si>
  <si>
    <t>x</t>
  </si>
  <si>
    <t>y</t>
  </si>
  <si>
    <t>z</t>
  </si>
  <si>
    <t>We have to solve for three variables x, y, and z such that the combined portfolio makes delta, vega, and gamma equal to 0.</t>
  </si>
  <si>
    <t>Thus,</t>
  </si>
  <si>
    <t>x * 13.43053 + y * 6.304314 = 100 * 10.71175</t>
  </si>
  <si>
    <t>For gamma,</t>
  </si>
  <si>
    <t>For vega,</t>
  </si>
  <si>
    <t>x * 0.019733 + y * 0.055575 = 100 * 0.031476</t>
  </si>
  <si>
    <t>For delta,</t>
  </si>
  <si>
    <t>x * -0.29557 + y * 0.538647 + z = 100 * 0.413457</t>
  </si>
  <si>
    <t>Call at 100 strike and expiry 2 months</t>
  </si>
  <si>
    <t>Put at 100 strike and expiry 2 months</t>
  </si>
  <si>
    <t>Call at strike 115 and expiry 6 months</t>
  </si>
  <si>
    <t>Put at strike 90 and expiry 6 months</t>
  </si>
  <si>
    <t>Part(A)</t>
  </si>
  <si>
    <t>Portfolio:</t>
  </si>
  <si>
    <t>underlying: +40</t>
  </si>
  <si>
    <t>Call at 100 strike and expiry 2 months: -100</t>
  </si>
  <si>
    <t>Put at 100 strike and expiry 2 months: - 100</t>
  </si>
  <si>
    <t>Call at 115 strike and expiry 6 months: 100</t>
  </si>
  <si>
    <t>Put at 90 strike and expiry 6 months: 100</t>
  </si>
  <si>
    <t>Exercise 1</t>
  </si>
  <si>
    <t>vol</t>
  </si>
  <si>
    <t>Call Price</t>
  </si>
  <si>
    <t>Put Price</t>
  </si>
  <si>
    <t>* Used the excel solver</t>
  </si>
  <si>
    <t>Part(B)</t>
  </si>
  <si>
    <t>Let the value of the portfolio be V(t,x) where t and x represent time and spot price respectively.</t>
  </si>
  <si>
    <t>By Taylor series,</t>
  </si>
  <si>
    <t>dV(t,x) = V_t(t, x) dt + V_x(t,x) dx + 1/2 * V_xx(t, x) * (dx)^2</t>
  </si>
  <si>
    <t>= theta  * dt + delta *dx +1/2 * gamma *(dx)^2</t>
  </si>
  <si>
    <t>Spot changes from 100 to 102. Thus, dx = 2.</t>
  </si>
  <si>
    <t>dt = 1/252</t>
  </si>
  <si>
    <t>PL</t>
  </si>
  <si>
    <t>Original Portfolio's value (from the tables to the left):</t>
  </si>
  <si>
    <t>Portfolio's value after 1 day change and spot price changed to 102 (tables to the right):</t>
  </si>
  <si>
    <t>Thus, the Black Scholes change in the value of portfolio is</t>
  </si>
  <si>
    <t>Note that this value 75.00106 is very close to 74.92653.</t>
  </si>
  <si>
    <t>The relative difference is only</t>
  </si>
  <si>
    <t xml:space="preserve">Graph the payoff VT of the portfolio below versus the terminal spot price ST. All options have the same expiry: </t>
  </si>
  <si>
    <t>long 1 share</t>
  </si>
  <si>
    <t xml:space="preserve">short a put with strike 30 </t>
  </si>
  <si>
    <t xml:space="preserve">long 2 puts with strike 40 </t>
  </si>
  <si>
    <t xml:space="preserve">long 2 calls with strike 35 </t>
  </si>
  <si>
    <t xml:space="preserve">short 4 calls with strike 50 </t>
  </si>
  <si>
    <t>S(t)</t>
  </si>
  <si>
    <t>Portfolio</t>
  </si>
  <si>
    <t>Portfolio value as a function of the underlying asset price S</t>
  </si>
  <si>
    <t>You decide to create a portfolio that will provide a piecewise linear payoff in 3 months. To do this, you will use the following instruments:</t>
  </si>
  <si>
    <t xml:space="preserve">(1) risk-free zero-coupon bonds with maturity 3 months </t>
  </si>
  <si>
    <t xml:space="preserve">(2) the asset </t>
  </si>
  <si>
    <t xml:space="preserve">(3) European call options on the asset with expiry 3 months </t>
  </si>
  <si>
    <t>These assets can be traded in any desired quantity, long or short, including non-integer quantities, and calls can be traded at all strikes, including non-integer strikes.</t>
  </si>
  <si>
    <t>S(T)</t>
  </si>
  <si>
    <t>V(T)</t>
  </si>
  <si>
    <t>(a)</t>
  </si>
  <si>
    <t>Graph:</t>
  </si>
  <si>
    <t>We will contruct the portfolio using only cash and calls.</t>
  </si>
  <si>
    <t xml:space="preserve">S=0, </t>
  </si>
  <si>
    <t xml:space="preserve">0&lt;S&lt;20, V=100-S. </t>
  </si>
  <si>
    <t>Short one share of stock.</t>
  </si>
  <si>
    <t>a constant value 100 is attributed to a cash position.</t>
  </si>
  <si>
    <t>20&lt;S&lt;40, V=5S-20=6(S-20) + (100-S)</t>
  </si>
  <si>
    <t>Long 6 calls struck at 20</t>
  </si>
  <si>
    <t>Short 14 calls struck at 40</t>
  </si>
  <si>
    <t>40&lt;S&lt;60, V=-9S+540 = -14(S-40) + (5S-20)</t>
  </si>
  <si>
    <t>60&lt;S&lt;80, V=-0.5S+30=8.5(S-60) + (-9S+540)</t>
  </si>
  <si>
    <t>Long 8.5 calls struck at 60</t>
  </si>
  <si>
    <t>80&lt;S&lt;100, V=2.5S-210=3(S-80) + (-0.5S+30)</t>
  </si>
  <si>
    <t>Long 3 calls struck at 80.</t>
  </si>
  <si>
    <t>(b )</t>
  </si>
  <si>
    <t xml:space="preserve">In general, </t>
  </si>
  <si>
    <t>Construct the portfolio:</t>
  </si>
  <si>
    <t>Long k(2)-k(1) calls struck at S(2); short if it is negative</t>
  </si>
  <si>
    <t>…</t>
  </si>
  <si>
    <t>So on and so forth.</t>
  </si>
  <si>
    <r>
      <t xml:space="preserve">At the end, the portfolio can be replicated by: </t>
    </r>
    <r>
      <rPr>
        <b/>
        <sz val="11"/>
        <color theme="1"/>
        <rFont val="Calibri"/>
        <family val="2"/>
        <scheme val="minor"/>
      </rPr>
      <t>Sum[change of slopes]X[Price of Call]</t>
    </r>
  </si>
  <si>
    <t>Long k(3)-k(2) calls struck at S(3); short if it is negative</t>
  </si>
  <si>
    <r>
      <t xml:space="preserve">define the slopes </t>
    </r>
    <r>
      <rPr>
        <b/>
        <sz val="11"/>
        <color theme="1"/>
        <rFont val="Calibri"/>
        <family val="2"/>
        <scheme val="minor"/>
      </rPr>
      <t>k(i) = [V(i+1)-V(i)]/[S(i+1)-S(i)]</t>
    </r>
  </si>
  <si>
    <t>Long k(1) calls struck at S(1); short if it is negative</t>
  </si>
  <si>
    <t xml:space="preserve">A chooser option is a European option with expiry T and strike K and choice time t &lt; T. </t>
  </si>
  <si>
    <t xml:space="preserve">At t, the owner of the option must choose the payoff the option will have— either a vanilla call or put payoff with strike K. </t>
  </si>
  <si>
    <t xml:space="preserve">For the purposes of this problem, we consider a chooser option on a non-dividend-paying with spot price S(0) at a time asset when the continuously compounded interest rate r is constant to all maturities. </t>
  </si>
  <si>
    <t>(b) This part of the problem is already done in MTH9831. See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</si>
</sst>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4" borderId="11" applyNumberFormat="0" applyAlignment="0" applyProtection="0"/>
    <xf numFmtId="0" fontId="6" fillId="5" borderId="12" applyNumberFormat="0" applyAlignment="0" applyProtection="0"/>
    <xf numFmtId="0" fontId="7" fillId="0" borderId="0"/>
    <xf numFmtId="0" fontId="2" fillId="6" borderId="13" applyNumberFormat="0" applyFont="0" applyAlignment="0" applyProtection="0"/>
  </cellStyleXfs>
  <cellXfs count="42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quotePrefix="1" applyFill="1"/>
    <xf numFmtId="10" fontId="0" fillId="3" borderId="0" xfId="1" applyNumberFormat="1" applyFont="1" applyFill="1"/>
    <xf numFmtId="0" fontId="6" fillId="5" borderId="12" xfId="5"/>
    <xf numFmtId="0" fontId="5" fillId="4" borderId="11" xfId="4"/>
    <xf numFmtId="0" fontId="3" fillId="0" borderId="0" xfId="2" applyBorder="1"/>
    <xf numFmtId="0" fontId="3" fillId="0" borderId="0" xfId="2" applyBorder="1" applyAlignment="1">
      <alignment horizontal="center"/>
    </xf>
    <xf numFmtId="0" fontId="4" fillId="0" borderId="10" xfId="3" applyFill="1"/>
    <xf numFmtId="0" fontId="4" fillId="0" borderId="10" xfId="3"/>
    <xf numFmtId="0" fontId="7" fillId="0" borderId="0" xfId="6"/>
    <xf numFmtId="0" fontId="3" fillId="0" borderId="9" xfId="2"/>
    <xf numFmtId="0" fontId="7" fillId="0" borderId="0" xfId="6"/>
    <xf numFmtId="0" fontId="7" fillId="0" borderId="0" xfId="6" applyFill="1"/>
    <xf numFmtId="0" fontId="5" fillId="4" borderId="11" xfId="4" applyAlignment="1">
      <alignment horizontal="center"/>
    </xf>
    <xf numFmtId="0" fontId="4" fillId="0" borderId="10" xfId="3" applyFill="1" applyAlignment="1">
      <alignment horizontal="center"/>
    </xf>
    <xf numFmtId="0" fontId="3" fillId="5" borderId="9" xfId="2" applyFill="1"/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6" borderId="13" xfId="7" applyFont="1" applyAlignment="1">
      <alignment horizontal="left"/>
    </xf>
    <xf numFmtId="0" fontId="6" fillId="5" borderId="15" xfId="5" applyBorder="1" applyAlignment="1">
      <alignment horizontal="left"/>
    </xf>
    <xf numFmtId="0" fontId="6" fillId="5" borderId="16" xfId="5" applyBorder="1" applyAlignment="1">
      <alignment horizontal="left"/>
    </xf>
    <xf numFmtId="0" fontId="6" fillId="5" borderId="17" xfId="5" applyBorder="1" applyAlignment="1">
      <alignment horizontal="left"/>
    </xf>
    <xf numFmtId="0" fontId="8" fillId="0" borderId="0" xfId="6" applyFont="1" applyAlignment="1">
      <alignment vertical="center"/>
    </xf>
    <xf numFmtId="0" fontId="9" fillId="0" borderId="0" xfId="0" applyFont="1"/>
    <xf numFmtId="0" fontId="9" fillId="0" borderId="0" xfId="6" applyFont="1"/>
    <xf numFmtId="0" fontId="9" fillId="0" borderId="0" xfId="6" applyFont="1" applyFill="1"/>
    <xf numFmtId="0" fontId="8" fillId="0" borderId="0" xfId="6" applyFont="1" applyFill="1"/>
    <xf numFmtId="0" fontId="8" fillId="0" borderId="0" xfId="6" applyFont="1"/>
  </cellXfs>
  <cellStyles count="8">
    <cellStyle name="Heading 2" xfId="2" builtinId="17"/>
    <cellStyle name="Heading 3" xfId="3" builtinId="18"/>
    <cellStyle name="Input" xfId="4" builtinId="20"/>
    <cellStyle name="Normal" xfId="0" builtinId="0"/>
    <cellStyle name="Normal 2" xfId="6"/>
    <cellStyle name="Note" xfId="7" builtinId="10"/>
    <cellStyle name="Output" xfId="5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2350000000000004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'Ex6'!$A$4:$A$12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80</c:v>
                </c:pt>
                <c:pt idx="7">
                  <c:v>100</c:v>
                </c:pt>
                <c:pt idx="8">
                  <c:v>130</c:v>
                </c:pt>
              </c:numCache>
            </c:numRef>
          </c:xVal>
          <c:yVal>
            <c:numRef>
              <c:f>'Ex6'!$G$4:$G$12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45</c:v>
                </c:pt>
                <c:pt idx="3">
                  <c:v>50</c:v>
                </c:pt>
                <c:pt idx="4">
                  <c:v>65</c:v>
                </c:pt>
                <c:pt idx="5">
                  <c:v>80</c:v>
                </c:pt>
                <c:pt idx="6">
                  <c:v>50</c:v>
                </c:pt>
                <c:pt idx="7">
                  <c:v>30</c:v>
                </c:pt>
                <c:pt idx="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5026512"/>
        <c:axId val="-935022160"/>
      </c:scatterChart>
      <c:valAx>
        <c:axId val="-9350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022160"/>
        <c:crosses val="autoZero"/>
        <c:crossBetween val="midCat"/>
      </c:valAx>
      <c:valAx>
        <c:axId val="-9350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0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58563424954467"/>
          <c:y val="0.22754151478331311"/>
          <c:w val="0.78397461201254859"/>
          <c:h val="0.683353584447144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'Ex7'!$A$9:$A$14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'Ex7'!$B$9:$B$14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180</c:v>
                </c:pt>
                <c:pt idx="3">
                  <c:v>0</c:v>
                </c:pt>
                <c:pt idx="4">
                  <c:v>-10</c:v>
                </c:pt>
                <c:pt idx="5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5021072"/>
        <c:axId val="-935020528"/>
      </c:scatterChart>
      <c:valAx>
        <c:axId val="-9350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020528"/>
        <c:crosses val="autoZero"/>
        <c:crossBetween val="midCat"/>
      </c:valAx>
      <c:valAx>
        <c:axId val="-93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0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559093</xdr:colOff>
      <xdr:row>55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99973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125730</xdr:rowOff>
    </xdr:from>
    <xdr:to>
      <xdr:col>11</xdr:col>
      <xdr:colOff>576298</xdr:colOff>
      <xdr:row>108</xdr:row>
      <xdr:rowOff>118110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01250"/>
          <a:ext cx="7617178" cy="986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14</xdr:row>
      <xdr:rowOff>32384</xdr:rowOff>
    </xdr:from>
    <xdr:to>
      <xdr:col>3</xdr:col>
      <xdr:colOff>902970</xdr:colOff>
      <xdr:row>31</xdr:row>
      <xdr:rowOff>15239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8</xdr:row>
      <xdr:rowOff>1905</xdr:rowOff>
    </xdr:from>
    <xdr:to>
      <xdr:col>6</xdr:col>
      <xdr:colOff>331470</xdr:colOff>
      <xdr:row>16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399897</xdr:colOff>
      <xdr:row>45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8640"/>
          <a:ext cx="8080857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47</xdr:row>
      <xdr:rowOff>33885</xdr:rowOff>
    </xdr:from>
    <xdr:to>
      <xdr:col>12</xdr:col>
      <xdr:colOff>377190</xdr:colOff>
      <xdr:row>122</xdr:row>
      <xdr:rowOff>78025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8629245"/>
          <a:ext cx="8035290" cy="13760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F43" sqref="F43"/>
    </sheetView>
  </sheetViews>
  <sheetFormatPr defaultRowHeight="14.4" x14ac:dyDescent="0.55000000000000004"/>
  <sheetData>
    <row r="1" spans="1:2" x14ac:dyDescent="0.55000000000000004">
      <c r="A1" t="s">
        <v>67</v>
      </c>
    </row>
    <row r="3" spans="1:2" x14ac:dyDescent="0.55000000000000004">
      <c r="A3" t="s">
        <v>1</v>
      </c>
      <c r="B3">
        <v>45</v>
      </c>
    </row>
    <row r="4" spans="1:2" x14ac:dyDescent="0.55000000000000004">
      <c r="A4" t="s">
        <v>2</v>
      </c>
      <c r="B4">
        <v>5.0000000000000001E-3</v>
      </c>
    </row>
    <row r="5" spans="1:2" x14ac:dyDescent="0.55000000000000004">
      <c r="A5" t="s">
        <v>0</v>
      </c>
      <c r="B5">
        <f>2.5/100</f>
        <v>2.5000000000000001E-2</v>
      </c>
    </row>
    <row r="7" spans="1:2" x14ac:dyDescent="0.55000000000000004">
      <c r="A7" s="2" t="s">
        <v>4</v>
      </c>
    </row>
    <row r="9" spans="1:2" x14ac:dyDescent="0.55000000000000004">
      <c r="A9" t="s">
        <v>6</v>
      </c>
      <c r="B9">
        <v>0.25</v>
      </c>
    </row>
    <row r="10" spans="1:2" x14ac:dyDescent="0.55000000000000004">
      <c r="A10" t="s">
        <v>5</v>
      </c>
      <c r="B10">
        <v>50</v>
      </c>
    </row>
    <row r="11" spans="1:2" x14ac:dyDescent="0.55000000000000004">
      <c r="A11" t="s">
        <v>68</v>
      </c>
      <c r="B11">
        <v>0.35</v>
      </c>
    </row>
    <row r="13" spans="1:2" x14ac:dyDescent="0.55000000000000004">
      <c r="A13" t="s">
        <v>7</v>
      </c>
      <c r="B13">
        <f>(LN(B3/B10)+(B5-B4+0.5*B11*B11)*B9)/(B11*SQRT(B9))</f>
        <v>-0.48598866090186449</v>
      </c>
    </row>
    <row r="14" spans="1:2" x14ac:dyDescent="0.55000000000000004">
      <c r="A14" t="s">
        <v>8</v>
      </c>
      <c r="B14">
        <f>B13-B11*SQRT(B9)</f>
        <v>-0.66098866090186448</v>
      </c>
    </row>
    <row r="16" spans="1:2" x14ac:dyDescent="0.55000000000000004">
      <c r="A16" t="s">
        <v>69</v>
      </c>
      <c r="B16" s="3">
        <f>B3*EXP(-B4*B9)*_xlfn.NORM.S.DIST(B13, TRUE) - B10*EXP(-B5*B9)*_xlfn.NORM.S.DIST(B14, TRUE)</f>
        <v>1.4530538042240195</v>
      </c>
    </row>
    <row r="18" spans="1:2" x14ac:dyDescent="0.55000000000000004">
      <c r="A18" s="2" t="s">
        <v>15</v>
      </c>
    </row>
    <row r="20" spans="1:2" x14ac:dyDescent="0.55000000000000004">
      <c r="A20" t="s">
        <v>6</v>
      </c>
      <c r="B20">
        <v>0.25</v>
      </c>
    </row>
    <row r="21" spans="1:2" x14ac:dyDescent="0.55000000000000004">
      <c r="A21" t="s">
        <v>5</v>
      </c>
      <c r="B21">
        <v>40</v>
      </c>
    </row>
    <row r="22" spans="1:2" x14ac:dyDescent="0.55000000000000004">
      <c r="A22" t="s">
        <v>68</v>
      </c>
      <c r="B22">
        <v>0.45</v>
      </c>
    </row>
    <row r="24" spans="1:2" x14ac:dyDescent="0.55000000000000004">
      <c r="A24" t="s">
        <v>7</v>
      </c>
      <c r="B24">
        <f>(LN(B3/B21)+(B5-B4+0.5*B22*B22)*B20)/(B22*SQRT(B20))</f>
        <v>0.65820238069503756</v>
      </c>
    </row>
    <row r="25" spans="1:2" x14ac:dyDescent="0.55000000000000004">
      <c r="A25" t="s">
        <v>8</v>
      </c>
      <c r="B25">
        <f>B24-B22*SQRT(B20)</f>
        <v>0.43320238069503758</v>
      </c>
    </row>
    <row r="27" spans="1:2" x14ac:dyDescent="0.55000000000000004">
      <c r="A27" t="s">
        <v>70</v>
      </c>
      <c r="B27" s="3">
        <f>B21*EXP(-B5*B20)*_xlfn.NORM.S.DIST(-B25, TRUE)-B3*EXP(-B4*B20)*_xlfn.NORM.S.DIST(-B24,TRUE)</f>
        <v>1.7446698112582393</v>
      </c>
    </row>
    <row r="29" spans="1:2" x14ac:dyDescent="0.55000000000000004">
      <c r="A29" s="2" t="s">
        <v>29</v>
      </c>
    </row>
    <row r="31" spans="1:2" x14ac:dyDescent="0.55000000000000004">
      <c r="A31" t="s">
        <v>6</v>
      </c>
      <c r="B31">
        <v>0.5</v>
      </c>
    </row>
    <row r="32" spans="1:2" x14ac:dyDescent="0.55000000000000004">
      <c r="A32" t="s">
        <v>5</v>
      </c>
      <c r="B32">
        <v>50</v>
      </c>
    </row>
    <row r="33" spans="1:3" x14ac:dyDescent="0.55000000000000004">
      <c r="A33" t="s">
        <v>68</v>
      </c>
      <c r="B33" s="3">
        <v>0.32664128760571931</v>
      </c>
      <c r="C33" t="s">
        <v>71</v>
      </c>
    </row>
    <row r="35" spans="1:3" x14ac:dyDescent="0.55000000000000004">
      <c r="A35" t="s">
        <v>7</v>
      </c>
      <c r="B35">
        <f>(LN(B3/B32)+(B5-B4+0.5*B33*B33)*B31)/(B33*SQRT(B31))</f>
        <v>-0.29738408808993705</v>
      </c>
    </row>
    <row r="36" spans="1:3" x14ac:dyDescent="0.55000000000000004">
      <c r="A36" t="s">
        <v>8</v>
      </c>
      <c r="B36">
        <f>B35-B33*SQRT(B31)</f>
        <v>-0.52835435757144655</v>
      </c>
    </row>
    <row r="38" spans="1:3" x14ac:dyDescent="0.55000000000000004">
      <c r="A38" t="s">
        <v>69</v>
      </c>
      <c r="B38">
        <f>B3*EXP(-B4*B31)*_xlfn.NORM.S.DIST(B35, TRUE) - B32*EXP(-B5*B31)*_xlfn.NORM.S.DIST(B36, TRUE)</f>
        <v>2.4500003821605105</v>
      </c>
    </row>
    <row r="40" spans="1:3" x14ac:dyDescent="0.55000000000000004">
      <c r="A40" s="2" t="s">
        <v>32</v>
      </c>
    </row>
    <row r="42" spans="1:3" x14ac:dyDescent="0.55000000000000004">
      <c r="A42" t="s">
        <v>6</v>
      </c>
      <c r="B42">
        <v>0.5</v>
      </c>
    </row>
    <row r="43" spans="1:3" x14ac:dyDescent="0.55000000000000004">
      <c r="A43" t="s">
        <v>5</v>
      </c>
      <c r="B43">
        <v>30</v>
      </c>
    </row>
    <row r="44" spans="1:3" x14ac:dyDescent="0.55000000000000004">
      <c r="A44" t="s">
        <v>68</v>
      </c>
      <c r="B44" s="3">
        <v>0.50911744680450288</v>
      </c>
      <c r="C44" t="s">
        <v>71</v>
      </c>
    </row>
    <row r="46" spans="1:3" x14ac:dyDescent="0.55000000000000004">
      <c r="A46" t="s">
        <v>7</v>
      </c>
      <c r="B46">
        <f>(LN(B3/B43)+(B5-B4+0.5*B44*B44)*B42)/(B44*SQRT(B42))</f>
        <v>1.3340686650012483</v>
      </c>
    </row>
    <row r="47" spans="1:3" x14ac:dyDescent="0.55000000000000004">
      <c r="A47" t="s">
        <v>8</v>
      </c>
      <c r="B47">
        <f>B46-B44*SQRT(B42)</f>
        <v>0.97406826594540297</v>
      </c>
    </row>
    <row r="49" spans="1:2" x14ac:dyDescent="0.55000000000000004">
      <c r="A49" t="s">
        <v>70</v>
      </c>
      <c r="B49">
        <f>B43*EXP(-B5*B42)*_xlfn.NORM.S.DIST(-B47, TRUE)-B3*EXP(-B4*B42)*_xlfn.NORM.S.DIST(-B46,TRUE)</f>
        <v>0.8000000015482529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R60" sqref="R6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9"/>
  <sheetViews>
    <sheetView topLeftCell="A22" workbookViewId="0">
      <selection activeCell="C23" sqref="C23"/>
    </sheetView>
  </sheetViews>
  <sheetFormatPr defaultRowHeight="14.4" x14ac:dyDescent="0.55000000000000004"/>
  <sheetData>
    <row r="5" spans="1:3" x14ac:dyDescent="0.55000000000000004">
      <c r="B5" t="s">
        <v>0</v>
      </c>
      <c r="C5">
        <f>2.25/100</f>
        <v>2.2499999999999999E-2</v>
      </c>
    </row>
    <row r="6" spans="1:3" x14ac:dyDescent="0.55000000000000004">
      <c r="B6" t="s">
        <v>1</v>
      </c>
      <c r="C6">
        <v>36</v>
      </c>
    </row>
    <row r="7" spans="1:3" x14ac:dyDescent="0.55000000000000004">
      <c r="B7" t="s">
        <v>2</v>
      </c>
      <c r="C7">
        <f>80/10000</f>
        <v>8.0000000000000002E-3</v>
      </c>
    </row>
    <row r="8" spans="1:3" x14ac:dyDescent="0.55000000000000004">
      <c r="B8" t="s">
        <v>3</v>
      </c>
      <c r="C8">
        <v>0.4</v>
      </c>
    </row>
    <row r="11" spans="1:3" x14ac:dyDescent="0.55000000000000004">
      <c r="A11" t="s">
        <v>4</v>
      </c>
    </row>
    <row r="12" spans="1:3" x14ac:dyDescent="0.55000000000000004">
      <c r="B12" t="s">
        <v>5</v>
      </c>
      <c r="C12">
        <v>36</v>
      </c>
    </row>
    <row r="13" spans="1:3" x14ac:dyDescent="0.55000000000000004">
      <c r="B13" t="s">
        <v>6</v>
      </c>
      <c r="C13">
        <f>3/12</f>
        <v>0.25</v>
      </c>
    </row>
    <row r="15" spans="1:3" x14ac:dyDescent="0.55000000000000004">
      <c r="B15" t="s">
        <v>7</v>
      </c>
      <c r="C15">
        <f>(LN(C6/C12)+(C5-C7+0.5*C8*C8)*C13)/(C8*SQRT(C13))</f>
        <v>0.11812500000000001</v>
      </c>
    </row>
    <row r="16" spans="1:3" x14ac:dyDescent="0.55000000000000004">
      <c r="B16" t="s">
        <v>8</v>
      </c>
      <c r="C16">
        <f>C15-C8*SQRT(C13)</f>
        <v>-8.1875000000000003E-2</v>
      </c>
    </row>
    <row r="18" spans="1:3" x14ac:dyDescent="0.55000000000000004">
      <c r="B18" t="s">
        <v>9</v>
      </c>
      <c r="C18">
        <f>C6*EXP(-C7*C13)*_xlfn.NORM.S.DIST(C15, TRUE)-C12*EXP(-C5*C13)*_xlfn.NORM.S.DIST(C16,TRUE)</f>
        <v>2.9221664519401287</v>
      </c>
    </row>
    <row r="20" spans="1:3" x14ac:dyDescent="0.55000000000000004">
      <c r="B20" t="s">
        <v>10</v>
      </c>
      <c r="C20">
        <f>EXP(-C7*C13)*_xlfn.NORM.S.DIST(C15, TRUE)</f>
        <v>0.54592275442164129</v>
      </c>
    </row>
    <row r="21" spans="1:3" x14ac:dyDescent="0.55000000000000004">
      <c r="B21" t="s">
        <v>11</v>
      </c>
      <c r="C21">
        <f>1/(C6*C8*SQRT(C13))*EXP(-C7*C13)*1/SQRT(2*PI())*EXP(-C15*C15/2)</f>
        <v>5.4913485833251174E-2</v>
      </c>
    </row>
    <row r="22" spans="1:3" x14ac:dyDescent="0.55000000000000004">
      <c r="B22" t="s">
        <v>12</v>
      </c>
      <c r="C22">
        <f>C6*SQRT(C13)*EXP(-C7*C13)*1/SQRT(2*PI())*EXP(-C15*C15/2)</f>
        <v>7.1167877639893513</v>
      </c>
    </row>
    <row r="23" spans="1:3" x14ac:dyDescent="0.55000000000000004">
      <c r="B23" t="s">
        <v>13</v>
      </c>
      <c r="C23">
        <f>C5*C18-(C5-C7)*C6*C20-0.5*C8*C8*C6*C6*C21</f>
        <v>-5.9126531438309282</v>
      </c>
    </row>
    <row r="24" spans="1:3" x14ac:dyDescent="0.55000000000000004">
      <c r="B24" t="s">
        <v>14</v>
      </c>
      <c r="C24">
        <f>C13*C12*EXP(-C5*C13)*_xlfn.NORM.S.DIST(C16,TRUE)</f>
        <v>4.1827631768097397</v>
      </c>
    </row>
    <row r="26" spans="1:3" x14ac:dyDescent="0.55000000000000004">
      <c r="A26" t="s">
        <v>15</v>
      </c>
    </row>
    <row r="27" spans="1:3" x14ac:dyDescent="0.55000000000000004">
      <c r="B27" t="s">
        <v>5</v>
      </c>
      <c r="C27">
        <v>45</v>
      </c>
    </row>
    <row r="28" spans="1:3" x14ac:dyDescent="0.55000000000000004">
      <c r="B28" t="s">
        <v>6</v>
      </c>
      <c r="C28">
        <f>6/12</f>
        <v>0.5</v>
      </c>
    </row>
    <row r="30" spans="1:3" x14ac:dyDescent="0.55000000000000004">
      <c r="B30" t="s">
        <v>7</v>
      </c>
      <c r="C30">
        <f>(LN(C6/C27)+(C5-C7+0.5*C8*C8)*C28)/(C8*SQRT(C28))</f>
        <v>-0.62187761450630807</v>
      </c>
    </row>
    <row r="31" spans="1:3" x14ac:dyDescent="0.55000000000000004">
      <c r="B31" t="s">
        <v>8</v>
      </c>
      <c r="C31">
        <f>C30-C8*SQRT(C28)</f>
        <v>-0.90472032698092719</v>
      </c>
    </row>
    <row r="33" spans="2:6" x14ac:dyDescent="0.55000000000000004">
      <c r="B33" t="s">
        <v>16</v>
      </c>
      <c r="C33">
        <f>C27*EXP(-C5*C28)*_xlfn.NORM.S.DIST(-C31,TRUE)-C6*EXP(-C7*C28)*_xlfn.NORM.S.DIST(-C30,TRUE)</f>
        <v>10.080050797611641</v>
      </c>
      <c r="E33" t="s">
        <v>9</v>
      </c>
      <c r="F33">
        <f>C6*EXP(-C7*C28)*_xlfn.NORM.S.DIST(C30, TRUE)-C27*EXP(-C5*C28)*_xlfn.NORM.S.DIST(C31,TRUE)</f>
        <v>1.4397514064898456</v>
      </c>
    </row>
    <row r="35" spans="2:6" x14ac:dyDescent="0.55000000000000004">
      <c r="B35" t="s">
        <v>10</v>
      </c>
      <c r="C35">
        <f>-EXP(-C7*C28)*_xlfn.NORM.S.DIST(-C30,TRUE)</f>
        <v>-0.73006272791879745</v>
      </c>
    </row>
    <row r="36" spans="2:6" x14ac:dyDescent="0.55000000000000004">
      <c r="B36" t="s">
        <v>11</v>
      </c>
      <c r="C36">
        <f>1/(C6*C8*SQRT(C28))*EXP(-C7*C28)*1/SQRT(2*PI())*EXP(-C30*C30/2)</f>
        <v>3.2162341379945357E-2</v>
      </c>
    </row>
    <row r="37" spans="2:6" x14ac:dyDescent="0.55000000000000004">
      <c r="B37" t="s">
        <v>12</v>
      </c>
      <c r="C37">
        <f>C6*SQRT(C28)*EXP(-C7*C28)*1/SQRT(2*PI())*EXP(-C30*C30/2)</f>
        <v>8.3364788856818368</v>
      </c>
    </row>
    <row r="38" spans="2:6" x14ac:dyDescent="0.55000000000000004">
      <c r="B38" t="s">
        <v>13</v>
      </c>
      <c r="C38">
        <f>C5*F33-(C5-C7)*C6*C35-0.5*C8*C8*C6*C6*C36-C7*C6*EXP(-C7*C28)+C5*C27*EXP(-C5*C28)</f>
        <v>-2.2067814969152986</v>
      </c>
      <c r="D38" t="s">
        <v>17</v>
      </c>
    </row>
    <row r="39" spans="2:6" x14ac:dyDescent="0.55000000000000004">
      <c r="B39" t="s">
        <v>14</v>
      </c>
      <c r="C39">
        <f>-C28*C27*EXP(-C5*C28)*_xlfn.NORM.S.DIST(-C31, TRUE)</f>
        <v>-18.181154501344174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8"/>
  <sheetViews>
    <sheetView topLeftCell="A25" workbookViewId="0">
      <selection activeCell="L95" sqref="L95"/>
    </sheetView>
  </sheetViews>
  <sheetFormatPr defaultRowHeight="14.4" x14ac:dyDescent="0.55000000000000004"/>
  <cols>
    <col min="1" max="1" width="14.3125" customWidth="1"/>
  </cols>
  <sheetData>
    <row r="2" spans="1:3" x14ac:dyDescent="0.55000000000000004">
      <c r="A2" t="s">
        <v>18</v>
      </c>
    </row>
    <row r="5" spans="1:3" x14ac:dyDescent="0.55000000000000004">
      <c r="B5" t="s">
        <v>0</v>
      </c>
      <c r="C5">
        <f>5/100</f>
        <v>0.05</v>
      </c>
    </row>
    <row r="6" spans="1:3" x14ac:dyDescent="0.55000000000000004">
      <c r="B6" t="s">
        <v>1</v>
      </c>
      <c r="C6">
        <v>55</v>
      </c>
    </row>
    <row r="7" spans="1:3" x14ac:dyDescent="0.55000000000000004">
      <c r="B7" t="s">
        <v>2</v>
      </c>
      <c r="C7">
        <v>0</v>
      </c>
    </row>
    <row r="8" spans="1:3" x14ac:dyDescent="0.55000000000000004">
      <c r="B8" t="s">
        <v>3</v>
      </c>
      <c r="C8">
        <v>0.45</v>
      </c>
    </row>
    <row r="10" spans="1:3" x14ac:dyDescent="0.55000000000000004">
      <c r="B10" t="s">
        <v>5</v>
      </c>
      <c r="C10">
        <v>60</v>
      </c>
    </row>
    <row r="11" spans="1:3" x14ac:dyDescent="0.55000000000000004">
      <c r="B11" t="s">
        <v>6</v>
      </c>
      <c r="C11">
        <f>3/12</f>
        <v>0.25</v>
      </c>
    </row>
    <row r="13" spans="1:3" x14ac:dyDescent="0.55000000000000004">
      <c r="B13" t="s">
        <v>7</v>
      </c>
      <c r="C13">
        <f>(LN(C6/C10)+(C5-C7+0.5*C8*C8)*C11)/(C8*SQRT(C11))</f>
        <v>-0.21866167550946583</v>
      </c>
    </row>
    <row r="14" spans="1:3" x14ac:dyDescent="0.55000000000000004">
      <c r="B14" t="s">
        <v>8</v>
      </c>
      <c r="C14">
        <f>C13-C8*SQRT(C11)</f>
        <v>-0.44366167550946584</v>
      </c>
    </row>
    <row r="16" spans="1:3" x14ac:dyDescent="0.55000000000000004">
      <c r="B16" t="s">
        <v>9</v>
      </c>
      <c r="C16">
        <f>C6*EXP(-C7*C11)*_xlfn.NORM.S.DIST(C13, TRUE)-C10*EXP(-C5*C11)*_xlfn.NORM.S.DIST(C14,TRUE)</f>
        <v>3.266456493919712</v>
      </c>
    </row>
    <row r="18" spans="1:5" x14ac:dyDescent="0.55000000000000004">
      <c r="B18" t="s">
        <v>10</v>
      </c>
      <c r="C18">
        <f>EXP(-C7*C11)*_xlfn.NORM.S.DIST(C13, TRUE)</f>
        <v>0.41345680251211292</v>
      </c>
    </row>
    <row r="19" spans="1:5" x14ac:dyDescent="0.55000000000000004">
      <c r="B19" t="s">
        <v>11</v>
      </c>
      <c r="C19">
        <f>1/(C6*C8*SQRT(C11))*EXP(-C7*C11)*1/SQRT(2*PI())*EXP(-C13*C13/2)</f>
        <v>3.1476208449923271E-2</v>
      </c>
    </row>
    <row r="20" spans="1:5" x14ac:dyDescent="0.55000000000000004">
      <c r="B20" t="s">
        <v>12</v>
      </c>
      <c r="C20">
        <f>C6*SQRT(C11)*EXP(-C7*C11)*1/SQRT(2*PI())*EXP(-C13*C13/2)</f>
        <v>10.711747188114513</v>
      </c>
    </row>
    <row r="21" spans="1:5" x14ac:dyDescent="0.55000000000000004">
      <c r="B21" t="s">
        <v>13</v>
      </c>
      <c r="C21">
        <f>C5*C16-(C5-C7)*C6*C18-0.5*C8*C8*C6*C6*C19</f>
        <v>-10.614255851515388</v>
      </c>
    </row>
    <row r="22" spans="1:5" x14ac:dyDescent="0.55000000000000004">
      <c r="B22" t="s">
        <v>14</v>
      </c>
      <c r="C22">
        <f>C11*C10*EXP(-C5*C11)*_xlfn.NORM.S.DIST(C14,TRUE)</f>
        <v>4.8684169110616242</v>
      </c>
    </row>
    <row r="24" spans="1:5" s="4" customFormat="1" x14ac:dyDescent="0.55000000000000004">
      <c r="A24" s="4" t="s">
        <v>4</v>
      </c>
    </row>
    <row r="25" spans="1:5" x14ac:dyDescent="0.55000000000000004">
      <c r="A25" t="s">
        <v>19</v>
      </c>
    </row>
    <row r="26" spans="1:5" x14ac:dyDescent="0.55000000000000004">
      <c r="A26" t="s">
        <v>20</v>
      </c>
      <c r="E26" s="3">
        <f>C18*100</f>
        <v>41.345680251211292</v>
      </c>
    </row>
    <row r="27" spans="1:5" x14ac:dyDescent="0.55000000000000004">
      <c r="A27" t="s">
        <v>21</v>
      </c>
    </row>
    <row r="29" spans="1:5" s="5" customFormat="1" x14ac:dyDescent="0.55000000000000004">
      <c r="A29" s="4" t="s">
        <v>15</v>
      </c>
    </row>
    <row r="30" spans="1:5" x14ac:dyDescent="0.55000000000000004">
      <c r="A30" t="s">
        <v>22</v>
      </c>
    </row>
    <row r="31" spans="1:5" x14ac:dyDescent="0.55000000000000004">
      <c r="B31" t="s">
        <v>0</v>
      </c>
      <c r="C31">
        <f>5/100</f>
        <v>0.05</v>
      </c>
    </row>
    <row r="32" spans="1:5" x14ac:dyDescent="0.55000000000000004">
      <c r="B32" t="s">
        <v>1</v>
      </c>
      <c r="C32">
        <v>55</v>
      </c>
    </row>
    <row r="33" spans="2:6" x14ac:dyDescent="0.55000000000000004">
      <c r="B33" t="s">
        <v>2</v>
      </c>
      <c r="C33">
        <v>0</v>
      </c>
    </row>
    <row r="34" spans="2:6" x14ac:dyDescent="0.55000000000000004">
      <c r="B34" t="s">
        <v>3</v>
      </c>
      <c r="C34">
        <v>0.45</v>
      </c>
    </row>
    <row r="36" spans="2:6" x14ac:dyDescent="0.55000000000000004">
      <c r="B36" t="s">
        <v>5</v>
      </c>
      <c r="C36">
        <v>50</v>
      </c>
    </row>
    <row r="37" spans="2:6" x14ac:dyDescent="0.55000000000000004">
      <c r="B37" t="s">
        <v>6</v>
      </c>
      <c r="C37">
        <f>6/12</f>
        <v>0.5</v>
      </c>
    </row>
    <row r="39" spans="2:6" x14ac:dyDescent="0.55000000000000004">
      <c r="B39" t="s">
        <v>7</v>
      </c>
      <c r="C39">
        <f>(LN(C32/C36)+(C31-C33+0.5*C34*C34)*C37)/(C34*SQRT(C37))</f>
        <v>0.53719744347991083</v>
      </c>
    </row>
    <row r="40" spans="2:6" x14ac:dyDescent="0.55000000000000004">
      <c r="B40" t="s">
        <v>8</v>
      </c>
      <c r="C40">
        <f>C39-C34*SQRT(C37)</f>
        <v>0.21899939194596441</v>
      </c>
    </row>
    <row r="42" spans="2:6" x14ac:dyDescent="0.55000000000000004">
      <c r="B42" t="s">
        <v>16</v>
      </c>
      <c r="C42">
        <f>C36*EXP(-C31*C37)*_xlfn.NORM.S.DIST(-C40,TRUE)-C32*EXP(-C33*C37)*_xlfn.NORM.S.DIST(-C39,TRUE)</f>
        <v>3.8999021657558721</v>
      </c>
      <c r="E42" t="s">
        <v>9</v>
      </c>
      <c r="F42">
        <f>C32*EXP(-C33*C37)*_xlfn.NORM.S.DIST(C39, TRUE)-C36*EXP(-C31*C37)*_xlfn.NORM.S.DIST(C40,TRUE)</f>
        <v>10.134406564339237</v>
      </c>
    </row>
    <row r="44" spans="2:6" x14ac:dyDescent="0.55000000000000004">
      <c r="B44" t="s">
        <v>10</v>
      </c>
      <c r="C44">
        <f>-EXP(-C33*C37)*_xlfn.NORM.S.DIST(-C39,TRUE)</f>
        <v>-0.29556561850066454</v>
      </c>
    </row>
    <row r="45" spans="2:6" x14ac:dyDescent="0.55000000000000004">
      <c r="B45" t="s">
        <v>11</v>
      </c>
      <c r="C45">
        <f>1/(C32*C34*SQRT(C37))*EXP(-C33*C37)*1/SQRT(2*PI())*EXP(-C39*C39/2)</f>
        <v>1.9732643609743465E-2</v>
      </c>
    </row>
    <row r="46" spans="2:6" x14ac:dyDescent="0.55000000000000004">
      <c r="B46" t="s">
        <v>12</v>
      </c>
      <c r="C46">
        <f>C32*SQRT(C37)*EXP(-C33*C37)*1/SQRT(2*PI())*EXP(-C39*C39/2)</f>
        <v>13.430530556881649</v>
      </c>
    </row>
    <row r="47" spans="2:6" x14ac:dyDescent="0.55000000000000004">
      <c r="B47" t="s">
        <v>13</v>
      </c>
      <c r="C47">
        <f>C31*F42-(C31-C33)*C32*C44-0.5*C34*C34*C32*C32*C45-C33*C32*EXP(-C33*C37)+C31*C36*EXP(-C31*C37)</f>
        <v>-2.2859381914321206</v>
      </c>
      <c r="D47" t="s">
        <v>17</v>
      </c>
    </row>
    <row r="48" spans="2:6" x14ac:dyDescent="0.55000000000000004">
      <c r="B48" t="s">
        <v>14</v>
      </c>
      <c r="C48">
        <f>-C37*C36*EXP(-C31*C37)*_xlfn.NORM.S.DIST(-C40, TRUE)</f>
        <v>-10.07800559164621</v>
      </c>
    </row>
    <row r="50" spans="1:1" x14ac:dyDescent="0.55000000000000004">
      <c r="A50" t="s">
        <v>23</v>
      </c>
    </row>
    <row r="51" spans="1:1" x14ac:dyDescent="0.55000000000000004">
      <c r="A51" s="1" t="s">
        <v>24</v>
      </c>
    </row>
    <row r="52" spans="1:1" x14ac:dyDescent="0.55000000000000004">
      <c r="A52" t="s">
        <v>25</v>
      </c>
    </row>
    <row r="53" spans="1:1" x14ac:dyDescent="0.55000000000000004">
      <c r="A53" s="3">
        <f>100*C20/C46</f>
        <v>79.756694218054832</v>
      </c>
    </row>
    <row r="55" spans="1:1" x14ac:dyDescent="0.55000000000000004">
      <c r="A55" t="s">
        <v>26</v>
      </c>
    </row>
    <row r="56" spans="1:1" x14ac:dyDescent="0.55000000000000004">
      <c r="A56" s="1" t="s">
        <v>28</v>
      </c>
    </row>
    <row r="57" spans="1:1" x14ac:dyDescent="0.55000000000000004">
      <c r="A57" t="s">
        <v>27</v>
      </c>
    </row>
    <row r="58" spans="1:1" x14ac:dyDescent="0.55000000000000004">
      <c r="A58" s="3">
        <f>100*C18-A53*C44</f>
        <v>64.919016907339042</v>
      </c>
    </row>
    <row r="60" spans="1:1" s="5" customFormat="1" x14ac:dyDescent="0.55000000000000004">
      <c r="A60" s="4" t="s">
        <v>29</v>
      </c>
    </row>
    <row r="61" spans="1:1" x14ac:dyDescent="0.55000000000000004">
      <c r="A61" t="s">
        <v>30</v>
      </c>
    </row>
    <row r="62" spans="1:1" x14ac:dyDescent="0.55000000000000004">
      <c r="A62">
        <f>-100*C19</f>
        <v>-3.1476208449923271</v>
      </c>
    </row>
    <row r="64" spans="1:1" x14ac:dyDescent="0.55000000000000004">
      <c r="A64" t="s">
        <v>31</v>
      </c>
    </row>
    <row r="65" spans="1:3" x14ac:dyDescent="0.55000000000000004">
      <c r="A65">
        <f>-100*C19+A53*C45</f>
        <v>-1.5738104224961638</v>
      </c>
    </row>
    <row r="67" spans="1:3" s="5" customFormat="1" x14ac:dyDescent="0.55000000000000004">
      <c r="A67" s="4" t="s">
        <v>32</v>
      </c>
    </row>
    <row r="68" spans="1:3" x14ac:dyDescent="0.55000000000000004">
      <c r="A68" t="s">
        <v>33</v>
      </c>
    </row>
    <row r="70" spans="1:3" x14ac:dyDescent="0.55000000000000004">
      <c r="B70" t="s">
        <v>0</v>
      </c>
      <c r="C70">
        <f>5/100</f>
        <v>0.05</v>
      </c>
    </row>
    <row r="71" spans="1:3" x14ac:dyDescent="0.55000000000000004">
      <c r="B71" t="s">
        <v>1</v>
      </c>
      <c r="C71">
        <v>55</v>
      </c>
    </row>
    <row r="72" spans="1:3" x14ac:dyDescent="0.55000000000000004">
      <c r="B72" t="s">
        <v>2</v>
      </c>
      <c r="C72">
        <v>0</v>
      </c>
    </row>
    <row r="73" spans="1:3" x14ac:dyDescent="0.55000000000000004">
      <c r="B73" t="s">
        <v>3</v>
      </c>
      <c r="C73">
        <v>0.45</v>
      </c>
    </row>
    <row r="75" spans="1:3" x14ac:dyDescent="0.55000000000000004">
      <c r="B75" t="s">
        <v>5</v>
      </c>
      <c r="C75">
        <v>55</v>
      </c>
    </row>
    <row r="76" spans="1:3" x14ac:dyDescent="0.55000000000000004">
      <c r="B76" t="s">
        <v>6</v>
      </c>
      <c r="C76">
        <f>1/12</f>
        <v>8.3333333333333329E-2</v>
      </c>
    </row>
    <row r="78" spans="1:3" x14ac:dyDescent="0.55000000000000004">
      <c r="B78" t="s">
        <v>7</v>
      </c>
      <c r="C78">
        <f>(LN(C71/C75)+(C70-C72+0.5*C73*C73)*C76)/(C73*SQRT(C76))</f>
        <v>9.7026920238812112E-2</v>
      </c>
    </row>
    <row r="79" spans="1:3" x14ac:dyDescent="0.55000000000000004">
      <c r="B79" t="s">
        <v>8</v>
      </c>
      <c r="C79">
        <f>C78-C73*SQRT(C76)</f>
        <v>-3.2876890328853672E-2</v>
      </c>
    </row>
    <row r="81" spans="1:7" x14ac:dyDescent="0.55000000000000004">
      <c r="B81" t="s">
        <v>9</v>
      </c>
      <c r="C81">
        <f>C71*EXP(-C72*C76)*_xlfn.NORM.S.DIST(C78, TRUE)-C75*EXP(-C70*C76)*_xlfn.NORM.S.DIST(C79,TRUE)</f>
        <v>2.9582071095970086</v>
      </c>
    </row>
    <row r="83" spans="1:7" x14ac:dyDescent="0.55000000000000004">
      <c r="B83" t="s">
        <v>10</v>
      </c>
      <c r="C83">
        <f>EXP(-C72*C76)*_xlfn.NORM.S.DIST(C78, TRUE)</f>
        <v>0.53864749197638773</v>
      </c>
    </row>
    <row r="84" spans="1:7" x14ac:dyDescent="0.55000000000000004">
      <c r="B84" t="s">
        <v>11</v>
      </c>
      <c r="C84">
        <f>1/(C71*C73*SQRT(C76))*EXP(-C72*C76)*1/SQRT(2*PI())*EXP(-C78*C78/2)</f>
        <v>5.5575222866255429E-2</v>
      </c>
    </row>
    <row r="85" spans="1:7" x14ac:dyDescent="0.55000000000000004">
      <c r="B85" t="s">
        <v>12</v>
      </c>
      <c r="C85">
        <f>C71*SQRT(C76)*EXP(-C72*C76)*1/SQRT(2*PI())*EXP(-C78*C78/2)</f>
        <v>6.3043143438908489</v>
      </c>
    </row>
    <row r="86" spans="1:7" x14ac:dyDescent="0.55000000000000004">
      <c r="B86" t="s">
        <v>13</v>
      </c>
      <c r="C86">
        <f>C70*C81-(C70-C72)*C71*C83-0.5*C73*C73*C71*C71*C84</f>
        <v>-18.355018975960512</v>
      </c>
    </row>
    <row r="87" spans="1:7" x14ac:dyDescent="0.55000000000000004">
      <c r="B87" t="s">
        <v>14</v>
      </c>
      <c r="C87">
        <f>C76*C75*EXP(-C70*C76)*_xlfn.NORM.S.DIST(C79,TRUE)</f>
        <v>2.222283745758693</v>
      </c>
    </row>
    <row r="89" spans="1:7" x14ac:dyDescent="0.55000000000000004">
      <c r="A89" t="s">
        <v>34</v>
      </c>
    </row>
    <row r="91" spans="1:7" x14ac:dyDescent="0.55000000000000004">
      <c r="A91" t="s">
        <v>36</v>
      </c>
      <c r="B91" t="s">
        <v>38</v>
      </c>
      <c r="C91" t="s">
        <v>39</v>
      </c>
      <c r="D91" t="s">
        <v>41</v>
      </c>
      <c r="E91" t="s">
        <v>42</v>
      </c>
      <c r="F91" t="s">
        <v>43</v>
      </c>
      <c r="G91" t="s">
        <v>44</v>
      </c>
    </row>
    <row r="92" spans="1:7" x14ac:dyDescent="0.55000000000000004">
      <c r="A92" t="s">
        <v>35</v>
      </c>
      <c r="B92">
        <v>60</v>
      </c>
      <c r="C92">
        <f>C11</f>
        <v>0.25</v>
      </c>
      <c r="D92">
        <f>C18</f>
        <v>0.41345680251211292</v>
      </c>
      <c r="E92">
        <f>C20</f>
        <v>10.711747188114513</v>
      </c>
      <c r="F92">
        <f>C19</f>
        <v>3.1476208449923271E-2</v>
      </c>
      <c r="G92">
        <f>-100</f>
        <v>-100</v>
      </c>
    </row>
    <row r="93" spans="1:7" x14ac:dyDescent="0.55000000000000004">
      <c r="A93" t="s">
        <v>37</v>
      </c>
      <c r="B93">
        <v>50</v>
      </c>
      <c r="C93">
        <f>C37</f>
        <v>0.5</v>
      </c>
      <c r="D93">
        <f>C44</f>
        <v>-0.29556561850066454</v>
      </c>
      <c r="E93">
        <f>C46</f>
        <v>13.430530556881649</v>
      </c>
      <c r="F93">
        <f>C45</f>
        <v>1.9732643609743465E-2</v>
      </c>
      <c r="G93" t="s">
        <v>45</v>
      </c>
    </row>
    <row r="94" spans="1:7" x14ac:dyDescent="0.55000000000000004">
      <c r="A94" t="s">
        <v>35</v>
      </c>
      <c r="B94">
        <v>55</v>
      </c>
      <c r="C94">
        <f>C76</f>
        <v>8.3333333333333329E-2</v>
      </c>
      <c r="D94">
        <f>C83</f>
        <v>0.53864749197638773</v>
      </c>
      <c r="E94">
        <f>C85</f>
        <v>6.3043143438908489</v>
      </c>
      <c r="F94">
        <f>C84</f>
        <v>5.5575222866255429E-2</v>
      </c>
      <c r="G94" t="s">
        <v>46</v>
      </c>
    </row>
    <row r="95" spans="1:7" x14ac:dyDescent="0.55000000000000004">
      <c r="A95" t="s">
        <v>40</v>
      </c>
      <c r="D95">
        <v>1</v>
      </c>
      <c r="E95">
        <v>0</v>
      </c>
      <c r="F95">
        <v>0</v>
      </c>
      <c r="G95" t="s">
        <v>47</v>
      </c>
    </row>
    <row r="97" spans="1:2" x14ac:dyDescent="0.55000000000000004">
      <c r="A97" t="s">
        <v>48</v>
      </c>
    </row>
    <row r="98" spans="1:2" x14ac:dyDescent="0.55000000000000004">
      <c r="A98" t="s">
        <v>52</v>
      </c>
    </row>
    <row r="99" spans="1:2" x14ac:dyDescent="0.55000000000000004">
      <c r="A99" t="s">
        <v>50</v>
      </c>
    </row>
    <row r="100" spans="1:2" x14ac:dyDescent="0.55000000000000004">
      <c r="A100" t="s">
        <v>51</v>
      </c>
    </row>
    <row r="101" spans="1:2" x14ac:dyDescent="0.55000000000000004">
      <c r="A101" t="s">
        <v>53</v>
      </c>
    </row>
    <row r="102" spans="1:2" x14ac:dyDescent="0.55000000000000004">
      <c r="A102" t="s">
        <v>49</v>
      </c>
    </row>
    <row r="103" spans="1:2" x14ac:dyDescent="0.55000000000000004">
      <c r="A103" t="s">
        <v>45</v>
      </c>
      <c r="B103" s="2">
        <f>(100*E92*F94-100*F92*E94)/(E93*F94-F93*E94)</f>
        <v>63.805355374443863</v>
      </c>
    </row>
    <row r="104" spans="1:2" x14ac:dyDescent="0.55000000000000004">
      <c r="A104" t="s">
        <v>46</v>
      </c>
      <c r="B104" s="2">
        <f>(100*E92*F93-100*F92*E93)/(E94*F93-F94*E93)</f>
        <v>33.982275006621947</v>
      </c>
    </row>
    <row r="105" spans="1:2" x14ac:dyDescent="0.55000000000000004">
      <c r="A105" t="s">
        <v>54</v>
      </c>
    </row>
    <row r="106" spans="1:2" x14ac:dyDescent="0.55000000000000004">
      <c r="A106" t="s">
        <v>55</v>
      </c>
    </row>
    <row r="107" spans="1:2" x14ac:dyDescent="0.55000000000000004">
      <c r="A107" t="s">
        <v>49</v>
      </c>
    </row>
    <row r="108" spans="1:2" x14ac:dyDescent="0.55000000000000004">
      <c r="A108" t="s">
        <v>47</v>
      </c>
      <c r="B108" s="2">
        <f>100*D92+B104*D94+B103*D93</f>
        <v>40.791478130277888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F42"/>
  <sheetViews>
    <sheetView topLeftCell="K1" workbookViewId="0">
      <selection activeCell="T42" sqref="T42"/>
    </sheetView>
  </sheetViews>
  <sheetFormatPr defaultRowHeight="14.4" x14ac:dyDescent="0.55000000000000004"/>
  <cols>
    <col min="14" max="19" width="8.89453125" style="5"/>
    <col min="20" max="20" width="25.68359375" customWidth="1"/>
  </cols>
  <sheetData>
    <row r="4" spans="1:32" ht="14.7" thickBot="1" x14ac:dyDescent="0.6"/>
    <row r="5" spans="1:32" x14ac:dyDescent="0.55000000000000004">
      <c r="A5" s="6"/>
      <c r="B5" s="7" t="s">
        <v>0</v>
      </c>
      <c r="C5" s="7">
        <f>2/100</f>
        <v>0.02</v>
      </c>
      <c r="D5" s="7"/>
      <c r="E5" s="7"/>
      <c r="F5" s="8"/>
      <c r="H5" s="6" t="s">
        <v>0</v>
      </c>
      <c r="I5" s="7">
        <f>2/100</f>
        <v>0.02</v>
      </c>
      <c r="J5" s="7"/>
      <c r="K5" s="7"/>
      <c r="L5" s="8"/>
      <c r="N5" s="4" t="s">
        <v>60</v>
      </c>
      <c r="U5" s="6"/>
      <c r="V5" s="7" t="s">
        <v>0</v>
      </c>
      <c r="W5" s="7">
        <f>2/100</f>
        <v>0.02</v>
      </c>
      <c r="X5" s="7"/>
      <c r="Y5" s="7"/>
      <c r="Z5" s="8"/>
      <c r="AB5" s="6" t="s">
        <v>0</v>
      </c>
      <c r="AC5" s="7">
        <f>2/100</f>
        <v>0.02</v>
      </c>
      <c r="AD5" s="7"/>
      <c r="AE5" s="7"/>
      <c r="AF5" s="8"/>
    </row>
    <row r="6" spans="1:32" x14ac:dyDescent="0.55000000000000004">
      <c r="A6" s="9"/>
      <c r="B6" s="10" t="s">
        <v>1</v>
      </c>
      <c r="C6" s="10">
        <v>100</v>
      </c>
      <c r="D6" s="10"/>
      <c r="E6" s="10"/>
      <c r="F6" s="11"/>
      <c r="H6" s="9" t="s">
        <v>1</v>
      </c>
      <c r="I6" s="10">
        <v>100</v>
      </c>
      <c r="J6" s="10"/>
      <c r="K6" s="10"/>
      <c r="L6" s="11"/>
      <c r="N6" s="5" t="s">
        <v>61</v>
      </c>
      <c r="U6" s="9"/>
      <c r="V6" s="10" t="s">
        <v>1</v>
      </c>
      <c r="W6" s="10">
        <v>102</v>
      </c>
      <c r="X6" s="10"/>
      <c r="Y6" s="10"/>
      <c r="Z6" s="11"/>
      <c r="AB6" s="9" t="s">
        <v>1</v>
      </c>
      <c r="AC6" s="10">
        <v>102</v>
      </c>
      <c r="AD6" s="10"/>
      <c r="AE6" s="10"/>
      <c r="AF6" s="11"/>
    </row>
    <row r="7" spans="1:32" x14ac:dyDescent="0.55000000000000004">
      <c r="A7" s="9"/>
      <c r="B7" s="10" t="s">
        <v>2</v>
      </c>
      <c r="C7" s="10">
        <v>0</v>
      </c>
      <c r="D7" s="10"/>
      <c r="E7" s="10"/>
      <c r="F7" s="11"/>
      <c r="H7" s="9" t="s">
        <v>2</v>
      </c>
      <c r="I7" s="10">
        <v>0</v>
      </c>
      <c r="J7" s="10"/>
      <c r="K7" s="10"/>
      <c r="L7" s="11"/>
      <c r="N7" s="5" t="s">
        <v>62</v>
      </c>
      <c r="U7" s="9"/>
      <c r="V7" s="10" t="s">
        <v>2</v>
      </c>
      <c r="W7" s="10">
        <v>0</v>
      </c>
      <c r="X7" s="10"/>
      <c r="Y7" s="10"/>
      <c r="Z7" s="11"/>
      <c r="AB7" s="9" t="s">
        <v>2</v>
      </c>
      <c r="AC7" s="10">
        <v>0</v>
      </c>
      <c r="AD7" s="10"/>
      <c r="AE7" s="10"/>
      <c r="AF7" s="11"/>
    </row>
    <row r="8" spans="1:32" x14ac:dyDescent="0.55000000000000004">
      <c r="A8" s="9"/>
      <c r="B8" s="10" t="s">
        <v>3</v>
      </c>
      <c r="C8" s="10">
        <v>0.3</v>
      </c>
      <c r="D8" s="10"/>
      <c r="E8" s="10"/>
      <c r="F8" s="11"/>
      <c r="H8" s="9" t="s">
        <v>3</v>
      </c>
      <c r="I8" s="10">
        <v>0.3</v>
      </c>
      <c r="J8" s="10"/>
      <c r="K8" s="10"/>
      <c r="L8" s="11"/>
      <c r="N8" s="5" t="s">
        <v>63</v>
      </c>
      <c r="U8" s="9"/>
      <c r="V8" s="10" t="s">
        <v>3</v>
      </c>
      <c r="W8" s="10">
        <v>0.3</v>
      </c>
      <c r="X8" s="10"/>
      <c r="Y8" s="10"/>
      <c r="Z8" s="11"/>
      <c r="AB8" s="9" t="s">
        <v>3</v>
      </c>
      <c r="AC8" s="10">
        <v>0.3</v>
      </c>
      <c r="AD8" s="10"/>
      <c r="AE8" s="10"/>
      <c r="AF8" s="11"/>
    </row>
    <row r="9" spans="1:32" x14ac:dyDescent="0.55000000000000004">
      <c r="A9" s="9"/>
      <c r="B9" s="10"/>
      <c r="C9" s="10"/>
      <c r="D9" s="10"/>
      <c r="E9" s="10"/>
      <c r="F9" s="11"/>
      <c r="H9" s="9"/>
      <c r="I9" s="10"/>
      <c r="J9" s="10"/>
      <c r="K9" s="10"/>
      <c r="L9" s="11"/>
      <c r="N9" s="5" t="s">
        <v>64</v>
      </c>
      <c r="U9" s="9"/>
      <c r="V9" s="10"/>
      <c r="W9" s="10"/>
      <c r="X9" s="10"/>
      <c r="Y9" s="10"/>
      <c r="Z9" s="11"/>
      <c r="AB9" s="9"/>
      <c r="AC9" s="10"/>
      <c r="AD9" s="10"/>
      <c r="AE9" s="10"/>
      <c r="AF9" s="11"/>
    </row>
    <row r="10" spans="1:32" x14ac:dyDescent="0.55000000000000004">
      <c r="A10" s="9"/>
      <c r="B10" s="10"/>
      <c r="C10" s="10"/>
      <c r="D10" s="10"/>
      <c r="E10" s="10"/>
      <c r="F10" s="11"/>
      <c r="H10" s="9"/>
      <c r="I10" s="10"/>
      <c r="J10" s="10"/>
      <c r="K10" s="10"/>
      <c r="L10" s="11"/>
      <c r="N10" s="5" t="s">
        <v>65</v>
      </c>
      <c r="U10" s="9"/>
      <c r="V10" s="10"/>
      <c r="W10" s="10"/>
      <c r="X10" s="10"/>
      <c r="Y10" s="10"/>
      <c r="Z10" s="11"/>
      <c r="AB10" s="9"/>
      <c r="AC10" s="10"/>
      <c r="AD10" s="10"/>
      <c r="AE10" s="10"/>
      <c r="AF10" s="11"/>
    </row>
    <row r="11" spans="1:32" x14ac:dyDescent="0.55000000000000004">
      <c r="A11" s="9" t="s">
        <v>56</v>
      </c>
      <c r="B11" s="10"/>
      <c r="C11" s="10"/>
      <c r="D11" s="10"/>
      <c r="E11" s="10"/>
      <c r="F11" s="11"/>
      <c r="H11" s="9" t="s">
        <v>58</v>
      </c>
      <c r="I11" s="10"/>
      <c r="J11" s="10"/>
      <c r="K11" s="10"/>
      <c r="L11" s="11"/>
      <c r="N11" s="5" t="s">
        <v>66</v>
      </c>
      <c r="U11" s="9" t="s">
        <v>56</v>
      </c>
      <c r="V11" s="10"/>
      <c r="W11" s="10"/>
      <c r="X11" s="10"/>
      <c r="Y11" s="10"/>
      <c r="Z11" s="11"/>
      <c r="AB11" s="9" t="s">
        <v>58</v>
      </c>
      <c r="AC11" s="10"/>
      <c r="AD11" s="10"/>
      <c r="AE11" s="10"/>
      <c r="AF11" s="11"/>
    </row>
    <row r="12" spans="1:32" x14ac:dyDescent="0.55000000000000004">
      <c r="A12" s="9"/>
      <c r="B12" s="10" t="s">
        <v>5</v>
      </c>
      <c r="C12" s="10">
        <v>100</v>
      </c>
      <c r="D12" s="10"/>
      <c r="E12" s="10"/>
      <c r="F12" s="11"/>
      <c r="H12" s="9" t="s">
        <v>5</v>
      </c>
      <c r="I12" s="10">
        <v>115</v>
      </c>
      <c r="J12" s="10"/>
      <c r="K12" s="10"/>
      <c r="L12" s="11"/>
      <c r="N12" s="5" t="s">
        <v>49</v>
      </c>
      <c r="U12" s="9"/>
      <c r="V12" s="10" t="s">
        <v>5</v>
      </c>
      <c r="W12" s="10">
        <v>100</v>
      </c>
      <c r="X12" s="10"/>
      <c r="Y12" s="10"/>
      <c r="Z12" s="11"/>
      <c r="AB12" s="9" t="s">
        <v>5</v>
      </c>
      <c r="AC12" s="10">
        <v>115</v>
      </c>
      <c r="AD12" s="10"/>
      <c r="AE12" s="10"/>
      <c r="AF12" s="11"/>
    </row>
    <row r="13" spans="1:32" x14ac:dyDescent="0.55000000000000004">
      <c r="A13" s="9"/>
      <c r="B13" s="10" t="s">
        <v>6</v>
      </c>
      <c r="C13" s="10">
        <f>2/12</f>
        <v>0.16666666666666666</v>
      </c>
      <c r="D13" s="10"/>
      <c r="E13" s="10"/>
      <c r="F13" s="11"/>
      <c r="H13" s="9" t="s">
        <v>6</v>
      </c>
      <c r="I13" s="10">
        <f>6/12</f>
        <v>0.5</v>
      </c>
      <c r="J13" s="10"/>
      <c r="K13" s="10"/>
      <c r="L13" s="11"/>
      <c r="N13" s="5" t="s">
        <v>13</v>
      </c>
      <c r="O13" s="5">
        <f>-100*C23-100*C38+100*I23+100*I38</f>
        <v>1489.9552924255956</v>
      </c>
      <c r="U13" s="9"/>
      <c r="V13" s="10" t="s">
        <v>6</v>
      </c>
      <c r="W13" s="10">
        <f>2/12-1/252</f>
        <v>0.16269841269841268</v>
      </c>
      <c r="X13" s="10"/>
      <c r="Y13" s="10"/>
      <c r="Z13" s="11"/>
      <c r="AB13" s="9" t="s">
        <v>6</v>
      </c>
      <c r="AC13" s="10">
        <f>6/12-1/252</f>
        <v>0.49603174603174605</v>
      </c>
      <c r="AD13" s="10"/>
      <c r="AE13" s="10"/>
      <c r="AF13" s="11"/>
    </row>
    <row r="14" spans="1:32" x14ac:dyDescent="0.55000000000000004">
      <c r="A14" s="9"/>
      <c r="B14" s="10"/>
      <c r="C14" s="10"/>
      <c r="D14" s="10"/>
      <c r="E14" s="10"/>
      <c r="F14" s="11"/>
      <c r="H14" s="9"/>
      <c r="I14" s="10"/>
      <c r="J14" s="10"/>
      <c r="K14" s="10"/>
      <c r="L14" s="11"/>
      <c r="N14" s="5" t="s">
        <v>10</v>
      </c>
      <c r="O14" s="5">
        <f>-100*C20-100*C35+100*I20+100*I35+40</f>
        <v>37.818688823660196</v>
      </c>
      <c r="U14" s="9"/>
      <c r="V14" s="10"/>
      <c r="W14" s="10"/>
      <c r="X14" s="10"/>
      <c r="Y14" s="10"/>
      <c r="Z14" s="11"/>
      <c r="AB14" s="9"/>
      <c r="AC14" s="10"/>
      <c r="AD14" s="10"/>
      <c r="AE14" s="10"/>
      <c r="AF14" s="11"/>
    </row>
    <row r="15" spans="1:32" x14ac:dyDescent="0.55000000000000004">
      <c r="A15" s="9"/>
      <c r="B15" s="10" t="s">
        <v>7</v>
      </c>
      <c r="C15" s="10">
        <f>(LN(C6/C12)+(C5-C7+0.5*C8*C8)*C13)/(C8*SQRT(C13))</f>
        <v>8.8453796267170329E-2</v>
      </c>
      <c r="D15" s="10"/>
      <c r="E15" s="10"/>
      <c r="F15" s="11"/>
      <c r="H15" s="9" t="s">
        <v>7</v>
      </c>
      <c r="I15" s="10">
        <f>(LN(I6/I12)+(I5-I7+0.5*I8*I8)*I13)/(I8*SQRT(I13))</f>
        <v>-0.50563764544476963</v>
      </c>
      <c r="J15" s="10"/>
      <c r="K15" s="10"/>
      <c r="L15" s="11"/>
      <c r="N15" s="5" t="s">
        <v>11</v>
      </c>
      <c r="O15" s="5">
        <f>-100*C21-100*C36+100*I21+100*I36</f>
        <v>-3.311685948769413</v>
      </c>
      <c r="U15" s="9"/>
      <c r="V15" s="10" t="s">
        <v>7</v>
      </c>
      <c r="W15" s="10">
        <f>(LN(W6/W12)+(W5-W7+0.5*W8*W8)*W13)/(W8*SQRT(W13))</f>
        <v>0.2510421293322776</v>
      </c>
      <c r="X15" s="10"/>
      <c r="Y15" s="10"/>
      <c r="Z15" s="11"/>
      <c r="AB15" s="9" t="s">
        <v>7</v>
      </c>
      <c r="AC15" s="10">
        <f>(LN(AC6/AC12)+(AC5-AC7+0.5*AC8*AC8)*AC13)/(AC8*SQRT(AC13))</f>
        <v>-0.41515380699393084</v>
      </c>
      <c r="AD15" s="10"/>
      <c r="AE15" s="10"/>
      <c r="AF15" s="11"/>
    </row>
    <row r="16" spans="1:32" x14ac:dyDescent="0.55000000000000004">
      <c r="A16" s="9"/>
      <c r="B16" s="10" t="s">
        <v>8</v>
      </c>
      <c r="C16" s="10">
        <f>C15-C8*SQRT(C13)</f>
        <v>-3.4020690871988571E-2</v>
      </c>
      <c r="D16" s="10"/>
      <c r="E16" s="10"/>
      <c r="F16" s="11"/>
      <c r="H16" s="9" t="s">
        <v>8</v>
      </c>
      <c r="I16" s="10">
        <f>I15-I8*SQRT(I13)</f>
        <v>-0.71776967980073392</v>
      </c>
      <c r="J16" s="10"/>
      <c r="K16" s="10"/>
      <c r="L16" s="11"/>
      <c r="U16" s="9"/>
      <c r="V16" s="10" t="s">
        <v>8</v>
      </c>
      <c r="W16" s="10">
        <f>W15-W8*SQRT(W13)</f>
        <v>0.13003445543158176</v>
      </c>
      <c r="X16" s="10"/>
      <c r="Y16" s="10"/>
      <c r="Z16" s="11"/>
      <c r="AB16" s="9" t="s">
        <v>8</v>
      </c>
      <c r="AC16" s="10">
        <f>AC15-AC8*SQRT(AC13)</f>
        <v>-0.62644237067606001</v>
      </c>
      <c r="AD16" s="10"/>
      <c r="AE16" s="10"/>
      <c r="AF16" s="11"/>
    </row>
    <row r="17" spans="1:32" x14ac:dyDescent="0.55000000000000004">
      <c r="A17" s="9"/>
      <c r="B17" s="10"/>
      <c r="C17" s="10"/>
      <c r="D17" s="10"/>
      <c r="E17" s="10"/>
      <c r="F17" s="11"/>
      <c r="H17" s="9"/>
      <c r="I17" s="10"/>
      <c r="J17" s="10"/>
      <c r="K17" s="10"/>
      <c r="L17" s="11"/>
      <c r="N17" s="4" t="s">
        <v>72</v>
      </c>
      <c r="U17" s="9"/>
      <c r="V17" s="10"/>
      <c r="W17" s="10"/>
      <c r="X17" s="10"/>
      <c r="Y17" s="10"/>
      <c r="Z17" s="11"/>
      <c r="AB17" s="9"/>
      <c r="AC17" s="10"/>
      <c r="AD17" s="10"/>
      <c r="AE17" s="10"/>
      <c r="AF17" s="11"/>
    </row>
    <row r="18" spans="1:32" x14ac:dyDescent="0.55000000000000004">
      <c r="A18" s="9"/>
      <c r="B18" s="10" t="s">
        <v>9</v>
      </c>
      <c r="C18" s="10">
        <f>C6*EXP(-C7*C13)*_xlfn.NORM.S.DIST(C15, TRUE)-C12*EXP(-C5*C13)*_xlfn.NORM.S.DIST(C16,TRUE)</f>
        <v>5.0430406581311829</v>
      </c>
      <c r="D18" s="10"/>
      <c r="E18" s="10"/>
      <c r="F18" s="11"/>
      <c r="H18" s="9" t="s">
        <v>9</v>
      </c>
      <c r="I18" s="10">
        <f>I6*EXP(-I7*I13)*_xlfn.NORM.S.DIST(I15, TRUE)-I12*EXP(-I5*I13)*_xlfn.NORM.S.DIST(I16,TRUE)</f>
        <v>3.7344040896263486</v>
      </c>
      <c r="J18" s="10"/>
      <c r="K18" s="10"/>
      <c r="L18" s="11"/>
      <c r="N18" s="5" t="s">
        <v>73</v>
      </c>
      <c r="U18" s="9"/>
      <c r="V18" s="10" t="s">
        <v>9</v>
      </c>
      <c r="W18" s="10">
        <f>W6*EXP(-W7*W13)*_xlfn.NORM.S.DIST(W15, TRUE)-W12*EXP(-W5*W13)*_xlfn.NORM.S.DIST(W16,TRUE)</f>
        <v>6.1153394724992225</v>
      </c>
      <c r="X18" s="10"/>
      <c r="Y18" s="10"/>
      <c r="Z18" s="11"/>
      <c r="AB18" s="9" t="s">
        <v>9</v>
      </c>
      <c r="AC18" s="10">
        <f>AC6*EXP(-AC7*AC13)*_xlfn.NORM.S.DIST(AC15, TRUE)-AC12*EXP(-AC5*AC13)*_xlfn.NORM.S.DIST(AC16,TRUE)</f>
        <v>4.3469857919465547</v>
      </c>
      <c r="AD18" s="10"/>
      <c r="AE18" s="10"/>
      <c r="AF18" s="11"/>
    </row>
    <row r="19" spans="1:32" x14ac:dyDescent="0.55000000000000004">
      <c r="A19" s="9"/>
      <c r="B19" s="10"/>
      <c r="C19" s="10"/>
      <c r="D19" s="10"/>
      <c r="E19" s="10"/>
      <c r="F19" s="11"/>
      <c r="H19" s="9"/>
      <c r="I19" s="10"/>
      <c r="J19" s="10"/>
      <c r="K19" s="10"/>
      <c r="L19" s="11"/>
      <c r="N19" s="5" t="s">
        <v>74</v>
      </c>
      <c r="U19" s="9"/>
      <c r="V19" s="10"/>
      <c r="W19" s="10"/>
      <c r="X19" s="10"/>
      <c r="Y19" s="10"/>
      <c r="Z19" s="11"/>
      <c r="AB19" s="9"/>
      <c r="AC19" s="10"/>
      <c r="AD19" s="10"/>
      <c r="AE19" s="10"/>
      <c r="AF19" s="11"/>
    </row>
    <row r="20" spans="1:32" x14ac:dyDescent="0.55000000000000004">
      <c r="A20" s="9"/>
      <c r="B20" s="10" t="s">
        <v>10</v>
      </c>
      <c r="C20" s="10">
        <f>EXP(-C7*C13)*_xlfn.NORM.S.DIST(C15, TRUE)</f>
        <v>0.53524199721309529</v>
      </c>
      <c r="D20" s="10"/>
      <c r="E20" s="10"/>
      <c r="F20" s="11"/>
      <c r="H20" s="9" t="s">
        <v>10</v>
      </c>
      <c r="I20" s="10">
        <f>EXP(-I7*I13)*_xlfn.NORM.S.DIST(I15, TRUE)</f>
        <v>0.30655552453247559</v>
      </c>
      <c r="J20" s="10"/>
      <c r="K20" s="10"/>
      <c r="L20" s="11"/>
      <c r="N20" s="5" t="s">
        <v>75</v>
      </c>
      <c r="U20" s="9"/>
      <c r="V20" s="10" t="s">
        <v>10</v>
      </c>
      <c r="W20" s="10">
        <f>EXP(-W7*W13)*_xlfn.NORM.S.DIST(W15, TRUE)</f>
        <v>0.5991092313091172</v>
      </c>
      <c r="X20" s="10"/>
      <c r="Y20" s="10"/>
      <c r="Z20" s="11"/>
      <c r="AB20" s="9" t="s">
        <v>10</v>
      </c>
      <c r="AC20" s="10">
        <f>EXP(-AC7*AC13)*_xlfn.NORM.S.DIST(AC15, TRUE)</f>
        <v>0.33901465600692604</v>
      </c>
      <c r="AD20" s="10"/>
      <c r="AE20" s="10"/>
      <c r="AF20" s="11"/>
    </row>
    <row r="21" spans="1:32" x14ac:dyDescent="0.55000000000000004">
      <c r="A21" s="9"/>
      <c r="B21" s="10" t="s">
        <v>11</v>
      </c>
      <c r="C21" s="10">
        <f>1/(C6*C8*SQRT(C13))*EXP(-C7*C13)*1/SQRT(2*PI())*EXP(-C15*C15/2)</f>
        <v>3.2446320980264662E-2</v>
      </c>
      <c r="D21" s="10"/>
      <c r="E21" s="10"/>
      <c r="F21" s="11"/>
      <c r="H21" s="9" t="s">
        <v>11</v>
      </c>
      <c r="I21" s="10">
        <f>1/(I6*I8*SQRT(I13))*EXP(-I7*I13)*1/SQRT(2*PI())*EXP(-I15*I15/2)</f>
        <v>1.6549538895731221E-2</v>
      </c>
      <c r="J21" s="10"/>
      <c r="K21" s="10"/>
      <c r="L21" s="11"/>
      <c r="N21" s="15" t="s">
        <v>76</v>
      </c>
      <c r="U21" s="9"/>
      <c r="V21" s="10" t="s">
        <v>11</v>
      </c>
      <c r="W21" s="10">
        <f>1/(W6*W8*SQRT(W13))*EXP(-W7*W13)*1/SQRT(2*PI())*EXP(-W15*W15/2)</f>
        <v>3.1319289067566453E-2</v>
      </c>
      <c r="X21" s="10"/>
      <c r="Y21" s="10"/>
      <c r="Z21" s="11"/>
      <c r="AB21" s="9" t="s">
        <v>11</v>
      </c>
      <c r="AC21" s="10">
        <f>1/(AC6*AC8*SQRT(AC13))*EXP(-AC7*AC13)*1/SQRT(2*PI())*EXP(-AC15*AC15/2)</f>
        <v>1.6982749102998101E-2</v>
      </c>
      <c r="AD21" s="10"/>
      <c r="AE21" s="10"/>
      <c r="AF21" s="11"/>
    </row>
    <row r="22" spans="1:32" x14ac:dyDescent="0.55000000000000004">
      <c r="A22" s="9"/>
      <c r="B22" s="10" t="s">
        <v>12</v>
      </c>
      <c r="C22" s="10">
        <f>C6*SQRT(C13)*EXP(-C7*C13)*1/SQRT(2*PI())*EXP(-C15*C15/2)</f>
        <v>16.223160490132329</v>
      </c>
      <c r="D22" s="10"/>
      <c r="E22" s="10"/>
      <c r="F22" s="11"/>
      <c r="H22" s="9" t="s">
        <v>12</v>
      </c>
      <c r="I22" s="10">
        <f>I6*SQRT(I13)*EXP(-I7*I13)*1/SQRT(2*PI())*EXP(-I15*I15/2)</f>
        <v>24.824308343596833</v>
      </c>
      <c r="J22" s="10"/>
      <c r="K22" s="10"/>
      <c r="L22" s="11"/>
      <c r="U22" s="9"/>
      <c r="V22" s="10" t="s">
        <v>12</v>
      </c>
      <c r="W22" s="10">
        <f>W6*SQRT(W13)*EXP(-W7*W13)*1/SQRT(2*PI())*EXP(-W15*W15/2)</f>
        <v>15.904382406925492</v>
      </c>
      <c r="X22" s="10"/>
      <c r="Y22" s="10"/>
      <c r="Z22" s="11"/>
      <c r="AB22" s="9" t="s">
        <v>12</v>
      </c>
      <c r="AC22" s="10">
        <f>AC6*SQRT(AC13)*EXP(-AC7*AC13)*1/SQRT(2*PI())*EXP(-AC15*AC15/2)</f>
        <v>26.292934771963132</v>
      </c>
      <c r="AD22" s="10"/>
      <c r="AE22" s="10"/>
      <c r="AF22" s="11"/>
    </row>
    <row r="23" spans="1:32" x14ac:dyDescent="0.55000000000000004">
      <c r="A23" s="9"/>
      <c r="B23" s="10" t="s">
        <v>13</v>
      </c>
      <c r="C23" s="10">
        <f>C5*C18-(C5-C7)*C6*C20-0.5*C8*C8*C6*C6*C21</f>
        <v>-15.570467622382663</v>
      </c>
      <c r="D23" s="10"/>
      <c r="E23" s="10"/>
      <c r="F23" s="11"/>
      <c r="H23" s="9" t="s">
        <v>13</v>
      </c>
      <c r="I23" s="10">
        <f>I5*I18-(I5-I7)*I6*I20-0.5*I8*I8*I6*I6*I21</f>
        <v>-7.9857154703514741</v>
      </c>
      <c r="J23" s="10"/>
      <c r="K23" s="10"/>
      <c r="L23" s="11"/>
      <c r="N23" s="4" t="s">
        <v>29</v>
      </c>
      <c r="U23" s="9"/>
      <c r="V23" s="10" t="s">
        <v>13</v>
      </c>
      <c r="W23" s="10">
        <f>W5*W18-(W5-W7)*W6*W20-0.5*W8*W8*W6*W6*W21</f>
        <v>-15.762940798073876</v>
      </c>
      <c r="X23" s="10"/>
      <c r="Y23" s="10"/>
      <c r="Z23" s="11"/>
      <c r="AB23" s="9" t="s">
        <v>13</v>
      </c>
      <c r="AC23" s="10">
        <f>AC5*AC18-(AC5-AC7)*AC6*AC20-0.5*AC8*AC8*AC6*AC6*AC21</f>
        <v>-8.5556336574568483</v>
      </c>
      <c r="AD23" s="10"/>
      <c r="AE23" s="10"/>
      <c r="AF23" s="11"/>
    </row>
    <row r="24" spans="1:32" x14ac:dyDescent="0.55000000000000004">
      <c r="A24" s="9"/>
      <c r="B24" s="10" t="s">
        <v>14</v>
      </c>
      <c r="C24" s="10">
        <f>C13*C12*EXP(-C5*C13)*_xlfn.NORM.S.DIST(C16,TRUE)</f>
        <v>8.0801931771963904</v>
      </c>
      <c r="D24" s="10"/>
      <c r="E24" s="10"/>
      <c r="F24" s="11"/>
      <c r="H24" s="9" t="s">
        <v>14</v>
      </c>
      <c r="I24" s="10">
        <f>I13*I12*EXP(-I5*I13)*_xlfn.NORM.S.DIST(I16,TRUE)</f>
        <v>13.460574181810605</v>
      </c>
      <c r="J24" s="10"/>
      <c r="K24" s="10"/>
      <c r="L24" s="11"/>
      <c r="N24" s="5" t="s">
        <v>77</v>
      </c>
      <c r="U24" s="9"/>
      <c r="V24" s="10" t="s">
        <v>14</v>
      </c>
      <c r="W24" s="10">
        <f>W13*W12*EXP(-W5*W13)*_xlfn.NORM.S.DIST(W16,TRUE)</f>
        <v>8.9474043133423002</v>
      </c>
      <c r="X24" s="10"/>
      <c r="Y24" s="10"/>
      <c r="Z24" s="11"/>
      <c r="AB24" s="9" t="s">
        <v>14</v>
      </c>
      <c r="AC24" s="10">
        <f>AC13*AC12*EXP(-AC5*AC13)*_xlfn.NORM.S.DIST(AC16,TRUE)</f>
        <v>14.996284286091225</v>
      </c>
      <c r="AD24" s="10"/>
      <c r="AE24" s="10"/>
      <c r="AF24" s="11"/>
    </row>
    <row r="25" spans="1:32" x14ac:dyDescent="0.55000000000000004">
      <c r="A25" s="9"/>
      <c r="B25" s="10"/>
      <c r="C25" s="10"/>
      <c r="D25" s="10"/>
      <c r="E25" s="10"/>
      <c r="F25" s="11"/>
      <c r="H25" s="9"/>
      <c r="I25" s="10"/>
      <c r="J25" s="10"/>
      <c r="K25" s="10"/>
      <c r="L25" s="11"/>
      <c r="N25" s="5" t="s">
        <v>78</v>
      </c>
      <c r="U25" s="9"/>
      <c r="V25" s="10"/>
      <c r="W25" s="10"/>
      <c r="X25" s="10"/>
      <c r="Y25" s="10"/>
      <c r="Z25" s="11"/>
      <c r="AB25" s="9"/>
      <c r="AC25" s="10"/>
      <c r="AD25" s="10"/>
      <c r="AE25" s="10"/>
      <c r="AF25" s="11"/>
    </row>
    <row r="26" spans="1:32" x14ac:dyDescent="0.55000000000000004">
      <c r="A26" s="9" t="s">
        <v>57</v>
      </c>
      <c r="B26" s="10"/>
      <c r="C26" s="10"/>
      <c r="D26" s="10"/>
      <c r="E26" s="10"/>
      <c r="F26" s="11"/>
      <c r="H26" s="9" t="s">
        <v>59</v>
      </c>
      <c r="I26" s="10"/>
      <c r="J26" s="10"/>
      <c r="K26" s="10"/>
      <c r="L26" s="11"/>
      <c r="N26" s="5" t="s">
        <v>49</v>
      </c>
      <c r="U26" s="9" t="s">
        <v>57</v>
      </c>
      <c r="V26" s="10"/>
      <c r="W26" s="10"/>
      <c r="X26" s="10"/>
      <c r="Y26" s="10"/>
      <c r="Z26" s="11"/>
      <c r="AB26" s="9" t="s">
        <v>59</v>
      </c>
      <c r="AC26" s="10"/>
      <c r="AD26" s="10"/>
      <c r="AE26" s="10"/>
      <c r="AF26" s="11"/>
    </row>
    <row r="27" spans="1:32" x14ac:dyDescent="0.55000000000000004">
      <c r="A27" s="9"/>
      <c r="B27" s="10" t="s">
        <v>5</v>
      </c>
      <c r="C27" s="10">
        <v>100</v>
      </c>
      <c r="D27" s="10"/>
      <c r="E27" s="10"/>
      <c r="F27" s="11"/>
      <c r="H27" s="9" t="s">
        <v>5</v>
      </c>
      <c r="I27" s="10">
        <v>90</v>
      </c>
      <c r="J27" s="10"/>
      <c r="K27" s="10"/>
      <c r="L27" s="11"/>
      <c r="N27" s="5" t="s">
        <v>79</v>
      </c>
      <c r="O27" s="5">
        <f>O13*1/252+O14*2+1/2*O15*2*2</f>
        <v>74.926526751470433</v>
      </c>
      <c r="U27" s="9"/>
      <c r="V27" s="10" t="s">
        <v>5</v>
      </c>
      <c r="W27" s="10">
        <v>100</v>
      </c>
      <c r="X27" s="10"/>
      <c r="Y27" s="10"/>
      <c r="Z27" s="11"/>
      <c r="AB27" s="9" t="s">
        <v>5</v>
      </c>
      <c r="AC27" s="10">
        <v>90</v>
      </c>
      <c r="AD27" s="10"/>
      <c r="AE27" s="10"/>
      <c r="AF27" s="11"/>
    </row>
    <row r="28" spans="1:32" x14ac:dyDescent="0.55000000000000004">
      <c r="A28" s="9"/>
      <c r="B28" s="10" t="s">
        <v>6</v>
      </c>
      <c r="C28" s="10">
        <f>2/12</f>
        <v>0.16666666666666666</v>
      </c>
      <c r="D28" s="10"/>
      <c r="E28" s="10"/>
      <c r="F28" s="11"/>
      <c r="H28" s="9" t="s">
        <v>6</v>
      </c>
      <c r="I28" s="10">
        <f>6/12</f>
        <v>0.5</v>
      </c>
      <c r="J28" s="10"/>
      <c r="K28" s="10"/>
      <c r="L28" s="11"/>
      <c r="U28" s="9"/>
      <c r="V28" s="10" t="s">
        <v>6</v>
      </c>
      <c r="W28" s="10">
        <f>2/12-1/252</f>
        <v>0.16269841269841268</v>
      </c>
      <c r="X28" s="10"/>
      <c r="Y28" s="10"/>
      <c r="Z28" s="11"/>
      <c r="AB28" s="9" t="s">
        <v>6</v>
      </c>
      <c r="AC28" s="10">
        <f>6/12-1/252</f>
        <v>0.49603174603174605</v>
      </c>
      <c r="AD28" s="10"/>
      <c r="AE28" s="10"/>
      <c r="AF28" s="11"/>
    </row>
    <row r="29" spans="1:32" x14ac:dyDescent="0.55000000000000004">
      <c r="A29" s="9"/>
      <c r="B29" s="10"/>
      <c r="C29" s="10"/>
      <c r="D29" s="10"/>
      <c r="E29" s="10"/>
      <c r="F29" s="11"/>
      <c r="H29" s="9"/>
      <c r="I29" s="10"/>
      <c r="J29" s="10"/>
      <c r="K29" s="10"/>
      <c r="L29" s="11"/>
      <c r="N29" s="4" t="s">
        <v>32</v>
      </c>
      <c r="U29" s="9"/>
      <c r="V29" s="10"/>
      <c r="W29" s="10"/>
      <c r="X29" s="10"/>
      <c r="Y29" s="10"/>
      <c r="Z29" s="11"/>
      <c r="AB29" s="9"/>
      <c r="AC29" s="10"/>
      <c r="AD29" s="10"/>
      <c r="AE29" s="10"/>
      <c r="AF29" s="11"/>
    </row>
    <row r="30" spans="1:32" x14ac:dyDescent="0.55000000000000004">
      <c r="A30" s="9"/>
      <c r="B30" s="10" t="s">
        <v>7</v>
      </c>
      <c r="C30" s="10">
        <f>(LN(C6/C27)+(C5-C7+0.5*C8*C8)*C28)/(C8*SQRT(C28))</f>
        <v>8.8453796267170329E-2</v>
      </c>
      <c r="D30" s="10"/>
      <c r="E30" s="10"/>
      <c r="F30" s="11"/>
      <c r="H30" s="9" t="s">
        <v>7</v>
      </c>
      <c r="I30" s="10">
        <f>(LN(I6/I27)+(I5-I7+0.5*I8*I8)*I28)/(I8*SQRT(I28))</f>
        <v>0.64988070319682156</v>
      </c>
      <c r="J30" s="10"/>
      <c r="K30" s="10"/>
      <c r="L30" s="11"/>
      <c r="U30" s="9"/>
      <c r="V30" s="10" t="s">
        <v>7</v>
      </c>
      <c r="W30" s="10">
        <f>(LN(W6/W27)+(W5-W7+0.5*W8*W8)*W28)/(W8*SQRT(W28))</f>
        <v>0.2510421293322776</v>
      </c>
      <c r="X30" s="10"/>
      <c r="Y30" s="10"/>
      <c r="Z30" s="11"/>
      <c r="AB30" s="9" t="s">
        <v>7</v>
      </c>
      <c r="AC30" s="10">
        <f>(LN(AC6/AC27)+(AC5-AC7+0.5*AC8*AC8)*AC28)/(AC8*SQRT(AC28))</f>
        <v>0.74497740768817045</v>
      </c>
      <c r="AD30" s="10"/>
      <c r="AE30" s="10"/>
      <c r="AF30" s="11"/>
    </row>
    <row r="31" spans="1:32" x14ac:dyDescent="0.55000000000000004">
      <c r="A31" s="9"/>
      <c r="B31" s="10" t="s">
        <v>8</v>
      </c>
      <c r="C31" s="10">
        <f>C30-C8*SQRT(C28)</f>
        <v>-3.4020690871988571E-2</v>
      </c>
      <c r="D31" s="10"/>
      <c r="E31" s="10"/>
      <c r="F31" s="11"/>
      <c r="H31" s="9" t="s">
        <v>8</v>
      </c>
      <c r="I31" s="10">
        <f>I30-I8*SQRT(I28)</f>
        <v>0.43774866884085728</v>
      </c>
      <c r="J31" s="10"/>
      <c r="K31" s="10"/>
      <c r="L31" s="11"/>
      <c r="N31" s="5" t="s">
        <v>80</v>
      </c>
      <c r="U31" s="9"/>
      <c r="V31" s="10" t="s">
        <v>8</v>
      </c>
      <c r="W31" s="10">
        <f>W30-W8*SQRT(W28)</f>
        <v>0.13003445543158176</v>
      </c>
      <c r="X31" s="10"/>
      <c r="Y31" s="10"/>
      <c r="Z31" s="11"/>
      <c r="AB31" s="9" t="s">
        <v>8</v>
      </c>
      <c r="AC31" s="10">
        <f>AC30-AC8*SQRT(AC28)</f>
        <v>0.53368884400604133</v>
      </c>
      <c r="AD31" s="10"/>
      <c r="AE31" s="10"/>
      <c r="AF31" s="11"/>
    </row>
    <row r="32" spans="1:32" x14ac:dyDescent="0.55000000000000004">
      <c r="A32" s="9"/>
      <c r="B32" s="10"/>
      <c r="C32" s="10"/>
      <c r="D32" s="10"/>
      <c r="E32" s="10"/>
      <c r="F32" s="11"/>
      <c r="H32" s="9"/>
      <c r="I32" s="10"/>
      <c r="J32" s="10"/>
      <c r="K32" s="10"/>
      <c r="L32" s="11"/>
      <c r="N32" s="5">
        <f>-100*C18-100*C33+100*I18+100*I33+40*I6</f>
        <v>3766.699656334034</v>
      </c>
      <c r="U32" s="9"/>
      <c r="V32" s="10"/>
      <c r="W32" s="10"/>
      <c r="X32" s="10"/>
      <c r="Y32" s="10"/>
      <c r="Z32" s="11"/>
      <c r="AB32" s="9"/>
      <c r="AC32" s="10"/>
      <c r="AD32" s="10"/>
      <c r="AE32" s="10"/>
      <c r="AF32" s="11"/>
    </row>
    <row r="33" spans="1:32" x14ac:dyDescent="0.55000000000000004">
      <c r="A33" s="9"/>
      <c r="B33" s="10" t="s">
        <v>16</v>
      </c>
      <c r="C33" s="10">
        <f>C27*EXP(-C5*C28)*_xlfn.NORM.S.DIST(-C31,TRUE)-C6*EXP(-C7*C28)*_xlfn.NORM.S.DIST(-C30,TRUE)</f>
        <v>4.7102622635835161</v>
      </c>
      <c r="D33" s="10"/>
      <c r="E33" s="10" t="s">
        <v>9</v>
      </c>
      <c r="F33" s="11">
        <f>C6*EXP(-C7*C28)*_xlfn.NORM.S.DIST(C30, TRUE)-C27*EXP(-C5*C28)*_xlfn.NORM.S.DIST(C31,TRUE)</f>
        <v>5.0430406581311829</v>
      </c>
      <c r="H33" s="9" t="s">
        <v>16</v>
      </c>
      <c r="I33" s="10">
        <f>I27*EXP(-I5*I28)*_xlfn.NORM.S.DIST(-I31,TRUE)-I6*EXP(-I7*I28)*_xlfn.NORM.S.DIST(-I30,TRUE)</f>
        <v>3.685895395428691</v>
      </c>
      <c r="J33" s="10"/>
      <c r="K33" s="10" t="s">
        <v>9</v>
      </c>
      <c r="L33" s="11">
        <f>I6*EXP(-I7*I28)*_xlfn.NORM.S.DIST(I30, TRUE)-I27*EXP(-I5*I28)*_xlfn.NORM.S.DIST(I31,TRUE)</f>
        <v>14.581410358003552</v>
      </c>
      <c r="U33" s="9"/>
      <c r="V33" s="10" t="s">
        <v>16</v>
      </c>
      <c r="W33" s="10">
        <f>W27*EXP(-W5*W28)*_xlfn.NORM.S.DIST(-W31,TRUE)-W6*EXP(-W7*W28)*_xlfn.NORM.S.DIST(-W30,TRUE)</f>
        <v>3.7904714888054158</v>
      </c>
      <c r="X33" s="10"/>
      <c r="Y33" s="10" t="s">
        <v>9</v>
      </c>
      <c r="Z33" s="11">
        <f>W6*EXP(-W7*W28)*_xlfn.NORM.S.DIST(W30, TRUE)-W27*EXP(-W5*W28)*_xlfn.NORM.S.DIST(W31,TRUE)</f>
        <v>6.1153394724992225</v>
      </c>
      <c r="AB33" s="9" t="s">
        <v>16</v>
      </c>
      <c r="AC33" s="10">
        <f>AC27*EXP(-AC5*AC28)*_xlfn.NORM.S.DIST(-AC31,TRUE)-AC6*EXP(-AC7*AC28)*_xlfn.NORM.S.DIST(-AC30,TRUE)</f>
        <v>3.1758323588162796</v>
      </c>
      <c r="AD33" s="10"/>
      <c r="AE33" s="10" t="s">
        <v>9</v>
      </c>
      <c r="AF33" s="11">
        <f>AC6*EXP(-AC7*AC28)*_xlfn.NORM.S.DIST(AC30, TRUE)-AC27*EXP(-AC5*AC28)*_xlfn.NORM.S.DIST(AC31,TRUE)</f>
        <v>16.064275256230594</v>
      </c>
    </row>
    <row r="34" spans="1:32" x14ac:dyDescent="0.55000000000000004">
      <c r="A34" s="9"/>
      <c r="B34" s="10"/>
      <c r="C34" s="10"/>
      <c r="D34" s="10"/>
      <c r="E34" s="10"/>
      <c r="F34" s="11"/>
      <c r="H34" s="9"/>
      <c r="I34" s="10"/>
      <c r="J34" s="10"/>
      <c r="K34" s="10"/>
      <c r="L34" s="11"/>
      <c r="N34" s="5" t="s">
        <v>81</v>
      </c>
      <c r="U34" s="9"/>
      <c r="V34" s="10"/>
      <c r="W34" s="10"/>
      <c r="X34" s="10"/>
      <c r="Y34" s="10"/>
      <c r="Z34" s="11"/>
      <c r="AB34" s="9"/>
      <c r="AC34" s="10"/>
      <c r="AD34" s="10"/>
      <c r="AE34" s="10"/>
      <c r="AF34" s="11"/>
    </row>
    <row r="35" spans="1:32" x14ac:dyDescent="0.55000000000000004">
      <c r="A35" s="9"/>
      <c r="B35" s="10" t="s">
        <v>10</v>
      </c>
      <c r="C35" s="10">
        <f>-EXP(-C7*C28)*_xlfn.NORM.S.DIST(-C30,TRUE)</f>
        <v>-0.46475800278690471</v>
      </c>
      <c r="D35" s="10"/>
      <c r="E35" s="10"/>
      <c r="F35" s="11"/>
      <c r="H35" s="9" t="s">
        <v>10</v>
      </c>
      <c r="I35" s="10">
        <f>-EXP(-I7*I28)*_xlfn.NORM.S.DIST(-I30,TRUE)</f>
        <v>-0.25788464186968307</v>
      </c>
      <c r="J35" s="10"/>
      <c r="K35" s="10"/>
      <c r="L35" s="11"/>
      <c r="N35" s="5">
        <f>-100*W18-100*W33+100*AC18+100*AC33+40*W6</f>
        <v>3841.7007189458195</v>
      </c>
      <c r="U35" s="9"/>
      <c r="V35" s="10" t="s">
        <v>10</v>
      </c>
      <c r="W35" s="10">
        <f>-EXP(-W7*W28)*_xlfn.NORM.S.DIST(-W30,TRUE)</f>
        <v>-0.4008907686908828</v>
      </c>
      <c r="X35" s="10"/>
      <c r="Y35" s="10"/>
      <c r="Z35" s="11"/>
      <c r="AB35" s="9" t="s">
        <v>10</v>
      </c>
      <c r="AC35" s="10">
        <f>-EXP(-AC7*AC28)*_xlfn.NORM.S.DIST(-AC30,TRUE)</f>
        <v>-0.22814268886547961</v>
      </c>
      <c r="AD35" s="10"/>
      <c r="AE35" s="10"/>
      <c r="AF35" s="11"/>
    </row>
    <row r="36" spans="1:32" x14ac:dyDescent="0.55000000000000004">
      <c r="A36" s="9"/>
      <c r="B36" s="10" t="s">
        <v>11</v>
      </c>
      <c r="C36" s="10">
        <f>1/(C6*C8*SQRT(C28))*EXP(-C7*C28)*1/SQRT(2*PI())*EXP(-C30*C30/2)</f>
        <v>3.2446320980264662E-2</v>
      </c>
      <c r="D36" s="10"/>
      <c r="E36" s="10"/>
      <c r="F36" s="11"/>
      <c r="H36" s="9" t="s">
        <v>11</v>
      </c>
      <c r="I36" s="10">
        <f>1/(I6*I8*SQRT(I28))*EXP(-I7*I28)*1/SQRT(2*PI())*EXP(-I30*I30/2)</f>
        <v>1.5226243577103978E-2</v>
      </c>
      <c r="J36" s="10"/>
      <c r="K36" s="10"/>
      <c r="L36" s="11"/>
      <c r="U36" s="9"/>
      <c r="V36" s="10" t="s">
        <v>11</v>
      </c>
      <c r="W36" s="10">
        <f>1/(W6*W8*SQRT(W28))*EXP(-W7*W28)*1/SQRT(2*PI())*EXP(-W30*W30/2)</f>
        <v>3.1319289067566453E-2</v>
      </c>
      <c r="X36" s="10"/>
      <c r="Y36" s="10"/>
      <c r="Z36" s="11"/>
      <c r="AB36" s="9" t="s">
        <v>11</v>
      </c>
      <c r="AC36" s="10">
        <f>1/(AC6*AC8*SQRT(AC28))*EXP(-AC7*AC28)*1/SQRT(2*PI())*EXP(-AC30*AC30/2)</f>
        <v>1.4025523023488935E-2</v>
      </c>
      <c r="AD36" s="10"/>
      <c r="AE36" s="10"/>
      <c r="AF36" s="11"/>
    </row>
    <row r="37" spans="1:32" x14ac:dyDescent="0.55000000000000004">
      <c r="A37" s="9"/>
      <c r="B37" s="10" t="s">
        <v>12</v>
      </c>
      <c r="C37" s="10">
        <f>C6*SQRT(C28)*EXP(-C7*C28)*1/SQRT(2*PI())*EXP(-C30*C30/2)</f>
        <v>16.223160490132329</v>
      </c>
      <c r="D37" s="10"/>
      <c r="E37" s="10"/>
      <c r="F37" s="11"/>
      <c r="H37" s="9" t="s">
        <v>12</v>
      </c>
      <c r="I37" s="10">
        <f>I6*SQRT(I28)*EXP(-I7*I28)*1/SQRT(2*PI())*EXP(-I30*I30/2)</f>
        <v>22.839365365655972</v>
      </c>
      <c r="J37" s="10"/>
      <c r="K37" s="10"/>
      <c r="L37" s="11"/>
      <c r="N37" s="5" t="s">
        <v>82</v>
      </c>
      <c r="U37" s="9"/>
      <c r="V37" s="10" t="s">
        <v>12</v>
      </c>
      <c r="W37" s="10">
        <f>W6*SQRT(W28)*EXP(-W7*W28)*1/SQRT(2*PI())*EXP(-W30*W30/2)</f>
        <v>15.904382406925492</v>
      </c>
      <c r="X37" s="10"/>
      <c r="Y37" s="10"/>
      <c r="Z37" s="11"/>
      <c r="AB37" s="9" t="s">
        <v>12</v>
      </c>
      <c r="AC37" s="10">
        <f>AC6*SQRT(AC28)*EXP(-AC7*AC28)*1/SQRT(2*PI())*EXP(-AC30*AC30/2)</f>
        <v>21.714515109580191</v>
      </c>
      <c r="AD37" s="10"/>
      <c r="AE37" s="10"/>
      <c r="AF37" s="11"/>
    </row>
    <row r="38" spans="1:32" x14ac:dyDescent="0.55000000000000004">
      <c r="A38" s="9"/>
      <c r="B38" s="10" t="s">
        <v>13</v>
      </c>
      <c r="C38" s="10">
        <f>C5*F33-(C5-C7)*C6*C35-0.5*C8*C8*C6*C6*C36-C7*C6*EXP(-C7*C28)+C5*C27*EXP(-C5*C28)</f>
        <v>-11.577123190273618</v>
      </c>
      <c r="D38" s="10"/>
      <c r="E38" s="10"/>
      <c r="F38" s="11"/>
      <c r="H38" s="9" t="s">
        <v>13</v>
      </c>
      <c r="I38" s="10">
        <f>I5*L33-(I5-I7)*I6*I35-0.5*I8*I8*I6*I6*I36-I7*I6*EXP(-I7*I28)+I5*I27*EXP(-I5*I28)</f>
        <v>-4.2623224180488499</v>
      </c>
      <c r="J38" s="10"/>
      <c r="K38" s="10"/>
      <c r="L38" s="11"/>
      <c r="N38" s="5">
        <f>N35-N32</f>
        <v>75.001062611785528</v>
      </c>
      <c r="U38" s="9"/>
      <c r="V38" s="10" t="s">
        <v>13</v>
      </c>
      <c r="W38" s="10">
        <f>W5*Z33-(W5-W7)*W6*W35-0.5*W8*W8*W6*W6*W36-W7*W6*EXP(-W7*W28)+W5*W27*EXP(-W5*W28)</f>
        <v>-11.729438157747751</v>
      </c>
      <c r="X38" s="10"/>
      <c r="Y38" s="10"/>
      <c r="Z38" s="11"/>
      <c r="AB38" s="9" t="s">
        <v>13</v>
      </c>
      <c r="AC38" s="10">
        <f>AC5*AF33-(AC5-AC7)*AC6*AC35-0.5*AC8*AC8*AC6*AC6*AC36-AC7*AC6*EXP(-AC7*AC28)+AC5*AC27*EXP(-AC5*AC28)</f>
        <v>-3.9975416366751455</v>
      </c>
      <c r="AD38" s="10"/>
      <c r="AE38" s="10"/>
      <c r="AF38" s="11"/>
    </row>
    <row r="39" spans="1:32" ht="14.7" thickBot="1" x14ac:dyDescent="0.6">
      <c r="A39" s="12"/>
      <c r="B39" s="13" t="s">
        <v>14</v>
      </c>
      <c r="C39" s="13">
        <f>-C28*C27*EXP(-C5*C28)*_xlfn.NORM.S.DIST(-C31, TRUE)</f>
        <v>-8.5310104237123312</v>
      </c>
      <c r="D39" s="13"/>
      <c r="E39" s="13"/>
      <c r="F39" s="14"/>
      <c r="H39" s="12" t="s">
        <v>14</v>
      </c>
      <c r="I39" s="13">
        <f>-I28*I27*EXP(-I5*I28)*_xlfn.NORM.S.DIST(-I31, TRUE)</f>
        <v>-14.7371797911985</v>
      </c>
      <c r="J39" s="13"/>
      <c r="K39" s="13"/>
      <c r="L39" s="14"/>
      <c r="U39" s="12"/>
      <c r="V39" s="13" t="s">
        <v>14</v>
      </c>
      <c r="W39" s="13">
        <f>-W28*W27*EXP(-W5*W28)*_xlfn.NORM.S.DIST(-W31, TRUE)</f>
        <v>-7.2695814512154504</v>
      </c>
      <c r="X39" s="13"/>
      <c r="Y39" s="13"/>
      <c r="Z39" s="14"/>
      <c r="AB39" s="12" t="s">
        <v>14</v>
      </c>
      <c r="AC39" s="13">
        <f>-AC28*AC27*EXP(-AC5*AC28)*_xlfn.NORM.S.DIST(-AC31, TRUE)</f>
        <v>-13.118247332884525</v>
      </c>
      <c r="AD39" s="13"/>
      <c r="AE39" s="13"/>
      <c r="AF39" s="14"/>
    </row>
    <row r="40" spans="1:32" x14ac:dyDescent="0.55000000000000004">
      <c r="N40" s="5" t="s">
        <v>83</v>
      </c>
    </row>
    <row r="41" spans="1:32" x14ac:dyDescent="0.55000000000000004">
      <c r="N41" s="5" t="s">
        <v>84</v>
      </c>
    </row>
    <row r="42" spans="1:32" x14ac:dyDescent="0.55000000000000004">
      <c r="N42" s="16">
        <f>(N38-O27)/O27</f>
        <v>9.9478600632761844E-4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4.4" x14ac:dyDescent="0.55000000000000004"/>
  <cols>
    <col min="2" max="2" width="16.3125" customWidth="1"/>
    <col min="3" max="3" width="26" customWidth="1"/>
    <col min="4" max="4" width="28.15625" customWidth="1"/>
    <col min="5" max="5" width="27.578125" customWidth="1"/>
    <col min="6" max="6" width="28" customWidth="1"/>
    <col min="7" max="7" width="16.41796875" customWidth="1"/>
  </cols>
  <sheetData>
    <row r="1" spans="1:13" ht="14.7" thickBot="1" x14ac:dyDescent="0.6">
      <c r="A1" s="22" t="s">
        <v>85</v>
      </c>
      <c r="B1" s="21"/>
      <c r="C1" s="21"/>
      <c r="D1" s="21"/>
      <c r="E1" s="21"/>
      <c r="F1" s="21"/>
      <c r="G1" s="21"/>
      <c r="H1" s="21"/>
      <c r="I1" s="22"/>
      <c r="J1" s="22"/>
      <c r="K1" s="22"/>
      <c r="L1" s="22"/>
      <c r="M1" s="22"/>
    </row>
    <row r="2" spans="1:13" ht="15.6" x14ac:dyDescent="0.6">
      <c r="A2" s="23"/>
      <c r="B2" s="23"/>
      <c r="C2" s="23"/>
      <c r="D2" s="23"/>
      <c r="E2" s="23"/>
      <c r="F2" s="23"/>
      <c r="G2" s="23"/>
      <c r="H2" s="23"/>
    </row>
    <row r="3" spans="1:13" ht="16.8" x14ac:dyDescent="0.65">
      <c r="A3" s="20" t="s">
        <v>91</v>
      </c>
      <c r="B3" s="19" t="s">
        <v>86</v>
      </c>
      <c r="C3" s="19" t="s">
        <v>87</v>
      </c>
      <c r="D3" s="19" t="s">
        <v>88</v>
      </c>
      <c r="E3" s="19" t="s">
        <v>89</v>
      </c>
      <c r="F3" s="19" t="s">
        <v>90</v>
      </c>
      <c r="G3" s="20" t="s">
        <v>92</v>
      </c>
      <c r="H3" s="23"/>
    </row>
    <row r="4" spans="1:13" ht="15.6" x14ac:dyDescent="0.6">
      <c r="A4" s="18">
        <v>0</v>
      </c>
      <c r="B4" s="17">
        <v>0</v>
      </c>
      <c r="C4" s="17">
        <v>-30</v>
      </c>
      <c r="D4" s="17">
        <v>80</v>
      </c>
      <c r="E4" s="17">
        <v>0</v>
      </c>
      <c r="F4" s="17">
        <v>0</v>
      </c>
      <c r="G4" s="17">
        <v>50</v>
      </c>
      <c r="H4" s="23"/>
    </row>
    <row r="5" spans="1:13" ht="15.6" x14ac:dyDescent="0.6">
      <c r="A5" s="18">
        <v>30</v>
      </c>
      <c r="B5" s="17">
        <v>30</v>
      </c>
      <c r="C5" s="17">
        <v>0</v>
      </c>
      <c r="D5" s="17">
        <v>20</v>
      </c>
      <c r="E5" s="17">
        <v>0</v>
      </c>
      <c r="F5" s="17">
        <v>0</v>
      </c>
      <c r="G5" s="17">
        <v>50</v>
      </c>
      <c r="H5" s="23"/>
    </row>
    <row r="6" spans="1:13" ht="15.6" x14ac:dyDescent="0.6">
      <c r="A6" s="18">
        <v>35</v>
      </c>
      <c r="B6" s="17">
        <v>35</v>
      </c>
      <c r="C6" s="17">
        <v>0</v>
      </c>
      <c r="D6" s="17">
        <v>10</v>
      </c>
      <c r="E6" s="17">
        <v>0</v>
      </c>
      <c r="F6" s="17">
        <v>0</v>
      </c>
      <c r="G6" s="17">
        <v>45</v>
      </c>
      <c r="H6" s="23"/>
    </row>
    <row r="7" spans="1:13" ht="15.6" x14ac:dyDescent="0.6">
      <c r="A7" s="18">
        <v>40</v>
      </c>
      <c r="B7" s="17">
        <v>40</v>
      </c>
      <c r="C7" s="17">
        <v>0</v>
      </c>
      <c r="D7" s="17">
        <v>0</v>
      </c>
      <c r="E7" s="17">
        <v>10</v>
      </c>
      <c r="F7" s="17">
        <v>0</v>
      </c>
      <c r="G7" s="17">
        <v>50</v>
      </c>
      <c r="H7" s="23"/>
    </row>
    <row r="8" spans="1:13" x14ac:dyDescent="0.55000000000000004">
      <c r="A8" s="18">
        <v>45</v>
      </c>
      <c r="B8" s="17">
        <v>45</v>
      </c>
      <c r="C8" s="17">
        <v>0</v>
      </c>
      <c r="D8" s="17">
        <v>0</v>
      </c>
      <c r="E8" s="17">
        <v>20</v>
      </c>
      <c r="F8" s="17">
        <v>0</v>
      </c>
      <c r="G8" s="17">
        <v>65</v>
      </c>
    </row>
    <row r="9" spans="1:13" x14ac:dyDescent="0.55000000000000004">
      <c r="A9" s="18">
        <v>50</v>
      </c>
      <c r="B9" s="17">
        <v>50</v>
      </c>
      <c r="C9" s="17">
        <v>0</v>
      </c>
      <c r="D9" s="17">
        <v>0</v>
      </c>
      <c r="E9" s="17">
        <v>30</v>
      </c>
      <c r="F9" s="17">
        <v>0</v>
      </c>
      <c r="G9" s="17">
        <v>80</v>
      </c>
    </row>
    <row r="10" spans="1:13" x14ac:dyDescent="0.55000000000000004">
      <c r="A10" s="18">
        <v>80</v>
      </c>
      <c r="B10" s="17">
        <v>80</v>
      </c>
      <c r="C10" s="17">
        <v>0</v>
      </c>
      <c r="D10" s="17">
        <v>0</v>
      </c>
      <c r="E10" s="17">
        <v>90</v>
      </c>
      <c r="F10" s="17">
        <v>-120</v>
      </c>
      <c r="G10" s="17">
        <v>50</v>
      </c>
    </row>
    <row r="11" spans="1:13" x14ac:dyDescent="0.55000000000000004">
      <c r="A11" s="18">
        <v>100</v>
      </c>
      <c r="B11" s="17">
        <v>100</v>
      </c>
      <c r="C11" s="17">
        <v>0</v>
      </c>
      <c r="D11" s="17">
        <v>0</v>
      </c>
      <c r="E11" s="17">
        <v>130</v>
      </c>
      <c r="F11" s="17">
        <v>-200</v>
      </c>
      <c r="G11" s="17">
        <v>30</v>
      </c>
    </row>
    <row r="12" spans="1:13" x14ac:dyDescent="0.55000000000000004">
      <c r="A12" s="18">
        <v>130</v>
      </c>
      <c r="B12" s="17">
        <v>130</v>
      </c>
      <c r="C12" s="17">
        <v>0</v>
      </c>
      <c r="D12" s="17">
        <v>0</v>
      </c>
      <c r="E12" s="17">
        <v>190</v>
      </c>
      <c r="F12" s="17">
        <v>-320</v>
      </c>
      <c r="G12" s="17">
        <v>0</v>
      </c>
    </row>
    <row r="14" spans="1:13" x14ac:dyDescent="0.55000000000000004">
      <c r="A14" t="s">
        <v>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I35" sqref="I35"/>
    </sheetView>
  </sheetViews>
  <sheetFormatPr defaultRowHeight="14.4" x14ac:dyDescent="0.55000000000000004"/>
  <cols>
    <col min="4" max="4" width="13.5234375" customWidth="1"/>
  </cols>
  <sheetData>
    <row r="1" spans="1:16" ht="17.100000000000001" thickBot="1" x14ac:dyDescent="0.7">
      <c r="A1" s="24" t="s">
        <v>94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5.9" thickTop="1" x14ac:dyDescent="0.6">
      <c r="A2" s="30" t="s">
        <v>95</v>
      </c>
      <c r="B2" s="30"/>
      <c r="C2" s="30"/>
      <c r="D2" s="30"/>
      <c r="E2" s="30"/>
      <c r="H2" s="26"/>
      <c r="I2" s="25"/>
      <c r="J2" s="25"/>
    </row>
    <row r="3" spans="1:16" ht="15.6" x14ac:dyDescent="0.6">
      <c r="A3" s="31" t="s">
        <v>96</v>
      </c>
      <c r="B3" s="31"/>
      <c r="C3" s="31"/>
      <c r="D3" s="31"/>
      <c r="E3" s="31"/>
      <c r="H3" s="26"/>
      <c r="I3" s="25"/>
      <c r="J3" s="25"/>
    </row>
    <row r="4" spans="1:16" ht="15.6" x14ac:dyDescent="0.6">
      <c r="A4" s="31" t="s">
        <v>97</v>
      </c>
      <c r="B4" s="31"/>
      <c r="C4" s="31"/>
      <c r="D4" s="31"/>
      <c r="E4" s="31"/>
      <c r="H4" s="26"/>
      <c r="I4" s="25"/>
      <c r="J4" s="25"/>
    </row>
    <row r="5" spans="1:16" x14ac:dyDescent="0.55000000000000004">
      <c r="A5" s="32" t="s">
        <v>98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7" spans="1:16" x14ac:dyDescent="0.55000000000000004">
      <c r="A7" s="2" t="s">
        <v>101</v>
      </c>
    </row>
    <row r="8" spans="1:16" ht="14.7" thickBot="1" x14ac:dyDescent="0.6">
      <c r="A8" s="28" t="s">
        <v>99</v>
      </c>
      <c r="B8" s="28" t="s">
        <v>100</v>
      </c>
      <c r="C8" t="s">
        <v>102</v>
      </c>
    </row>
    <row r="9" spans="1:16" x14ac:dyDescent="0.55000000000000004">
      <c r="A9" s="27">
        <v>0</v>
      </c>
      <c r="B9" s="27">
        <v>100</v>
      </c>
    </row>
    <row r="10" spans="1:16" x14ac:dyDescent="0.55000000000000004">
      <c r="A10" s="27">
        <v>20</v>
      </c>
      <c r="B10" s="27">
        <v>80</v>
      </c>
    </row>
    <row r="11" spans="1:16" x14ac:dyDescent="0.55000000000000004">
      <c r="A11" s="27">
        <v>40</v>
      </c>
      <c r="B11" s="27">
        <v>180</v>
      </c>
    </row>
    <row r="12" spans="1:16" x14ac:dyDescent="0.55000000000000004">
      <c r="A12" s="27">
        <v>60</v>
      </c>
      <c r="B12" s="27">
        <v>0</v>
      </c>
    </row>
    <row r="13" spans="1:16" x14ac:dyDescent="0.55000000000000004">
      <c r="A13" s="27">
        <v>80</v>
      </c>
      <c r="B13" s="27">
        <v>-10</v>
      </c>
    </row>
    <row r="14" spans="1:16" x14ac:dyDescent="0.55000000000000004">
      <c r="A14" s="27">
        <v>100</v>
      </c>
      <c r="B14" s="27">
        <v>40</v>
      </c>
    </row>
    <row r="18" spans="1:9" ht="14.7" thickBot="1" x14ac:dyDescent="0.6">
      <c r="A18" s="22" t="s">
        <v>103</v>
      </c>
      <c r="B18" s="22"/>
      <c r="C18" s="22"/>
      <c r="D18" s="22"/>
      <c r="E18" s="22"/>
    </row>
    <row r="19" spans="1:9" x14ac:dyDescent="0.55000000000000004">
      <c r="A19" s="17" t="s">
        <v>104</v>
      </c>
      <c r="B19" s="17"/>
      <c r="C19" s="17"/>
      <c r="D19" s="17"/>
      <c r="E19" s="17" t="s">
        <v>107</v>
      </c>
      <c r="F19" s="17"/>
      <c r="G19" s="17"/>
      <c r="H19" s="17"/>
      <c r="I19" s="17"/>
    </row>
    <row r="20" spans="1:9" x14ac:dyDescent="0.55000000000000004">
      <c r="A20" s="17" t="s">
        <v>105</v>
      </c>
      <c r="B20" s="17"/>
      <c r="C20" s="17"/>
      <c r="D20" s="17"/>
      <c r="E20" s="17" t="s">
        <v>106</v>
      </c>
      <c r="F20" s="17"/>
      <c r="G20" s="17"/>
      <c r="H20" s="17"/>
      <c r="I20" s="17"/>
    </row>
    <row r="21" spans="1:9" x14ac:dyDescent="0.55000000000000004">
      <c r="A21" s="17" t="s">
        <v>108</v>
      </c>
      <c r="B21" s="17"/>
      <c r="C21" s="17"/>
      <c r="D21" s="17"/>
      <c r="E21" s="17" t="s">
        <v>109</v>
      </c>
      <c r="F21" s="17"/>
      <c r="G21" s="17"/>
      <c r="H21" s="17"/>
      <c r="I21" s="17"/>
    </row>
    <row r="22" spans="1:9" x14ac:dyDescent="0.55000000000000004">
      <c r="A22" s="17" t="s">
        <v>111</v>
      </c>
      <c r="B22" s="17"/>
      <c r="C22" s="17"/>
      <c r="D22" s="17"/>
      <c r="E22" s="17" t="s">
        <v>110</v>
      </c>
      <c r="F22" s="17"/>
      <c r="G22" s="17"/>
      <c r="H22" s="17"/>
      <c r="I22" s="17"/>
    </row>
    <row r="23" spans="1:9" x14ac:dyDescent="0.55000000000000004">
      <c r="A23" s="17" t="s">
        <v>112</v>
      </c>
      <c r="B23" s="17"/>
      <c r="C23" s="17"/>
      <c r="D23" s="17"/>
      <c r="E23" s="17" t="s">
        <v>113</v>
      </c>
      <c r="F23" s="17"/>
      <c r="G23" s="17"/>
      <c r="H23" s="17"/>
      <c r="I23" s="17"/>
    </row>
    <row r="24" spans="1:9" x14ac:dyDescent="0.55000000000000004">
      <c r="A24" s="17" t="s">
        <v>114</v>
      </c>
      <c r="B24" s="17"/>
      <c r="C24" s="17"/>
      <c r="D24" s="17"/>
      <c r="E24" s="17" t="s">
        <v>115</v>
      </c>
      <c r="F24" s="17"/>
      <c r="G24" s="17"/>
      <c r="H24" s="17"/>
      <c r="I24" s="17"/>
    </row>
    <row r="26" spans="1:9" ht="17.100000000000001" thickBot="1" x14ac:dyDescent="0.7">
      <c r="A26" s="29" t="s">
        <v>116</v>
      </c>
    </row>
    <row r="27" spans="1:9" ht="14.7" thickTop="1" x14ac:dyDescent="0.55000000000000004">
      <c r="A27" t="s">
        <v>117</v>
      </c>
      <c r="B27" t="s">
        <v>124</v>
      </c>
    </row>
    <row r="28" spans="1:9" x14ac:dyDescent="0.55000000000000004">
      <c r="A28" t="s">
        <v>118</v>
      </c>
    </row>
    <row r="29" spans="1:9" x14ac:dyDescent="0.55000000000000004">
      <c r="A29" s="33" t="s">
        <v>125</v>
      </c>
      <c r="B29" s="34"/>
      <c r="C29" s="34"/>
      <c r="D29" s="34"/>
      <c r="E29" s="35"/>
    </row>
    <row r="30" spans="1:9" x14ac:dyDescent="0.55000000000000004">
      <c r="A30" s="33" t="s">
        <v>119</v>
      </c>
      <c r="B30" s="34"/>
      <c r="C30" s="34"/>
      <c r="D30" s="34"/>
      <c r="E30" s="35"/>
    </row>
    <row r="31" spans="1:9" x14ac:dyDescent="0.55000000000000004">
      <c r="A31" s="33" t="s">
        <v>123</v>
      </c>
      <c r="B31" s="34"/>
      <c r="C31" s="34"/>
      <c r="D31" s="34"/>
      <c r="E31" s="35"/>
    </row>
    <row r="32" spans="1:9" x14ac:dyDescent="0.55000000000000004">
      <c r="A32" s="33" t="s">
        <v>120</v>
      </c>
      <c r="B32" s="34"/>
      <c r="C32" s="34"/>
      <c r="D32" s="34"/>
      <c r="E32" s="35"/>
    </row>
    <row r="33" spans="1:5" x14ac:dyDescent="0.55000000000000004">
      <c r="A33" s="33" t="s">
        <v>121</v>
      </c>
      <c r="B33" s="34"/>
      <c r="C33" s="34"/>
      <c r="D33" s="34"/>
      <c r="E33" s="35"/>
    </row>
    <row r="35" spans="1:5" x14ac:dyDescent="0.55000000000000004">
      <c r="A35" t="s">
        <v>122</v>
      </c>
    </row>
  </sheetData>
  <mergeCells count="9">
    <mergeCell ref="A31:E31"/>
    <mergeCell ref="A32:E32"/>
    <mergeCell ref="A33:E33"/>
    <mergeCell ref="A3:E3"/>
    <mergeCell ref="A2:E2"/>
    <mergeCell ref="A4:E4"/>
    <mergeCell ref="A5:O5"/>
    <mergeCell ref="A29:E29"/>
    <mergeCell ref="A30:E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A64" workbookViewId="0">
      <selection activeCell="N56" sqref="N56"/>
    </sheetView>
  </sheetViews>
  <sheetFormatPr defaultRowHeight="14.4" x14ac:dyDescent="0.55000000000000004"/>
  <sheetData>
    <row r="1" spans="1:21" x14ac:dyDescent="0.55000000000000004">
      <c r="A1" s="41" t="s">
        <v>126</v>
      </c>
      <c r="B1" s="40"/>
      <c r="C1" s="40"/>
      <c r="D1" s="40"/>
      <c r="E1" s="40"/>
      <c r="F1" s="40"/>
      <c r="G1" s="39"/>
      <c r="H1" s="39"/>
      <c r="I1" s="38"/>
      <c r="J1" s="38"/>
      <c r="K1" s="38"/>
      <c r="L1" s="38"/>
      <c r="M1" s="38"/>
      <c r="N1" s="38"/>
      <c r="O1" s="37"/>
      <c r="P1" s="37"/>
      <c r="Q1" s="37"/>
      <c r="R1" s="37"/>
      <c r="S1" s="37"/>
      <c r="T1" s="37"/>
      <c r="U1" s="37"/>
    </row>
    <row r="2" spans="1:21" x14ac:dyDescent="0.55000000000000004">
      <c r="A2" s="41" t="s">
        <v>127</v>
      </c>
      <c r="B2" s="40"/>
      <c r="C2" s="40"/>
      <c r="D2" s="40"/>
      <c r="E2" s="40"/>
      <c r="F2" s="40"/>
      <c r="G2" s="39"/>
      <c r="H2" s="39"/>
      <c r="I2" s="38"/>
      <c r="J2" s="38"/>
      <c r="K2" s="38"/>
      <c r="L2" s="38"/>
      <c r="M2" s="38"/>
      <c r="N2" s="38"/>
      <c r="O2" s="37"/>
      <c r="P2" s="37"/>
      <c r="Q2" s="37"/>
      <c r="R2" s="37"/>
      <c r="S2" s="37"/>
      <c r="T2" s="37"/>
      <c r="U2" s="37"/>
    </row>
    <row r="3" spans="1:21" x14ac:dyDescent="0.55000000000000004">
      <c r="A3" s="41" t="s">
        <v>128</v>
      </c>
      <c r="B3" s="40"/>
      <c r="C3" s="40"/>
      <c r="D3" s="40"/>
      <c r="E3" s="40"/>
      <c r="F3" s="40"/>
      <c r="G3" s="39"/>
      <c r="H3" s="39"/>
      <c r="I3" s="38"/>
      <c r="J3" s="38"/>
      <c r="K3" s="38"/>
      <c r="L3" s="38"/>
      <c r="M3" s="38"/>
      <c r="N3" s="38"/>
      <c r="O3" s="37"/>
      <c r="P3" s="37"/>
      <c r="Q3" s="37"/>
      <c r="R3" s="37"/>
      <c r="S3" s="37"/>
      <c r="T3" s="37"/>
      <c r="U3" s="37"/>
    </row>
    <row r="4" spans="1:21" x14ac:dyDescent="0.55000000000000004">
      <c r="A4" s="36"/>
      <c r="B4" s="38"/>
      <c r="C4" s="40"/>
      <c r="D4" s="40"/>
      <c r="E4" s="40"/>
      <c r="F4" s="40"/>
      <c r="G4" s="39"/>
      <c r="H4" s="39"/>
      <c r="I4" s="38"/>
      <c r="J4" s="38"/>
      <c r="K4" s="38"/>
      <c r="L4" s="38"/>
      <c r="M4" s="38"/>
      <c r="N4" s="38"/>
      <c r="O4" s="37"/>
      <c r="P4" s="37"/>
      <c r="Q4" s="37"/>
      <c r="R4" s="37"/>
      <c r="S4" s="37"/>
      <c r="T4" s="37"/>
      <c r="U4" s="37"/>
    </row>
    <row r="47" spans="1:1" x14ac:dyDescent="0.55000000000000004">
      <c r="A47" s="2" t="s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Ex2</vt:lpstr>
      <vt:lpstr>Ex3</vt:lpstr>
      <vt:lpstr>Ex4</vt:lpstr>
      <vt:lpstr>Ex5</vt:lpstr>
      <vt:lpstr>Ex6</vt:lpstr>
      <vt:lpstr>Ex7</vt:lpstr>
      <vt:lpstr>Ex8</vt:lpstr>
    </vt:vector>
  </TitlesOfParts>
  <Company>Brigade Capital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 Hyun Baek</dc:creator>
  <cp:lastModifiedBy>quan</cp:lastModifiedBy>
  <dcterms:created xsi:type="dcterms:W3CDTF">2015-11-20T15:01:50Z</dcterms:created>
  <dcterms:modified xsi:type="dcterms:W3CDTF">2015-11-23T02:00:12Z</dcterms:modified>
</cp:coreProperties>
</file>