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iosteam_modules/orgacids/"/>
    </mc:Choice>
  </mc:AlternateContent>
  <xr:revisionPtr revIDLastSave="1566" documentId="8_{E0706E37-5C0E-F049-8B04-CB26980A55AD}" xr6:coauthVersionLast="45" xr6:coauthVersionMax="45" xr10:uidLastSave="{DF90D803-0C98-8F41-9744-07ABD3D89B82}"/>
  <bookViews>
    <workbookView xWindow="1100" yWindow="1200" windowWidth="28800" windowHeight="16140" xr2:uid="{B5A0319B-AF35-B145-B078-F5BCB757F0B2}"/>
  </bookViews>
  <sheets>
    <sheet name="Summary" sheetId="1" r:id="rId1"/>
    <sheet name="Aden-200" sheetId="7" r:id="rId2"/>
    <sheet name="Humbird-100" sheetId="8" r:id="rId3"/>
    <sheet name="Humbird-200" sheetId="2" r:id="rId4"/>
    <sheet name="Humbird-300&amp;400" sheetId="3" r:id="rId5"/>
    <sheet name="Humbird-500" sheetId="4" r:id="rId6"/>
    <sheet name="Humbird-600&amp;700" sheetId="5" r:id="rId7"/>
    <sheet name="Humbird-800&amp;9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5" i="1" l="1"/>
  <c r="T257" i="1"/>
  <c r="T258" i="1" s="1"/>
  <c r="P68" i="1" l="1"/>
  <c r="P24" i="1"/>
  <c r="P46" i="1" l="1"/>
  <c r="P194" i="1" l="1"/>
  <c r="F201" i="1" l="1"/>
  <c r="U60" i="1" l="1"/>
  <c r="V60" i="1"/>
  <c r="T60" i="1"/>
  <c r="T189" i="1"/>
  <c r="U18" i="1"/>
  <c r="V18" i="1"/>
  <c r="T18" i="1"/>
  <c r="U189" i="1" l="1"/>
  <c r="V189" i="1"/>
  <c r="F127" i="1" l="1"/>
  <c r="P195" i="1" l="1"/>
  <c r="P197" i="1"/>
  <c r="P196" i="1"/>
  <c r="P202" i="1"/>
  <c r="P203" i="1"/>
  <c r="P199" i="1"/>
  <c r="M252" i="1"/>
  <c r="P252" i="1" s="1"/>
  <c r="P254" i="1"/>
  <c r="P253" i="1"/>
  <c r="P247" i="1"/>
  <c r="P246" i="1"/>
  <c r="P166" i="1"/>
  <c r="P73" i="1"/>
  <c r="P67" i="1"/>
  <c r="P80" i="1"/>
  <c r="P83" i="1"/>
  <c r="P86" i="1"/>
  <c r="P71" i="1"/>
  <c r="P84" i="1"/>
  <c r="P66" i="1"/>
  <c r="P53" i="1"/>
  <c r="P50" i="1"/>
  <c r="P48" i="1"/>
  <c r="P45" i="1"/>
  <c r="P43" i="1"/>
  <c r="P42" i="1"/>
  <c r="P23" i="1"/>
  <c r="P40" i="1"/>
  <c r="P26" i="1"/>
  <c r="P25" i="1"/>
  <c r="U160" i="1" l="1"/>
  <c r="V160" i="1"/>
  <c r="T160" i="1"/>
  <c r="U241" i="1" l="1"/>
  <c r="V241" i="1"/>
  <c r="T241" i="1"/>
  <c r="F218" i="1" l="1"/>
  <c r="V301" i="1"/>
  <c r="V302" i="1" s="1"/>
  <c r="I301" i="1"/>
  <c r="I302" i="1" s="1"/>
  <c r="F247" i="1"/>
  <c r="F253" i="1"/>
  <c r="F254" i="1"/>
  <c r="F246" i="1"/>
  <c r="F248" i="1"/>
  <c r="U213" i="1"/>
  <c r="V213" i="1"/>
  <c r="T213" i="1"/>
  <c r="F198" i="1"/>
  <c r="F203" i="1"/>
  <c r="F199" i="1"/>
  <c r="F195" i="1"/>
  <c r="F172" i="1"/>
  <c r="I188" i="1"/>
  <c r="F173" i="1"/>
  <c r="F171" i="1"/>
  <c r="F168" i="1"/>
  <c r="F165" i="1"/>
  <c r="F179" i="1"/>
  <c r="F174" i="1"/>
  <c r="F170" i="1"/>
  <c r="F184" i="1"/>
  <c r="F182" i="1"/>
  <c r="F180" i="1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5" i="7"/>
  <c r="H6" i="7"/>
  <c r="H7" i="7"/>
  <c r="H8" i="7"/>
  <c r="H9" i="7"/>
  <c r="H10" i="7"/>
  <c r="H11" i="7"/>
  <c r="H12" i="7"/>
  <c r="H4" i="7"/>
  <c r="U91" i="1"/>
  <c r="V91" i="1"/>
  <c r="T91" i="1"/>
  <c r="F188" i="1" l="1"/>
  <c r="F135" i="1"/>
  <c r="F143" i="1"/>
  <c r="F142" i="1"/>
  <c r="F129" i="1"/>
  <c r="F132" i="1"/>
  <c r="F130" i="1"/>
  <c r="F140" i="1"/>
  <c r="F139" i="1"/>
  <c r="F137" i="1"/>
  <c r="F66" i="1"/>
  <c r="F82" i="1"/>
  <c r="F83" i="1"/>
  <c r="F89" i="1"/>
  <c r="F68" i="1"/>
  <c r="F271" i="1" s="1"/>
  <c r="F86" i="1"/>
  <c r="F73" i="1"/>
  <c r="F57" i="1"/>
  <c r="F78" i="1"/>
  <c r="F85" i="1"/>
  <c r="F72" i="1"/>
  <c r="F53" i="1" l="1"/>
  <c r="F48" i="1"/>
  <c r="F45" i="1"/>
  <c r="F42" i="1"/>
  <c r="F32" i="1"/>
  <c r="F31" i="1"/>
  <c r="F30" i="1"/>
  <c r="F29" i="1"/>
  <c r="F28" i="1"/>
  <c r="F27" i="1"/>
  <c r="F39" i="1"/>
  <c r="F38" i="1"/>
  <c r="F37" i="1"/>
  <c r="F36" i="1"/>
  <c r="F35" i="1"/>
  <c r="F34" i="1"/>
  <c r="F33" i="1"/>
  <c r="F51" i="1"/>
  <c r="F41" i="1"/>
  <c r="F16" i="1"/>
  <c r="F7" i="1"/>
  <c r="F268" i="1" s="1"/>
  <c r="F5" i="1"/>
  <c r="F267" i="1" s="1"/>
  <c r="F4" i="1"/>
  <c r="F15" i="1"/>
  <c r="F14" i="1"/>
  <c r="F12" i="1"/>
  <c r="F11" i="1"/>
  <c r="F9" i="1"/>
  <c r="F8" i="1"/>
  <c r="F6" i="1"/>
  <c r="F17" i="1" l="1"/>
  <c r="I17" i="1"/>
  <c r="U257" i="1" l="1"/>
  <c r="U258" i="1" s="1"/>
  <c r="V257" i="1"/>
  <c r="V258" i="1" s="1"/>
  <c r="U242" i="1"/>
  <c r="V242" i="1"/>
  <c r="T242" i="1"/>
  <c r="U214" i="1"/>
  <c r="V214" i="1"/>
  <c r="T214" i="1"/>
  <c r="U190" i="1"/>
  <c r="V190" i="1"/>
  <c r="T190" i="1"/>
  <c r="U161" i="1"/>
  <c r="V161" i="1"/>
  <c r="T161" i="1"/>
  <c r="U121" i="1"/>
  <c r="U122" i="1" s="1"/>
  <c r="V121" i="1"/>
  <c r="V122" i="1" s="1"/>
  <c r="T121" i="1"/>
  <c r="T122" i="1" s="1"/>
  <c r="U92" i="1"/>
  <c r="V92" i="1"/>
  <c r="T92" i="1"/>
  <c r="V61" i="1"/>
  <c r="T61" i="1"/>
  <c r="U19" i="1"/>
  <c r="V19" i="1"/>
  <c r="T19" i="1"/>
  <c r="U261" i="1" l="1"/>
  <c r="U262" i="1" s="1"/>
  <c r="T261" i="1"/>
  <c r="T262" i="1" s="1"/>
  <c r="V261" i="1"/>
  <c r="V262" i="1" s="1"/>
  <c r="U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E2" authorId="0" shapeId="0" xr:uid="{84040774-28C5-3049-9FA4-6C8933D491D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2" authorId="0" shapeId="0" xr:uid="{046F7EC3-4731-CD43-B13C-501A0F9EE32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E22" authorId="0" shapeId="0" xr:uid="{220DA3B2-076D-C943-9492-36DA2CC2E4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22" authorId="0" shapeId="0" xr:uid="{9ABF55A5-576C-A741-BA11-4E3F068C759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P24" authorId="0" shapeId="0" xr:uid="{1FD62FB8-D8B0-E242-9417-B761A313742F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Density of concentrated sulfuric acid is 1.84 kg/L</t>
        </r>
      </text>
    </comment>
    <comment ref="D26" authorId="0" shapeId="0" xr:uid="{1535D6C4-CAC4-114C-A51F-D609B72C2BE6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min according to the text on Page 21</t>
        </r>
      </text>
    </comment>
    <comment ref="P26" authorId="0" shapeId="0" xr:uid="{6854413A-EB6F-B84B-A5E4-DD02A0E95BCF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Tried to convert the dry flow to total flow using solids loading of stream 217, but still looks weird</t>
        </r>
      </text>
    </comment>
    <comment ref="D40" authorId="0" shapeId="0" xr:uid="{22CBAFA0-C7FD-7B48-9AF2-9949A397B3D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30 min according to text on Page 21</t>
        </r>
      </text>
    </comment>
    <comment ref="D43" authorId="0" shapeId="0" xr:uid="{CE4659F1-78AD-4446-A9B9-82C96C906E4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Did not specifiy residence time, used 25 min</t>
        </r>
      </text>
    </comment>
    <comment ref="E64" authorId="0" shapeId="0" xr:uid="{67F2D034-BF49-F644-8DF9-352EEDE4282E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64" authorId="0" shapeId="0" xr:uid="{9E9D2A2B-4225-314E-9432-1F3238A8272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P67" authorId="0" shapeId="0" xr:uid="{23DCC3B7-BCF7-5045-A086-16BA55A8122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Unsaccharified slurry has higher density?</t>
        </r>
      </text>
    </comment>
    <comment ref="D71" authorId="0" shapeId="0" xr:uid="{38F2EFC8-F249-C443-91E2-18650B1F10B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950000 according to text on Page 30</t>
        </r>
      </text>
    </comment>
    <comment ref="P84" authorId="0" shapeId="0" xr:uid="{B2988A0D-9994-7F42-9FE8-CE0AF7B4931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hold 20% more according to text on Page 29</t>
        </r>
      </text>
    </comment>
    <comment ref="E95" authorId="0" shapeId="0" xr:uid="{5B80D7B1-0968-484A-B345-557E85F13401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95" authorId="0" shapeId="0" xr:uid="{D1B2B092-43DC-9A47-9D0E-990C61D827E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E125" authorId="0" shapeId="0" xr:uid="{5A08CA2C-70A3-014D-8F1E-4D0148B75DB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125" authorId="0" shapeId="0" xr:uid="{BC9A0CF0-9DCD-AF4E-8330-76B2CA88A81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F127" authorId="0" shapeId="0" xr:uid="{9383661F-43DD-774E-995B-9A0583777DA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base on rectification column bottom pump</t>
        </r>
      </text>
    </comment>
    <comment ref="E164" authorId="0" shapeId="0" xr:uid="{6DD7DD7D-0030-F84D-ACA1-A0F8A996914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164" authorId="0" shapeId="0" xr:uid="{79F9E8CA-A96A-C445-AE9C-37A503B33B0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I193" authorId="0" shapeId="0" xr:uid="{4B7745CE-7C8F-7C4A-ABCE-1DCAE2EBB3F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P195" authorId="0" shapeId="0" xr:uid="{8C2AA697-4D73-8944-800D-FFD582100BA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Density of sulfuric acid is 1.84 kg/L</t>
        </r>
      </text>
    </comment>
    <comment ref="E217" authorId="0" shapeId="0" xr:uid="{44F62914-96F0-F64D-8859-0A2700067B9E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217" authorId="0" shapeId="0" xr:uid="{014C6DEC-E045-E243-9285-AEED222DC8E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E245" authorId="0" shapeId="0" xr:uid="{1D1FB2E4-2877-2646-9A0E-4683CBDFA70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245" authorId="0" shapeId="0" xr:uid="{2DED1D0C-61CD-F64B-BE65-0297D1D31B0E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  <comment ref="M252" authorId="0" shapeId="0" xr:uid="{087E1852-509B-E34C-81D8-E563B7C4AC6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from 451555</t>
        </r>
      </text>
    </comment>
    <comment ref="T261" authorId="0" shapeId="0" xr:uid="{CEA7CA8F-88F2-CC4F-BDFC-9A98C2CB986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A100 not included</t>
        </r>
      </text>
    </comment>
    <comment ref="E265" authorId="0" shapeId="0" xr:uid="{DFFFC7E6-3A7A-8A41-96FF-BF47A1D23BB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265" authorId="0" shapeId="0" xr:uid="{0548A1E0-2741-1D47-A38C-2D0DEEFE078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E2" authorId="0" shapeId="0" xr:uid="{83DB950F-CDE6-5246-85A0-BECD0DE32AAF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Power counted as each if not explicitly noted</t>
        </r>
      </text>
    </comment>
    <comment ref="I2" authorId="0" shapeId="0" xr:uid="{37092016-5975-4045-91EB-50768E9D63C2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Tihs is the total cost that has already considered # of equipment</t>
        </r>
      </text>
    </comment>
  </commentList>
</comments>
</file>

<file path=xl/sharedStrings.xml><?xml version="1.0" encoding="utf-8"?>
<sst xmlns="http://schemas.openxmlformats.org/spreadsheetml/2006/main" count="3324" uniqueCount="870">
  <si>
    <t>Mechanical Equipment List</t>
  </si>
  <si>
    <t>Scaled Installed Costs</t>
  </si>
  <si>
    <t>EQPT NO</t>
  </si>
  <si>
    <t>EQUIPMENT TITLE</t>
  </si>
  <si>
    <t>VENDOR</t>
  </si>
  <si>
    <t>DESCRIPTION</t>
  </si>
  <si>
    <t>HP</t>
  </si>
  <si>
    <t>MATERIAL</t>
  </si>
  <si>
    <t>NUM REQD</t>
  </si>
  <si>
    <t>$</t>
  </si>
  <si>
    <t>Year of Quote</t>
  </si>
  <si>
    <t>Scaling Variable</t>
  </si>
  <si>
    <t>Scaling Val</t>
  </si>
  <si>
    <t>Units</t>
  </si>
  <si>
    <t>Scaling Exp</t>
  </si>
  <si>
    <t>Inst Factor</t>
  </si>
  <si>
    <t>New Val</t>
  </si>
  <si>
    <t>Size Ratio</t>
  </si>
  <si>
    <t>Scaled Purch Cost</t>
  </si>
  <si>
    <t>Purch Cost in Proj year</t>
  </si>
  <si>
    <t>Inst Cost in Proj year</t>
  </si>
  <si>
    <t>C- 101</t>
  </si>
  <si>
    <t>Transfer Conveyor</t>
  </si>
  <si>
    <t>Dearborn Midwest</t>
  </si>
  <si>
    <t>160 MTPH ea., enclosed, 60 in. x 65 ft. long</t>
  </si>
  <si>
    <t>20 hp ea.</t>
  </si>
  <si>
    <t>CS</t>
  </si>
  <si>
    <t>STRM.101</t>
  </si>
  <si>
    <t>kg/hr</t>
  </si>
  <si>
    <t>C- 102</t>
  </si>
  <si>
    <t>High Angle Transfer Conveyor</t>
  </si>
  <si>
    <t>160 MTPH ea., enclosed, 72 in. wide</t>
  </si>
  <si>
    <t>50 hp ea.</t>
  </si>
  <si>
    <t>INCLUDED</t>
  </si>
  <si>
    <t>C- 103</t>
  </si>
  <si>
    <t>Reversing Load-in Conveyor</t>
  </si>
  <si>
    <t>320 MT / hr, enclosed, 84 in. wide</t>
  </si>
  <si>
    <t>20 hp</t>
  </si>
  <si>
    <t>C- 104</t>
  </si>
  <si>
    <t>Dome Reclaim System</t>
  </si>
  <si>
    <t>Cambelt</t>
  </si>
  <si>
    <t>100 MTPH ea.</t>
  </si>
  <si>
    <t>45 kw ea.</t>
  </si>
  <si>
    <t>C- 105</t>
  </si>
  <si>
    <t>Reclaim Conveyor</t>
  </si>
  <si>
    <t>100 MTPH ea., enclosed, 48 in. x 125 ft. long</t>
  </si>
  <si>
    <t>10 hp ea.</t>
  </si>
  <si>
    <t>C- 106</t>
  </si>
  <si>
    <t>100 MTPH, enclosed, 72 in. wide</t>
  </si>
  <si>
    <t>C- 107</t>
  </si>
  <si>
    <t>Elevated Transfer Conveyor</t>
  </si>
  <si>
    <t>100 MTPH, enclosed, 48 in. x 200 ft. long</t>
  </si>
  <si>
    <t>10 hp</t>
  </si>
  <si>
    <t>C- 108</t>
  </si>
  <si>
    <t>Process Feed Conveyor</t>
  </si>
  <si>
    <t>70 MTPH ea., enclosed, 42 in. x 25 ft. long</t>
  </si>
  <si>
    <t>5 hp ea.</t>
  </si>
  <si>
    <t>M-101</t>
  </si>
  <si>
    <t>Truck Scale</t>
  </si>
  <si>
    <t>St. Louis Scale</t>
  </si>
  <si>
    <t>10' x 70', 200,000 lb</t>
  </si>
  <si>
    <t>CONCRETE</t>
  </si>
  <si>
    <t>M-102</t>
  </si>
  <si>
    <t>Truck Dumper</t>
  </si>
  <si>
    <t>Jeffrey Rader</t>
  </si>
  <si>
    <t>70' x 55 ton x 63 degree</t>
  </si>
  <si>
    <t>2 x 50 hp</t>
  </si>
  <si>
    <t>M-103</t>
  </si>
  <si>
    <t>Truck Dumper Hopper</t>
  </si>
  <si>
    <t>3500 cu.ft. hopper w/ drag chain conveyor</t>
  </si>
  <si>
    <t>M-104</t>
  </si>
  <si>
    <t>Concrete Feedstock Storage Dome</t>
  </si>
  <si>
    <t>Domtec</t>
  </si>
  <si>
    <t>98 ft. dia., 160 ft. high., 4000 MT</t>
  </si>
  <si>
    <t>M-105</t>
  </si>
  <si>
    <t>Belt Scale</t>
  </si>
  <si>
    <t>Tecweigh</t>
  </si>
  <si>
    <t>Scale plus processor</t>
  </si>
  <si>
    <t>M-106</t>
  </si>
  <si>
    <t>Dust Collection System</t>
  </si>
  <si>
    <t>Sly</t>
  </si>
  <si>
    <t>8500 ACFM</t>
  </si>
  <si>
    <t>25 hp ea.</t>
  </si>
  <si>
    <t>Area 100 Totals</t>
  </si>
  <si>
    <t>A- 201</t>
  </si>
  <si>
    <t>In-line Sulfuric Acid Mixer</t>
  </si>
  <si>
    <t>KOMAX</t>
  </si>
  <si>
    <t>Kynar Lined - 600 gpm H2O - 5 gpm acid</t>
  </si>
  <si>
    <t>SS304</t>
  </si>
  <si>
    <t>strm.a200.214</t>
  </si>
  <si>
    <t>A- 203</t>
  </si>
  <si>
    <t>Blowdown Tank Agitator</t>
  </si>
  <si>
    <t>Andritz</t>
  </si>
  <si>
    <t>Side-mounted, 3 x 75 hp. ( 170 kW)</t>
  </si>
  <si>
    <t>170 kW</t>
  </si>
  <si>
    <t>316LSS</t>
  </si>
  <si>
    <t>A- 204</t>
  </si>
  <si>
    <t>Flash Tank Agitator</t>
  </si>
  <si>
    <t>UET Mixers</t>
  </si>
  <si>
    <t>strm.a200.254</t>
  </si>
  <si>
    <t>A- 208</t>
  </si>
  <si>
    <t>Oligomer Hold Tank Agitator</t>
  </si>
  <si>
    <t>strm.a200.222</t>
  </si>
  <si>
    <t>A- 209</t>
  </si>
  <si>
    <t>Ammonia Addition Tank Agitator</t>
  </si>
  <si>
    <t>Lotus</t>
  </si>
  <si>
    <t>SS</t>
  </si>
  <si>
    <t>strm.a200.228</t>
  </si>
  <si>
    <t>A- 210</t>
  </si>
  <si>
    <t>Ammonia Static Mixer</t>
  </si>
  <si>
    <t>strm.a200.275</t>
  </si>
  <si>
    <t>A- 224</t>
  </si>
  <si>
    <t>Reacidification Tank Agitator</t>
  </si>
  <si>
    <t>strm.a200.239</t>
  </si>
  <si>
    <t>C- 201</t>
  </si>
  <si>
    <t>800 mm x 7600 mm (2'-8" x 25')</t>
  </si>
  <si>
    <t>40 kW ea.</t>
  </si>
  <si>
    <t>AL-6XN</t>
  </si>
  <si>
    <t>C- 202</t>
  </si>
  <si>
    <t>Distribution Conveyor</t>
  </si>
  <si>
    <t>C- 203</t>
  </si>
  <si>
    <t>Overfeed Conveyor</t>
  </si>
  <si>
    <t>C- 204</t>
  </si>
  <si>
    <t>Pressurized Heating Screw</t>
  </si>
  <si>
    <t>2500 mm x 9500 mm (8' x 31')</t>
  </si>
  <si>
    <t>75 kW</t>
  </si>
  <si>
    <t>Dup. 2205</t>
  </si>
  <si>
    <t>C- 205</t>
  </si>
  <si>
    <t>Pressurized Pre-heater Discharge</t>
  </si>
  <si>
    <t>850 mm x 3500 mm (2'-10" x 12')</t>
  </si>
  <si>
    <t>C- 206</t>
  </si>
  <si>
    <t>Pressurized Transport - No. 1</t>
  </si>
  <si>
    <t>900 mm x 3500 mm (3' x 12')</t>
  </si>
  <si>
    <t>20 kW</t>
  </si>
  <si>
    <t>Incoloy 825- CLAD; CS</t>
  </si>
  <si>
    <t>C- 207</t>
  </si>
  <si>
    <t>Pressurized Transport - No. 2</t>
  </si>
  <si>
    <t>1200 mm x 3500 mm (4' x 12')</t>
  </si>
  <si>
    <t>40 kW</t>
  </si>
  <si>
    <t>H- 201</t>
  </si>
  <si>
    <t>Pretreatment Water Heater</t>
  </si>
  <si>
    <t>Mueller</t>
  </si>
  <si>
    <t>29.9 MMBtu</t>
  </si>
  <si>
    <t>304SS</t>
  </si>
  <si>
    <t>Heat.A200.QH201</t>
  </si>
  <si>
    <t>Gcal/hr</t>
  </si>
  <si>
    <t>H- 244</t>
  </si>
  <si>
    <t>Waste Vapor Condenser</t>
  </si>
  <si>
    <t>Copied H-201</t>
  </si>
  <si>
    <t>Heat.A200.QH244</t>
  </si>
  <si>
    <t>M-201</t>
  </si>
  <si>
    <t>Doffing Roll Storage Bins</t>
  </si>
  <si>
    <t>60 cu. m. (2100 cu.ft.) with conveyors/scrapers</t>
  </si>
  <si>
    <t>304/316SS</t>
  </si>
  <si>
    <t>M-202</t>
  </si>
  <si>
    <t>Pin Drum Feeder</t>
  </si>
  <si>
    <t>15 kW ea.</t>
  </si>
  <si>
    <t>M-203</t>
  </si>
  <si>
    <t>Plug Screw Feeder</t>
  </si>
  <si>
    <t>1100kW</t>
  </si>
  <si>
    <t>ea.</t>
  </si>
  <si>
    <t>M-204</t>
  </si>
  <si>
    <t>Prehydrolysis / Vertical Preheater</t>
  </si>
  <si>
    <t>16' x 62' - 10 min. residence time</t>
  </si>
  <si>
    <t>45 kW</t>
  </si>
  <si>
    <t>M-205</t>
  </si>
  <si>
    <t>M-206</t>
  </si>
  <si>
    <t>1100 kW</t>
  </si>
  <si>
    <t>M-207</t>
  </si>
  <si>
    <t>Pretreatment Reactor</t>
  </si>
  <si>
    <t>2600 mm x 9000 mm (9' x 30') - 2 min. residence time</t>
  </si>
  <si>
    <t>DRY101</t>
  </si>
  <si>
    <t>P- 201</t>
  </si>
  <si>
    <t>Sulfuric Acid Pump</t>
  </si>
  <si>
    <t>Goulds</t>
  </si>
  <si>
    <t>9 GPM, 245 FT TDH</t>
  </si>
  <si>
    <t>316SS</t>
  </si>
  <si>
    <t>strm.710</t>
  </si>
  <si>
    <t>P- 203</t>
  </si>
  <si>
    <t>Blowdown Tank Discharge Pump</t>
  </si>
  <si>
    <t>Viking</t>
  </si>
  <si>
    <t>1900 GPM, 150 FT TDH</t>
  </si>
  <si>
    <t>P- 204</t>
  </si>
  <si>
    <t>Flash Tank Discharge Pump</t>
  </si>
  <si>
    <t>900 GPM, 150 FT TDH</t>
  </si>
  <si>
    <t>P- 208</t>
  </si>
  <si>
    <t>Oligomer Hold Tank Discharge</t>
  </si>
  <si>
    <t>strm.a200.223</t>
  </si>
  <si>
    <t>P- 209</t>
  </si>
  <si>
    <t>Hydrolyzate Pump</t>
  </si>
  <si>
    <t>1771 GPM, 150 FT TDH</t>
  </si>
  <si>
    <t>P- 239</t>
  </si>
  <si>
    <t>Reacidified Hydrolyzate Pump</t>
  </si>
  <si>
    <t>1771 GPM, 100 FT TDH</t>
  </si>
  <si>
    <t>S- 205</t>
  </si>
  <si>
    <t>Hydrolyzate Solid-Liquid Separator</t>
  </si>
  <si>
    <t>Larox</t>
  </si>
  <si>
    <t>scis.a200.254b</t>
  </si>
  <si>
    <t>T- 201</t>
  </si>
  <si>
    <t>Sulfuric Acid Tank</t>
  </si>
  <si>
    <t>12,800 gal, 24hr residence time</t>
  </si>
  <si>
    <t>PLASTIC</t>
  </si>
  <si>
    <t>T- 203</t>
  </si>
  <si>
    <t>Blowdown Tank</t>
  </si>
  <si>
    <t>23' x 48' - 25 min. - 110,000 gal.</t>
  </si>
  <si>
    <t>SS316</t>
  </si>
  <si>
    <t>T- 204</t>
  </si>
  <si>
    <t>Flash Tank</t>
  </si>
  <si>
    <t>23' x 48' - 110,000 gal.</t>
  </si>
  <si>
    <t>T- 208</t>
  </si>
  <si>
    <t>Oligomer Conversion Tank</t>
  </si>
  <si>
    <t>2.6 atm, 130C operating 30 min. hold = 30,000 gal</t>
  </si>
  <si>
    <t>T- 209</t>
  </si>
  <si>
    <t>Ammonia Addition Tank</t>
  </si>
  <si>
    <t>118,000 gal, 1hr residence time</t>
  </si>
  <si>
    <t>T- 224</t>
  </si>
  <si>
    <t>Reacidification Tank</t>
  </si>
  <si>
    <t>500,000 gallon</t>
  </si>
  <si>
    <t>Area 200 Totals</t>
  </si>
  <si>
    <t>A- 300</t>
  </si>
  <si>
    <t>Ethanol Fermentor Agitator</t>
  </si>
  <si>
    <t>30 hp</t>
  </si>
  <si>
    <t>inumsscf</t>
  </si>
  <si>
    <t>ea</t>
  </si>
  <si>
    <t>A- 301</t>
  </si>
  <si>
    <t>Seed Hold Tank Agitator</t>
  </si>
  <si>
    <t>15 hp</t>
  </si>
  <si>
    <t>STRM.A300.304</t>
  </si>
  <si>
    <t>A- 304</t>
  </si>
  <si>
    <t>4th Seed Vessel Agitator</t>
  </si>
  <si>
    <t>7.5 hp</t>
  </si>
  <si>
    <t>A- 305</t>
  </si>
  <si>
    <t>5th Seed Vessel Agitator</t>
  </si>
  <si>
    <t>A- 306</t>
  </si>
  <si>
    <t>Beer Surge Tank Agitator</t>
  </si>
  <si>
    <t>strm.501</t>
  </si>
  <si>
    <t>A- 308</t>
  </si>
  <si>
    <t>Enzyme-Hydrolysate Mixer</t>
  </si>
  <si>
    <t>GLV</t>
  </si>
  <si>
    <t>inline mixer 1673 gpm</t>
  </si>
  <si>
    <t>100 hp</t>
  </si>
  <si>
    <t>strm.a300.t310fd</t>
  </si>
  <si>
    <t>F- 300</t>
  </si>
  <si>
    <t>Ethanol Fermentor</t>
  </si>
  <si>
    <t>1,000,000 gallon ea</t>
  </si>
  <si>
    <t>F- 301</t>
  </si>
  <si>
    <t>1st Seed Fermentor</t>
  </si>
  <si>
    <t>A&amp;B Process</t>
  </si>
  <si>
    <t>20 gallon skid complete - $37,700 ea</t>
  </si>
  <si>
    <t>F- 302</t>
  </si>
  <si>
    <t>2nd Seed Fermentor</t>
  </si>
  <si>
    <t>200 gallon skid complete - $58,300 ea</t>
  </si>
  <si>
    <t>F- 303</t>
  </si>
  <si>
    <t>3rd Seed Fermentor</t>
  </si>
  <si>
    <t>2000 gallon skid complete - $78,800 ea</t>
  </si>
  <si>
    <t>F- 304</t>
  </si>
  <si>
    <t>4th Seed Fermentor</t>
  </si>
  <si>
    <t>20,000 gallon, incl. coil - $176,000 ea</t>
  </si>
  <si>
    <t>F- 305</t>
  </si>
  <si>
    <t>5th Seed Fermentor</t>
  </si>
  <si>
    <t>200,000 gallon, incl. coil - $590,000 ea</t>
  </si>
  <si>
    <t>H- 300</t>
  </si>
  <si>
    <t>Fermentation Cooler</t>
  </si>
  <si>
    <t>Alfa Laval</t>
  </si>
  <si>
    <t>Plate &amp; frame</t>
  </si>
  <si>
    <t>H- 301</t>
  </si>
  <si>
    <t>Hydrolyzate Cooler</t>
  </si>
  <si>
    <t>Fox Engineering</t>
  </si>
  <si>
    <t>Plate &amp; Frame 32.5 MMBtu/hr</t>
  </si>
  <si>
    <t>SS 304</t>
  </si>
  <si>
    <t>heat.a300.qc301</t>
  </si>
  <si>
    <t>H- 304</t>
  </si>
  <si>
    <t>4th Seed Fermentor Coil</t>
  </si>
  <si>
    <t>incl. w/ tank</t>
  </si>
  <si>
    <t>H- 305</t>
  </si>
  <si>
    <t>5th Seed Fermentor Coil</t>
  </si>
  <si>
    <t>H- 310</t>
  </si>
  <si>
    <t>Fermentor Batch Cooler</t>
  </si>
  <si>
    <t>heat.a300.qf300sf</t>
  </si>
  <si>
    <t>P- 300</t>
  </si>
  <si>
    <t>Fermentation Recirc/Transfer Pump</t>
  </si>
  <si>
    <t>340 GPM, 150 FT</t>
  </si>
  <si>
    <t>P- 301</t>
  </si>
  <si>
    <t>Seed Hold Transfer Pump</t>
  </si>
  <si>
    <t>190 GPM, 150 FT TDH</t>
  </si>
  <si>
    <t>strm.a300.304</t>
  </si>
  <si>
    <t>P- 302</t>
  </si>
  <si>
    <t>Seed Transfer Pump</t>
  </si>
  <si>
    <t>190 GPM, 615 FT TDH</t>
  </si>
  <si>
    <t>P- 306</t>
  </si>
  <si>
    <t>Beer Transfer Pump</t>
  </si>
  <si>
    <t>2152 GPM, 171 FT TDH</t>
  </si>
  <si>
    <t>P- 310</t>
  </si>
  <si>
    <t>Saccharification Transfer Pump</t>
  </si>
  <si>
    <t>352 GPM, 150 FT TDH</t>
  </si>
  <si>
    <t>strm.a300.306</t>
  </si>
  <si>
    <t>T- 301</t>
  </si>
  <si>
    <t>Seed Hold Tank</t>
  </si>
  <si>
    <t>300,000 gallon</t>
  </si>
  <si>
    <t>T- 306</t>
  </si>
  <si>
    <t>Beer Storage Tank</t>
  </si>
  <si>
    <t>T- 310</t>
  </si>
  <si>
    <t>Saccharification Tank</t>
  </si>
  <si>
    <t>Caldwell</t>
  </si>
  <si>
    <t>250,000 gal each - 19' dia. x 120' tall</t>
  </si>
  <si>
    <t>Area 300 Totals</t>
  </si>
  <si>
    <t>A- 400</t>
  </si>
  <si>
    <t>Cellulase Fermentor Agitators</t>
  </si>
  <si>
    <t>CLVESSEL</t>
  </si>
  <si>
    <t>A- 401</t>
  </si>
  <si>
    <t>0.75hp</t>
  </si>
  <si>
    <t>ICLSEED</t>
  </si>
  <si>
    <t>A- 402</t>
  </si>
  <si>
    <t>8 hp</t>
  </si>
  <si>
    <t>A- 403</t>
  </si>
  <si>
    <t>80 hp</t>
  </si>
  <si>
    <t>A- 405</t>
  </si>
  <si>
    <t>Media-Prep Tank Agitator</t>
  </si>
  <si>
    <t>A285C</t>
  </si>
  <si>
    <t>strm.a400.402a</t>
  </si>
  <si>
    <t>A- 406</t>
  </si>
  <si>
    <t>Cellulase Nutrient Mix Tank Agitator</t>
  </si>
  <si>
    <t>3 hp</t>
  </si>
  <si>
    <t>strm.a400.416</t>
  </si>
  <si>
    <t>A- 410</t>
  </si>
  <si>
    <t>Cellulase Hold Tank Agitator</t>
  </si>
  <si>
    <t>strm.422</t>
  </si>
  <si>
    <t>F- 400</t>
  </si>
  <si>
    <t>Cellulase Fermentor</t>
  </si>
  <si>
    <t>80,000 gal, 1 atm, 28 °C, Internal coil</t>
  </si>
  <si>
    <t>F- 401</t>
  </si>
  <si>
    <t>1st Cellulase Seed Fermentor</t>
  </si>
  <si>
    <t>80 gallon skid complete - $46,000 ea</t>
  </si>
  <si>
    <t>F- 402</t>
  </si>
  <si>
    <t>2nd Cellulase Seed Fermentor</t>
  </si>
  <si>
    <t>800 gallon skid complete - $57,500 ea</t>
  </si>
  <si>
    <t>F- 403</t>
  </si>
  <si>
    <t>3rd Cellulase Seed Fermentor</t>
  </si>
  <si>
    <t>8,000 gallon skid complete - $95,400 ea</t>
  </si>
  <si>
    <t>H- 400</t>
  </si>
  <si>
    <t>Cellulase Fermentation Cooler</t>
  </si>
  <si>
    <t>Cooling coil included with Cellulase Fermenter</t>
  </si>
  <si>
    <t>H- 405</t>
  </si>
  <si>
    <t>Media Prep Tank Cooler</t>
  </si>
  <si>
    <t>Cooling coil included with Media Prep Tank</t>
  </si>
  <si>
    <t>M-401</t>
  </si>
  <si>
    <t>Fermenter Air Compressor Package</t>
  </si>
  <si>
    <t>Dresser Roots</t>
  </si>
  <si>
    <t>8000 SCFM @ 16 psig</t>
  </si>
  <si>
    <t>strm.a400.450</t>
  </si>
  <si>
    <t>P- 400</t>
  </si>
  <si>
    <t>Cellulase Transfer Pump</t>
  </si>
  <si>
    <t>59 gpm, 100 FT, TDH SIZE 2X1-10C</t>
  </si>
  <si>
    <t>strm.a400.420</t>
  </si>
  <si>
    <t>P- 401</t>
  </si>
  <si>
    <t>Cellulase Seed Pump</t>
  </si>
  <si>
    <t>3 GPM, 100 FT TDH SIZE 2X1-10</t>
  </si>
  <si>
    <t>strm.a400.409</t>
  </si>
  <si>
    <t>P- 405</t>
  </si>
  <si>
    <t>Media Pump</t>
  </si>
  <si>
    <t>63 GPM, 100 FT TDH SIZE 2X1-10C</t>
  </si>
  <si>
    <t>P- 406</t>
  </si>
  <si>
    <t>Cellulase Nutrient Transfer Pump</t>
  </si>
  <si>
    <t>Gear Pump 2 GPM, 100 FT</t>
  </si>
  <si>
    <t>P- 410</t>
  </si>
  <si>
    <t>Cellulase Feed Pump</t>
  </si>
  <si>
    <t>Gear Pump</t>
  </si>
  <si>
    <t>strm.a400.422</t>
  </si>
  <si>
    <t>P- 420</t>
  </si>
  <si>
    <t>Anti-foam Pump</t>
  </si>
  <si>
    <t>strm.a400.444</t>
  </si>
  <si>
    <t>T- 401</t>
  </si>
  <si>
    <t>SO2 Storage Tank</t>
  </si>
  <si>
    <t>SO2 Vendor</t>
  </si>
  <si>
    <t>1 ton cylinders, incl w/ delivery</t>
  </si>
  <si>
    <t>T- 405</t>
  </si>
  <si>
    <t>Media-Prep Tank</t>
  </si>
  <si>
    <t>20,000 gallon, incl. coil</t>
  </si>
  <si>
    <t>T- 406</t>
  </si>
  <si>
    <t>Cellulase Nutrient Mix Tank</t>
  </si>
  <si>
    <t>Harrington</t>
  </si>
  <si>
    <t>HDPE, 8,000 gal</t>
  </si>
  <si>
    <t>HDPE</t>
  </si>
  <si>
    <t>T- 410</t>
  </si>
  <si>
    <t>Cellulase Hold Tank</t>
  </si>
  <si>
    <t>80,000 gal</t>
  </si>
  <si>
    <t>Area 400 Totals</t>
  </si>
  <si>
    <t>A- 530</t>
  </si>
  <si>
    <t>Filtrate Tank Agitator</t>
  </si>
  <si>
    <t>strm.a500.evap.572</t>
  </si>
  <si>
    <t>C- 501</t>
  </si>
  <si>
    <t>Lignin Wet Cake Conveyor</t>
  </si>
  <si>
    <t>KWS/Barnard-Boe</t>
  </si>
  <si>
    <t>Belt 100 ft. long x 24" wide, enclosed</t>
  </si>
  <si>
    <t>strm.a500.571</t>
  </si>
  <si>
    <t>C- 502</t>
  </si>
  <si>
    <t>Lignin Wet Cake Screw</t>
  </si>
  <si>
    <t>Screw conveyor - 25 ft lg x 14" dia</t>
  </si>
  <si>
    <t>D- 501</t>
  </si>
  <si>
    <t>Beer Column</t>
  </si>
  <si>
    <t>Megtec</t>
  </si>
  <si>
    <t>14' dia. x 76' tall, 32 trays, 24" spacing</t>
  </si>
  <si>
    <t>strm.a500.511</t>
  </si>
  <si>
    <t>D- 502</t>
  </si>
  <si>
    <t>Rectification Column</t>
  </si>
  <si>
    <t>Top 13' dia. x 68' h, Bottom 4'6" x 31' h</t>
  </si>
  <si>
    <t>H- 501</t>
  </si>
  <si>
    <t>Beer Column Reboiler</t>
  </si>
  <si>
    <t>S &amp; T</t>
  </si>
  <si>
    <t>316SS;CS</t>
  </si>
  <si>
    <t>H- 502</t>
  </si>
  <si>
    <t>Rectification Column Reboiler</t>
  </si>
  <si>
    <t>H- 504</t>
  </si>
  <si>
    <t>Beer Column Condenser</t>
  </si>
  <si>
    <t>H- 505</t>
  </si>
  <si>
    <t>Rectification Column Condenser</t>
  </si>
  <si>
    <t>GEA Rainey</t>
  </si>
  <si>
    <t>92.2 MM Btu/hr 3 cells</t>
  </si>
  <si>
    <t>300 tot</t>
  </si>
  <si>
    <t>heat.a500.qcd502</t>
  </si>
  <si>
    <t>H- 512</t>
  </si>
  <si>
    <t>Beer Column Feed Interchanger</t>
  </si>
  <si>
    <t>Plate &amp; Frame</t>
  </si>
  <si>
    <t>M-503</t>
  </si>
  <si>
    <t>Molecular Sieve Package (9 pieces)</t>
  </si>
  <si>
    <t>Delta-T</t>
  </si>
  <si>
    <t>strm.a500.515</t>
  </si>
  <si>
    <t>M-505</t>
  </si>
  <si>
    <t>Pressure Filter Pressing Compr</t>
  </si>
  <si>
    <t>Atlas-Copco</t>
  </si>
  <si>
    <t>460 SCFM, 300 psig</t>
  </si>
  <si>
    <t>150 hp</t>
  </si>
  <si>
    <t>strm.a500.evap.sqairin</t>
  </si>
  <si>
    <t>M-507</t>
  </si>
  <si>
    <t>Pressure Filter Drying Compr</t>
  </si>
  <si>
    <t>4000 SCFM, 130 psig (ea)</t>
  </si>
  <si>
    <t>700 hp ea.</t>
  </si>
  <si>
    <t>strm.a500.evap.557</t>
  </si>
  <si>
    <t>P- 501</t>
  </si>
  <si>
    <t>Beer Column Bottoms Recirc Pump</t>
  </si>
  <si>
    <t>10,000 gpm</t>
  </si>
  <si>
    <t>P- 503</t>
  </si>
  <si>
    <t>Beer Column Reflux Pump</t>
  </si>
  <si>
    <t>15 gpm</t>
  </si>
  <si>
    <t>P- 504</t>
  </si>
  <si>
    <t>Rectification Column Btms Pump</t>
  </si>
  <si>
    <t>150 gpm</t>
  </si>
  <si>
    <t>P- 505</t>
  </si>
  <si>
    <t>Rectification Column Reflux Pump</t>
  </si>
  <si>
    <t>500 gpm</t>
  </si>
  <si>
    <t>P- 506</t>
  </si>
  <si>
    <t>Beer Column Stillage Pump</t>
  </si>
  <si>
    <t>2000 gpm</t>
  </si>
  <si>
    <t>P- 515</t>
  </si>
  <si>
    <t>Scrubber Bottoms Pump</t>
  </si>
  <si>
    <t>108 GPM, 104 FT TDH</t>
  </si>
  <si>
    <t>strm.551</t>
  </si>
  <si>
    <t>P- 530</t>
  </si>
  <si>
    <t>Filtrate Tank Discharge Pump</t>
  </si>
  <si>
    <t>Sulzer</t>
  </si>
  <si>
    <t>590 GPM, 100 FT TDH SIZE 4X3-13</t>
  </si>
  <si>
    <t>strm.a500.evap.571</t>
  </si>
  <si>
    <t>P- 531</t>
  </si>
  <si>
    <t>Feed Pump</t>
  </si>
  <si>
    <t>Warman</t>
  </si>
  <si>
    <t>1014 GPM 230 FT TDH SIZE 8X6-15</t>
  </si>
  <si>
    <t>P- 532</t>
  </si>
  <si>
    <t>Manifold Flush Pump</t>
  </si>
  <si>
    <t>P- 533</t>
  </si>
  <si>
    <t>Cloth Wash Pump</t>
  </si>
  <si>
    <t>P- 581</t>
  </si>
  <si>
    <t>Filtrate Discharge Pump</t>
  </si>
  <si>
    <t>75 hp</t>
  </si>
  <si>
    <t>S- 505</t>
  </si>
  <si>
    <t>Pressure Filter</t>
  </si>
  <si>
    <t>384 sq. m fitration area ea incl packing</t>
  </si>
  <si>
    <t>T- 503</t>
  </si>
  <si>
    <t>Beer Column Reflux Drum</t>
  </si>
  <si>
    <t>4' dia, 6' high, 50 psig design</t>
  </si>
  <si>
    <t>T- 505</t>
  </si>
  <si>
    <t>Rectification Column Reflux Drum</t>
  </si>
  <si>
    <t>T- 512</t>
  </si>
  <si>
    <t>Vent Scrubber</t>
  </si>
  <si>
    <t>Envitech</t>
  </si>
  <si>
    <t>Inlet Gas: 9681 acfm, 91°F, 1.97 mass% Ethanol</t>
  </si>
  <si>
    <t>SS304;PP</t>
  </si>
  <si>
    <t>strm.a500.523</t>
  </si>
  <si>
    <t>T- 530</t>
  </si>
  <si>
    <t>Filtrate Tank</t>
  </si>
  <si>
    <t>13,750 gal 14' dia x 12' H</t>
  </si>
  <si>
    <t>T- 531</t>
  </si>
  <si>
    <t>Feed Tank</t>
  </si>
  <si>
    <t>20,300 gal 14' dia x 18' H</t>
  </si>
  <si>
    <t>T- 532</t>
  </si>
  <si>
    <t>Recycled Water Tank</t>
  </si>
  <si>
    <t>Harrington Plastic</t>
  </si>
  <si>
    <t>4000 gal.</t>
  </si>
  <si>
    <t>T- 533</t>
  </si>
  <si>
    <t>Pressing Air Compressor Receiver</t>
  </si>
  <si>
    <t>1350 gal., 300 psig design</t>
  </si>
  <si>
    <t>T- 534</t>
  </si>
  <si>
    <t>Drying Air Compressor Receiver</t>
  </si>
  <si>
    <t>9,000 gal., 150 psig design</t>
  </si>
  <si>
    <t>Area 500 Totals</t>
  </si>
  <si>
    <t>B- 606</t>
  </si>
  <si>
    <t>Biogas Blower</t>
  </si>
  <si>
    <t>ADI</t>
  </si>
  <si>
    <t>3000 ACFM, 10 PSI</t>
  </si>
  <si>
    <t>B- 608</t>
  </si>
  <si>
    <t>Aerobic Digester Blower</t>
  </si>
  <si>
    <t>14,000 SCFM @ 10.3 psig</t>
  </si>
  <si>
    <t>strm.a600.601</t>
  </si>
  <si>
    <t>C- 614</t>
  </si>
  <si>
    <t>Aerobic Sludge Screw</t>
  </si>
  <si>
    <t>H- 602</t>
  </si>
  <si>
    <t>Anaerobic Digestor Feed Cooler</t>
  </si>
  <si>
    <t>ALFA LAVAL</t>
  </si>
  <si>
    <t>Wide gap plate &amp; frame 2.5 mgd</t>
  </si>
  <si>
    <t>SS316; CS</t>
  </si>
  <si>
    <t>M-606</t>
  </si>
  <si>
    <t>Biogas Emergency Flare</t>
  </si>
  <si>
    <t>M-630</t>
  </si>
  <si>
    <t>Polymer Addition System</t>
  </si>
  <si>
    <t>11.4 gph neat polymer</t>
  </si>
  <si>
    <t>M-632</t>
  </si>
  <si>
    <t>Caustic Feed System</t>
  </si>
  <si>
    <t>0-300 gph Aerobic Digesters #1- #3</t>
  </si>
  <si>
    <t>M-640</t>
  </si>
  <si>
    <t>Evaporator System</t>
  </si>
  <si>
    <t>P- 602</t>
  </si>
  <si>
    <t>Anaerobic Reactor Feed Pump</t>
  </si>
  <si>
    <t>2500 gpm submersible rail mounted</t>
  </si>
  <si>
    <t>P- 606</t>
  </si>
  <si>
    <t>Anaerobic Reactor Recirc Pump</t>
  </si>
  <si>
    <t>400 gpm, 50 ft TDH</t>
  </si>
  <si>
    <t>P- 607</t>
  </si>
  <si>
    <t>Waste Anaerobic Sludge Pump</t>
  </si>
  <si>
    <t>10 gpm</t>
  </si>
  <si>
    <t>P- 608</t>
  </si>
  <si>
    <t>Aeration Basin Feed Pump</t>
  </si>
  <si>
    <t>P- 609</t>
  </si>
  <si>
    <t>Return Activated Sludge Pump</t>
  </si>
  <si>
    <t>P- 610</t>
  </si>
  <si>
    <t>Reverse Osmosis Feed Pump</t>
  </si>
  <si>
    <t>?</t>
  </si>
  <si>
    <t>P- 611</t>
  </si>
  <si>
    <t>Centrifuge Feed Pump</t>
  </si>
  <si>
    <t>P- 612</t>
  </si>
  <si>
    <t>Centrate Pump</t>
  </si>
  <si>
    <t>P- 616</t>
  </si>
  <si>
    <t>Treated Water Pump</t>
  </si>
  <si>
    <t>R- 609</t>
  </si>
  <si>
    <t>Membrane Bioreactor</t>
  </si>
  <si>
    <t>Includes membrane CIP and Scour system</t>
  </si>
  <si>
    <t>S- 610</t>
  </si>
  <si>
    <t>Reverse Osmosis System</t>
  </si>
  <si>
    <t>S- 611</t>
  </si>
  <si>
    <t>Centrifuge</t>
  </si>
  <si>
    <t>T- 606</t>
  </si>
  <si>
    <t>Anaerobic Basin</t>
  </si>
  <si>
    <t>31 Million gallonwith cover</t>
  </si>
  <si>
    <t>T- 608</t>
  </si>
  <si>
    <t>Aeration Digester</t>
  </si>
  <si>
    <t>25 ft H x 115 ft x 344 ft 2 ft floor/wall thkness</t>
  </si>
  <si>
    <t>T- 609</t>
  </si>
  <si>
    <t>Sludge Holding Tank</t>
  </si>
  <si>
    <t>Area 600 Totals</t>
  </si>
  <si>
    <t>A- 701</t>
  </si>
  <si>
    <t>Denaturant In-line Mixer</t>
  </si>
  <si>
    <t>4 inch</t>
  </si>
  <si>
    <t>strm.703</t>
  </si>
  <si>
    <t>A- 720</t>
  </si>
  <si>
    <t>CSL Storage Tank Agitator</t>
  </si>
  <si>
    <t>strm.735</t>
  </si>
  <si>
    <t>A- 760</t>
  </si>
  <si>
    <t>DAP Make-up Tank Agitator</t>
  </si>
  <si>
    <t>5.5 hp</t>
  </si>
  <si>
    <t>strm.755</t>
  </si>
  <si>
    <t>C- 755</t>
  </si>
  <si>
    <t>DAP Bulk Bag Unloader</t>
  </si>
  <si>
    <t>Flexicon</t>
  </si>
  <si>
    <t>Super sack unloader</t>
  </si>
  <si>
    <t>P- 701</t>
  </si>
  <si>
    <t>Ethanol Product Pump</t>
  </si>
  <si>
    <t>150 GPM, 112 FT TDH</t>
  </si>
  <si>
    <t>P- 703</t>
  </si>
  <si>
    <t>5 GPM, 150 FT TDH SIZE 2X1-10</t>
  </si>
  <si>
    <t>P- 704</t>
  </si>
  <si>
    <t>Firewater Pump</t>
  </si>
  <si>
    <t>2500 GPM, 150 FT TDH</t>
  </si>
  <si>
    <t>strm.a700.713</t>
  </si>
  <si>
    <t>P- 710</t>
  </si>
  <si>
    <t>Gasoline Pump</t>
  </si>
  <si>
    <t>4 GPM, 60 FT</t>
  </si>
  <si>
    <t>strm.a700.701</t>
  </si>
  <si>
    <t>P- 720</t>
  </si>
  <si>
    <t>CSL Pump</t>
  </si>
  <si>
    <t>8 GPM, 80 FT TDH</t>
  </si>
  <si>
    <t>P- 760</t>
  </si>
  <si>
    <t>DAP Pump</t>
  </si>
  <si>
    <t>2 GPM, 100 FT TDH</t>
  </si>
  <si>
    <t>T- 701</t>
  </si>
  <si>
    <t>Ethanol Product Storage Tank</t>
  </si>
  <si>
    <t>750,000 gal., 7 day storage, Floating roof</t>
  </si>
  <si>
    <t>T- 703</t>
  </si>
  <si>
    <t>Sulfuric Acid Storage Tank</t>
  </si>
  <si>
    <t>12,600 gal, 12' dia x15' H</t>
  </si>
  <si>
    <t>T- 704</t>
  </si>
  <si>
    <t>Firewater Storage Tank</t>
  </si>
  <si>
    <t>600,000 gal - 4 hrs @ 2500 gpm</t>
  </si>
  <si>
    <t>Glass lined</t>
  </si>
  <si>
    <t>T- 706</t>
  </si>
  <si>
    <t>Ammonia Storage Tank</t>
  </si>
  <si>
    <t>Chemithon</t>
  </si>
  <si>
    <t>28,000 gal</t>
  </si>
  <si>
    <t>SA- 516-70</t>
  </si>
  <si>
    <t>strm.717</t>
  </si>
  <si>
    <t>T- 710</t>
  </si>
  <si>
    <t>Gasoline Storage Tank</t>
  </si>
  <si>
    <t>65,000 gal., floating roof</t>
  </si>
  <si>
    <t>T- 720</t>
  </si>
  <si>
    <t>CSL Storage Tank</t>
  </si>
  <si>
    <t>70,000 gal</t>
  </si>
  <si>
    <t>Glass lined CS</t>
  </si>
  <si>
    <t>T- 755</t>
  </si>
  <si>
    <t>DAP Bulk Bag Holder</t>
  </si>
  <si>
    <t>Super sack holder</t>
  </si>
  <si>
    <t>T- 760</t>
  </si>
  <si>
    <t>DAP Make-up Tank</t>
  </si>
  <si>
    <t>12,800 gal</t>
  </si>
  <si>
    <t>       </t>
  </si>
  <si>
    <t>Area 700 Totals</t>
  </si>
  <si>
    <t>H- 801</t>
  </si>
  <si>
    <t>Burner Combustion Air Preheater</t>
  </si>
  <si>
    <t>Babcock &amp; Wilcox</t>
  </si>
  <si>
    <t>H- 811</t>
  </si>
  <si>
    <t>BFW Preheater</t>
  </si>
  <si>
    <t>H- 812</t>
  </si>
  <si>
    <t>Pretreatment/BFW heat recovery</t>
  </si>
  <si>
    <t>9.4 MM Btu/hr</t>
  </si>
  <si>
    <t>heat.QH812</t>
  </si>
  <si>
    <t>M-802</t>
  </si>
  <si>
    <t>Air Intake Fan</t>
  </si>
  <si>
    <t>M-803</t>
  </si>
  <si>
    <t>Boiler</t>
  </si>
  <si>
    <t>525,000 lb/hr @ 900 psig</t>
  </si>
  <si>
    <t>2752 kW</t>
  </si>
  <si>
    <t>strm.a800.a810.812</t>
  </si>
  <si>
    <t>M-804</t>
  </si>
  <si>
    <t>Combustion Gas Baghouse</t>
  </si>
  <si>
    <t>INCLUDED WITH FGD SYSTEM</t>
  </si>
  <si>
    <t>M-811</t>
  </si>
  <si>
    <t>Turbine/Generator</t>
  </si>
  <si>
    <t>Siemens</t>
  </si>
  <si>
    <t>23.6 kW, 2 extractions</t>
  </si>
  <si>
    <t>work.wtotal</t>
  </si>
  <si>
    <t>kW</t>
  </si>
  <si>
    <t>M-820</t>
  </si>
  <si>
    <t>Hot Process Water Softener System</t>
  </si>
  <si>
    <t>Proctor Sales</t>
  </si>
  <si>
    <t>M-830</t>
  </si>
  <si>
    <t>Amine Addition Pkg.</t>
  </si>
  <si>
    <t>M-832</t>
  </si>
  <si>
    <t>Ammonia Addition Pkg</t>
  </si>
  <si>
    <t>M-834</t>
  </si>
  <si>
    <t>Phosphate Addition Pkg.</t>
  </si>
  <si>
    <t>P- 804</t>
  </si>
  <si>
    <t>Condensate Pump</t>
  </si>
  <si>
    <t>P- 811</t>
  </si>
  <si>
    <t>Turbine Condensate Pump</t>
  </si>
  <si>
    <t>P- 824</t>
  </si>
  <si>
    <t>Deaerator Feed Pump</t>
  </si>
  <si>
    <t>P- 826</t>
  </si>
  <si>
    <t>BFW Pump</t>
  </si>
  <si>
    <t>P- 828</t>
  </si>
  <si>
    <t>Blowdown Pump</t>
  </si>
  <si>
    <t>P- 830</t>
  </si>
  <si>
    <t>Amine Transfer Pump</t>
  </si>
  <si>
    <t>T- 804</t>
  </si>
  <si>
    <t>Condensate Collection Tank</t>
  </si>
  <si>
    <t>T- 824</t>
  </si>
  <si>
    <t>Condensate Surge Drum</t>
  </si>
  <si>
    <t>T- 826</t>
  </si>
  <si>
    <t>Deaerator</t>
  </si>
  <si>
    <t>Tray type</t>
  </si>
  <si>
    <t>CS;SS316</t>
  </si>
  <si>
    <t>T- 828</t>
  </si>
  <si>
    <t>Blowdown Flash Drum</t>
  </si>
  <si>
    <t>T- 830</t>
  </si>
  <si>
    <t>Amine Drum</t>
  </si>
  <si>
    <t>Area 800 Totals</t>
  </si>
  <si>
    <t>M-902</t>
  </si>
  <si>
    <t>Cooling Tower System</t>
  </si>
  <si>
    <t>Marley SPX</t>
  </si>
  <si>
    <t>44,200 gpm</t>
  </si>
  <si>
    <t>750 hp</t>
  </si>
  <si>
    <t>FIBERGLASS</t>
  </si>
  <si>
    <t>strm.a900.945</t>
  </si>
  <si>
    <t>M-904</t>
  </si>
  <si>
    <t>Plant Air Compressor</t>
  </si>
  <si>
    <t>Rogers Machinery</t>
  </si>
  <si>
    <t>400 SCFM@125 psig</t>
  </si>
  <si>
    <t>M-908</t>
  </si>
  <si>
    <t>Chilled Water Package</t>
  </si>
  <si>
    <t>Trane</t>
  </si>
  <si>
    <t>2 x 2350 tons (14.2 MM kcal/hr)</t>
  </si>
  <si>
    <t>3400 hp</t>
  </si>
  <si>
    <t>heat.a900.qchwop</t>
  </si>
  <si>
    <t>M-910</t>
  </si>
  <si>
    <t>CIP System</t>
  </si>
  <si>
    <t>100,000 GAL</t>
  </si>
  <si>
    <t>SS304/SS316</t>
  </si>
  <si>
    <t>strm.a900.914</t>
  </si>
  <si>
    <t>P- 902</t>
  </si>
  <si>
    <t>Cooling Water Pump</t>
  </si>
  <si>
    <t>16,120 GPM, 100 FT TDH SIZE 20X20-28</t>
  </si>
  <si>
    <t>P- 912</t>
  </si>
  <si>
    <t>Make-up Water Pump</t>
  </si>
  <si>
    <t>685 GPM, 75 FT TDH SIZE 6X4-13</t>
  </si>
  <si>
    <t>strm.a900.904</t>
  </si>
  <si>
    <t>P- 914</t>
  </si>
  <si>
    <t>Process Water Circulating Pump</t>
  </si>
  <si>
    <t>2285 GPM, 75 FT TDH SIZE 8X6-13</t>
  </si>
  <si>
    <t>strm.a900.905</t>
  </si>
  <si>
    <t>S- 904</t>
  </si>
  <si>
    <t>Instrument Air Dryer</t>
  </si>
  <si>
    <t>Zeks</t>
  </si>
  <si>
    <t>670 SCFM - CYCLING TYPE</t>
  </si>
  <si>
    <t>T- 904</t>
  </si>
  <si>
    <t>Plant Air Receiver</t>
  </si>
  <si>
    <t>3800 gal - 72" x 228" vertical</t>
  </si>
  <si>
    <t>T- 914</t>
  </si>
  <si>
    <t>Process Water Tank No. 1</t>
  </si>
  <si>
    <t>250,000 gal</t>
  </si>
  <si>
    <t>Area 900 Totals</t>
  </si>
  <si>
    <t>Grand Totals</t>
  </si>
  <si>
    <t>Calculated</t>
  </si>
  <si>
    <t>Check</t>
  </si>
  <si>
    <t>1100kWea.</t>
  </si>
  <si>
    <t>1100 kW ea.</t>
  </si>
  <si>
    <t>BioSTEAM</t>
  </si>
  <si>
    <t>Power (kW)</t>
  </si>
  <si>
    <t>SulfuricAcidMixer</t>
  </si>
  <si>
    <t>AmmoniaMixer</t>
  </si>
  <si>
    <t>AmmoniaAdditionTank</t>
  </si>
  <si>
    <t>WasteVaporCondenser</t>
  </si>
  <si>
    <t>PretreatmentReactorSystem</t>
  </si>
  <si>
    <t>SeedHoldTank</t>
  </si>
  <si>
    <t>EnzymeHydrolysateMixer</t>
  </si>
  <si>
    <t>SeedTrain</t>
  </si>
  <si>
    <t>SaccharificationAndCoFermentation</t>
  </si>
  <si>
    <t>CellMassFilter</t>
  </si>
  <si>
    <t>HydrolysatePump</t>
  </si>
  <si>
    <t>Equipment Number</t>
  </si>
  <si>
    <t>Number Required</t>
  </si>
  <si>
    <t>Number Spares</t>
  </si>
  <si>
    <t>Equipment Name</t>
  </si>
  <si>
    <t>Scaled On</t>
  </si>
  <si>
    <t>Size Ratio (Base/ Current)</t>
  </si>
  <si>
    <t>Original Equip Cost (per unit)</t>
  </si>
  <si>
    <t>Base Year</t>
  </si>
  <si>
    <t>Total Original Equip Cost (Req'd &amp; Spare) in Base Year</t>
  </si>
  <si>
    <t>Scaling Exponent</t>
  </si>
  <si>
    <t>Scaled Cost in Base Year</t>
  </si>
  <si>
    <t>Installation Factor</t>
  </si>
  <si>
    <t>Installed Cost in Base Year</t>
  </si>
  <si>
    <t>Installed Cost in 2000$</t>
  </si>
  <si>
    <t>A-201</t>
  </si>
  <si>
    <t>Flow</t>
  </si>
  <si>
    <t>A-205</t>
  </si>
  <si>
    <t>Hydrolyzate Mix Tank Agitator</t>
  </si>
  <si>
    <t>A-209</t>
  </si>
  <si>
    <t>Overliming Tank Agitator</t>
  </si>
  <si>
    <t>A-224</t>
  </si>
  <si>
    <t>A-232</t>
  </si>
  <si>
    <t>Reslurrying Tank Agitator</t>
  </si>
  <si>
    <t>C-201</t>
  </si>
  <si>
    <t>Hydrolyzate Screw Conveyor</t>
  </si>
  <si>
    <t>C-202</t>
  </si>
  <si>
    <t>Hydrolysate Washed Solids Belt Conveyor</t>
  </si>
  <si>
    <t>C-225</t>
  </si>
  <si>
    <t>Lime Solids Feeder</t>
  </si>
  <si>
    <t>None</t>
  </si>
  <si>
    <t>H-200</t>
  </si>
  <si>
    <t>Area</t>
  </si>
  <si>
    <t>H-201</t>
  </si>
  <si>
    <t>Beer Column Feed Economizer</t>
  </si>
  <si>
    <t>H-205</t>
  </si>
  <si>
    <t>Pneumapress Vent Condensor</t>
  </si>
  <si>
    <t>H-244</t>
  </si>
  <si>
    <t>Waste Vapor Condensor</t>
  </si>
  <si>
    <t>Prehydrolysis/Screw Feeder/Reactor</t>
  </si>
  <si>
    <t>P-201</t>
  </si>
  <si>
    <t>P-205</t>
  </si>
  <si>
    <t>Pneumapress Feed Pump</t>
  </si>
  <si>
    <t>Solids Flow</t>
  </si>
  <si>
    <t>P-209</t>
  </si>
  <si>
    <t>Overlimed Hydrolyzate Pump</t>
  </si>
  <si>
    <t>P-211</t>
  </si>
  <si>
    <t>Primary Filtrate Pump</t>
  </si>
  <si>
    <t>P-213</t>
  </si>
  <si>
    <t>Wash Filtrate Pump</t>
  </si>
  <si>
    <t>P-222</t>
  </si>
  <si>
    <t>Filtered Hydrolyzate Pump</t>
  </si>
  <si>
    <t>P-223</t>
  </si>
  <si>
    <t>Lime Unloading Blower</t>
  </si>
  <si>
    <t>P-224</t>
  </si>
  <si>
    <t>Saccharification Feed Pump</t>
  </si>
  <si>
    <t>P-239</t>
  </si>
  <si>
    <t>Reacidified Liquor Pump</t>
  </si>
  <si>
    <t>S-205</t>
  </si>
  <si>
    <t>Pneumapress Filter</t>
  </si>
  <si>
    <t>S-222</t>
  </si>
  <si>
    <t>Hydroclone &amp; Rotary Drum Filter</t>
  </si>
  <si>
    <t>S-227</t>
  </si>
  <si>
    <t>LimeDust Vent Baghouse</t>
  </si>
  <si>
    <t>T-201</t>
  </si>
  <si>
    <t>T-203</t>
  </si>
  <si>
    <t>T-205</t>
  </si>
  <si>
    <t>Hydrolyzate Mixing Tank</t>
  </si>
  <si>
    <t>T-209</t>
  </si>
  <si>
    <t>Overliming Tank</t>
  </si>
  <si>
    <t>T-211</t>
  </si>
  <si>
    <t>Primary Filtrate Tank</t>
  </si>
  <si>
    <t>T-213</t>
  </si>
  <si>
    <t>Wash Filtrate Tank</t>
  </si>
  <si>
    <t>T-220</t>
  </si>
  <si>
    <t>Lime Storage Bin</t>
  </si>
  <si>
    <t>T-224</t>
  </si>
  <si>
    <t>T-232</t>
  </si>
  <si>
    <t>Slurrying Tank</t>
  </si>
  <si>
    <t>A200</t>
  </si>
  <si>
    <t>Subtotal*</t>
  </si>
  <si>
    <t>#</t>
  </si>
  <si>
    <t>LimeStorageTank</t>
  </si>
  <si>
    <t>GypsumFilter</t>
  </si>
  <si>
    <t>BlowdownTank</t>
  </si>
  <si>
    <t>SulfuricAcidStorageTank</t>
  </si>
  <si>
    <t>AmmoniaStorageTank</t>
  </si>
  <si>
    <t>FirewaterTank</t>
  </si>
  <si>
    <t>OrganicAcidsADP</t>
  </si>
  <si>
    <t>CSLstorageTank</t>
  </si>
  <si>
    <t>Mechanical Equipment List (Humbird et al., 2011, A800)</t>
  </si>
  <si>
    <t>Mechanical Equipment List (Humbird et al., 2011, A900)</t>
  </si>
  <si>
    <t>Mechanical Equipment List (Aden et al., 2002, A200)</t>
  </si>
  <si>
    <t>Mechanical Equipment List (Humbird et al., 2011, A100)</t>
  </si>
  <si>
    <t>Mechanical Equipment List (Humbird et al., 2011, A200)</t>
  </si>
  <si>
    <t>Mechanical Equipment List (Humbird et al., 2011, A300)</t>
  </si>
  <si>
    <t>Mechanical Equipment List (Humbird et al., 2011, A400)</t>
  </si>
  <si>
    <t>Mechanical Equipment List (Humbird et al., 2011, A500)</t>
  </si>
  <si>
    <t>Mechanical Equipment List (Humbird et al., 2011, A600)</t>
  </si>
  <si>
    <t>Mechanical Equipment List (Humbird et al., 2011, A700)</t>
  </si>
  <si>
    <t>OrganicAcidsBT</t>
  </si>
  <si>
    <t>All heat recovery in PWC</t>
  </si>
  <si>
    <t>VentScrubber</t>
  </si>
  <si>
    <t>Safety Factor</t>
  </si>
  <si>
    <t>Time/Factor</t>
  </si>
  <si>
    <t>OrganicAcidsCT</t>
  </si>
  <si>
    <t>OrganicAcidsPWC</t>
  </si>
  <si>
    <t>OrganicAcidsCIP</t>
  </si>
  <si>
    <t>FeedstockPreprocessing</t>
  </si>
  <si>
    <t>AerobicDigestion</t>
  </si>
  <si>
    <t>AnaerobicDigestion</t>
  </si>
  <si>
    <t>MembraneBioreactor</t>
  </si>
  <si>
    <t>SludgeCentrifuge</t>
  </si>
  <si>
    <t>ReverseOsmosis</t>
  </si>
  <si>
    <t>EthanolStorageTank</t>
  </si>
  <si>
    <t>SulfuricAcidAdditionTank</t>
  </si>
  <si>
    <t>OligomerConversionTank</t>
  </si>
  <si>
    <t>PretreatmentFlash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</si>
</sst>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9" fontId="9" fillId="0" borderId="0" applyFont="0" applyFill="0" applyBorder="0" applyAlignment="0" applyProtection="0"/>
  </cellStyleXfs>
  <cellXfs count="104">
    <xf numFmtId="0" fontId="0" fillId="0" borderId="0" xfId="0"/>
    <xf numFmtId="6" fontId="0" fillId="0" borderId="0" xfId="0" applyNumberFormat="1"/>
    <xf numFmtId="3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4" xfId="1" applyBorder="1" applyAlignment="1">
      <alignment vertical="center"/>
    </xf>
    <xf numFmtId="6" fontId="1" fillId="2" borderId="4" xfId="1" applyNumberFormat="1" applyBorder="1" applyAlignment="1">
      <alignment vertical="center"/>
    </xf>
    <xf numFmtId="6" fontId="0" fillId="0" borderId="4" xfId="0" applyNumberFormat="1" applyBorder="1" applyAlignment="1">
      <alignment vertical="center"/>
    </xf>
    <xf numFmtId="6" fontId="0" fillId="0" borderId="5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0" xfId="1" applyBorder="1" applyAlignment="1">
      <alignment vertical="center"/>
    </xf>
    <xf numFmtId="0" fontId="0" fillId="0" borderId="10" xfId="0" applyBorder="1" applyAlignment="1">
      <alignment vertical="center"/>
    </xf>
    <xf numFmtId="6" fontId="1" fillId="2" borderId="0" xfId="1" applyNumberFormat="1" applyBorder="1" applyAlignment="1">
      <alignment vertical="center"/>
    </xf>
    <xf numFmtId="6" fontId="0" fillId="0" borderId="0" xfId="0" applyNumberFormat="1" applyBorder="1" applyAlignment="1">
      <alignment vertical="center"/>
    </xf>
    <xf numFmtId="6" fontId="0" fillId="0" borderId="10" xfId="0" applyNumberForma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6" fontId="3" fillId="0" borderId="13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6" fontId="3" fillId="0" borderId="2" xfId="0" applyNumberFormat="1" applyFont="1" applyBorder="1" applyAlignment="1">
      <alignment vertical="center"/>
    </xf>
    <xf numFmtId="0" fontId="2" fillId="3" borderId="11" xfId="2" applyBorder="1" applyAlignment="1">
      <alignment vertical="center"/>
    </xf>
    <xf numFmtId="6" fontId="2" fillId="3" borderId="11" xfId="2" applyNumberFormat="1" applyBorder="1" applyAlignment="1">
      <alignment vertical="center"/>
    </xf>
    <xf numFmtId="0" fontId="2" fillId="3" borderId="1" xfId="2" applyAlignment="1">
      <alignment vertical="center"/>
    </xf>
    <xf numFmtId="6" fontId="2" fillId="3" borderId="1" xfId="2" applyNumberForma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1" applyFont="1" applyBorder="1" applyAlignment="1">
      <alignment vertical="center"/>
    </xf>
    <xf numFmtId="6" fontId="5" fillId="2" borderId="0" xfId="1" applyNumberFormat="1" applyFont="1" applyBorder="1" applyAlignment="1">
      <alignment vertical="center"/>
    </xf>
    <xf numFmtId="6" fontId="5" fillId="0" borderId="0" xfId="0" applyNumberFormat="1" applyFont="1" applyBorder="1" applyAlignment="1">
      <alignment vertical="center"/>
    </xf>
    <xf numFmtId="6" fontId="5" fillId="0" borderId="10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6" fontId="5" fillId="0" borderId="4" xfId="0" applyNumberFormat="1" applyFont="1" applyBorder="1" applyAlignment="1">
      <alignment vertical="center"/>
    </xf>
    <xf numFmtId="6" fontId="5" fillId="0" borderId="5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6" fontId="5" fillId="0" borderId="7" xfId="0" applyNumberFormat="1" applyFont="1" applyBorder="1" applyAlignment="1">
      <alignment vertical="center"/>
    </xf>
    <xf numFmtId="6" fontId="5" fillId="0" borderId="8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6" fontId="4" fillId="0" borderId="2" xfId="0" applyNumberFormat="1" applyFont="1" applyBorder="1" applyAlignment="1">
      <alignment vertical="center"/>
    </xf>
    <xf numFmtId="0" fontId="4" fillId="3" borderId="1" xfId="2" applyFont="1" applyAlignment="1">
      <alignment vertical="center"/>
    </xf>
    <xf numFmtId="6" fontId="4" fillId="3" borderId="1" xfId="2" applyNumberFormat="1" applyFont="1" applyAlignment="1">
      <alignment vertical="center"/>
    </xf>
    <xf numFmtId="0" fontId="8" fillId="0" borderId="2" xfId="0" applyFont="1" applyBorder="1" applyAlignment="1">
      <alignment vertical="center"/>
    </xf>
    <xf numFmtId="0" fontId="5" fillId="2" borderId="7" xfId="1" applyFont="1" applyBorder="1" applyAlignment="1">
      <alignment vertical="center"/>
    </xf>
    <xf numFmtId="6" fontId="3" fillId="0" borderId="14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15" xfId="0" applyFont="1" applyBorder="1" applyAlignment="1">
      <alignment vertical="center"/>
    </xf>
    <xf numFmtId="0" fontId="0" fillId="4" borderId="0" xfId="0" applyFill="1" applyBorder="1" applyAlignment="1">
      <alignment vertical="center"/>
    </xf>
    <xf numFmtId="2" fontId="3" fillId="0" borderId="2" xfId="3" applyNumberFormat="1" applyFont="1" applyBorder="1" applyAlignment="1">
      <alignment vertical="center"/>
    </xf>
    <xf numFmtId="2" fontId="1" fillId="2" borderId="4" xfId="3" applyNumberFormat="1" applyFont="1" applyFill="1" applyBorder="1" applyAlignment="1">
      <alignment vertical="center"/>
    </xf>
    <xf numFmtId="2" fontId="1" fillId="2" borderId="0" xfId="3" applyNumberFormat="1" applyFont="1" applyFill="1" applyBorder="1" applyAlignment="1">
      <alignment vertical="center"/>
    </xf>
    <xf numFmtId="2" fontId="3" fillId="0" borderId="13" xfId="3" applyNumberFormat="1" applyFont="1" applyBorder="1" applyAlignment="1">
      <alignment vertical="center"/>
    </xf>
    <xf numFmtId="2" fontId="0" fillId="0" borderId="0" xfId="3" applyNumberFormat="1" applyFont="1" applyAlignment="1">
      <alignment vertical="center"/>
    </xf>
    <xf numFmtId="2" fontId="1" fillId="4" borderId="0" xfId="3" applyNumberFormat="1" applyFont="1" applyFill="1" applyBorder="1" applyAlignment="1">
      <alignment vertical="center"/>
    </xf>
    <xf numFmtId="2" fontId="5" fillId="2" borderId="0" xfId="3" applyNumberFormat="1" applyFont="1" applyFill="1" applyBorder="1" applyAlignment="1">
      <alignment vertical="center"/>
    </xf>
    <xf numFmtId="2" fontId="4" fillId="0" borderId="2" xfId="3" applyNumberFormat="1" applyFont="1" applyBorder="1" applyAlignment="1">
      <alignment vertical="center"/>
    </xf>
    <xf numFmtId="2" fontId="5" fillId="0" borderId="4" xfId="3" applyNumberFormat="1" applyFont="1" applyBorder="1" applyAlignment="1">
      <alignment vertical="center"/>
    </xf>
    <xf numFmtId="2" fontId="5" fillId="0" borderId="0" xfId="3" applyNumberFormat="1" applyFont="1" applyBorder="1" applyAlignment="1">
      <alignment vertical="center"/>
    </xf>
    <xf numFmtId="2" fontId="5" fillId="0" borderId="7" xfId="3" applyNumberFormat="1" applyFont="1" applyBorder="1" applyAlignment="1">
      <alignment vertical="center"/>
    </xf>
    <xf numFmtId="2" fontId="4" fillId="0" borderId="13" xfId="3" applyNumberFormat="1" applyFont="1" applyBorder="1" applyAlignment="1">
      <alignment vertical="center"/>
    </xf>
    <xf numFmtId="2" fontId="5" fillId="0" borderId="0" xfId="3" applyNumberFormat="1" applyFont="1" applyAlignment="1">
      <alignment vertical="center"/>
    </xf>
    <xf numFmtId="2" fontId="5" fillId="2" borderId="7" xfId="3" applyNumberFormat="1" applyFont="1" applyFill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1" fontId="1" fillId="2" borderId="4" xfId="1" applyNumberFormat="1" applyBorder="1" applyAlignment="1">
      <alignment vertical="center"/>
    </xf>
    <xf numFmtId="1" fontId="1" fillId="2" borderId="0" xfId="1" applyNumberFormat="1" applyBorder="1" applyAlignment="1">
      <alignment vertical="center"/>
    </xf>
    <xf numFmtId="1" fontId="3" fillId="0" borderId="13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" fontId="1" fillId="4" borderId="0" xfId="1" applyNumberFormat="1" applyFill="1" applyBorder="1" applyAlignment="1">
      <alignment vertical="center"/>
    </xf>
    <xf numFmtId="1" fontId="5" fillId="2" borderId="0" xfId="1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1" fontId="5" fillId="0" borderId="7" xfId="0" applyNumberFormat="1" applyFont="1" applyBorder="1" applyAlignment="1">
      <alignment vertical="center"/>
    </xf>
    <xf numFmtId="1" fontId="4" fillId="0" borderId="13" xfId="0" applyNumberFormat="1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1" fontId="0" fillId="0" borderId="0" xfId="0" applyNumberFormat="1" applyBorder="1" applyAlignment="1">
      <alignment vertical="center"/>
    </xf>
    <xf numFmtId="6" fontId="0" fillId="0" borderId="0" xfId="0" applyNumberFormat="1" applyAlignment="1">
      <alignment vertical="center"/>
    </xf>
    <xf numFmtId="0" fontId="5" fillId="4" borderId="0" xfId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 wrapText="1"/>
    </xf>
    <xf numFmtId="6" fontId="5" fillId="0" borderId="0" xfId="0" applyNumberFormat="1" applyFont="1" applyBorder="1" applyAlignment="1">
      <alignment horizontal="left" vertical="center"/>
    </xf>
    <xf numFmtId="6" fontId="0" fillId="0" borderId="0" xfId="0" applyNumberFormat="1" applyBorder="1" applyAlignment="1">
      <alignment horizontal="left" vertical="center"/>
    </xf>
    <xf numFmtId="6" fontId="0" fillId="0" borderId="4" xfId="0" applyNumberFormat="1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6" fontId="0" fillId="0" borderId="4" xfId="0" applyNumberFormat="1" applyBorder="1" applyAlignment="1">
      <alignment horizontal="left" vertical="center"/>
    </xf>
    <xf numFmtId="6" fontId="5" fillId="0" borderId="4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">
    <cellStyle name="Calculation" xfId="2" builtinId="22"/>
    <cellStyle name="Good" xfId="1" builtinId="26"/>
    <cellStyle name="Normal" xfId="0" builtinId="0"/>
    <cellStyle name="Percent" xfId="3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D0CD-FE17-CE42-88C5-75097B927675}">
  <dimension ref="A1:V302"/>
  <sheetViews>
    <sheetView tabSelected="1" topLeftCell="A235" zoomScale="110" zoomScaleNormal="110" workbookViewId="0">
      <pane xSplit="2" topLeftCell="D1" activePane="topRight" state="frozen"/>
      <selection activeCell="A6" sqref="A6"/>
      <selection pane="topRight" activeCell="F256" sqref="F256"/>
    </sheetView>
  </sheetViews>
  <sheetFormatPr baseColWidth="10" defaultRowHeight="16" x14ac:dyDescent="0.2"/>
  <cols>
    <col min="1" max="1" width="8.6640625" style="4" bestFit="1" customWidth="1"/>
    <col min="2" max="2" width="35.5" style="4" bestFit="1" customWidth="1"/>
    <col min="3" max="3" width="16.5" style="4" bestFit="1" customWidth="1"/>
    <col min="4" max="4" width="46.83203125" style="4" bestFit="1" customWidth="1"/>
    <col min="5" max="5" width="11.83203125" style="4" bestFit="1" customWidth="1"/>
    <col min="6" max="6" width="11.83203125" style="4" customWidth="1"/>
    <col min="7" max="7" width="18.83203125" style="4" bestFit="1" customWidth="1"/>
    <col min="8" max="8" width="10.6640625" style="4" bestFit="1" customWidth="1"/>
    <col min="9" max="9" width="11.83203125" style="4" bestFit="1" customWidth="1"/>
    <col min="10" max="10" width="31" style="4" bestFit="1" customWidth="1"/>
    <col min="11" max="11" width="12.5" style="4" bestFit="1" customWidth="1"/>
    <col min="12" max="12" width="20" style="4" bestFit="1" customWidth="1"/>
    <col min="13" max="13" width="10.5" style="79" bestFit="1" customWidth="1"/>
    <col min="14" max="14" width="5.5" style="4" bestFit="1" customWidth="1"/>
    <col min="15" max="15" width="10.33203125" style="4" bestFit="1" customWidth="1"/>
    <col min="16" max="16" width="12.1640625" style="65" bestFit="1" customWidth="1"/>
    <col min="17" max="17" width="9.83203125" style="4" bestFit="1" customWidth="1"/>
    <col min="18" max="18" width="8.1640625" style="4" bestFit="1" customWidth="1"/>
    <col min="19" max="19" width="14" style="4" bestFit="1" customWidth="1"/>
    <col min="20" max="20" width="15.5" style="4" bestFit="1" customWidth="1"/>
    <col min="21" max="21" width="19.5" style="4" bestFit="1" customWidth="1"/>
    <col min="22" max="22" width="18" style="4" bestFit="1" customWidth="1"/>
    <col min="23" max="16384" width="10.83203125" style="4"/>
  </cols>
  <sheetData>
    <row r="1" spans="1:22" x14ac:dyDescent="0.2">
      <c r="A1" s="91" t="s">
        <v>845</v>
      </c>
      <c r="B1" s="91"/>
      <c r="C1" s="91"/>
      <c r="D1" s="91"/>
      <c r="E1" s="91"/>
      <c r="F1" s="91"/>
      <c r="G1" s="91"/>
      <c r="H1" s="91"/>
      <c r="I1" s="91"/>
      <c r="J1" s="3"/>
      <c r="K1" s="91" t="s">
        <v>1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741</v>
      </c>
      <c r="G2" s="5" t="s">
        <v>7</v>
      </c>
      <c r="H2" s="5" t="s">
        <v>8</v>
      </c>
      <c r="I2" s="5" t="s">
        <v>9</v>
      </c>
      <c r="J2" s="5" t="s">
        <v>740</v>
      </c>
      <c r="K2" s="5" t="s">
        <v>10</v>
      </c>
      <c r="L2" s="5" t="s">
        <v>11</v>
      </c>
      <c r="M2" s="75" t="s">
        <v>12</v>
      </c>
      <c r="N2" s="5" t="s">
        <v>13</v>
      </c>
      <c r="O2" s="5" t="s">
        <v>14</v>
      </c>
      <c r="P2" s="61" t="s">
        <v>855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</row>
    <row r="3" spans="1:22" x14ac:dyDescent="0.2">
      <c r="A3" s="12" t="s">
        <v>57</v>
      </c>
      <c r="B3" s="13" t="s">
        <v>58</v>
      </c>
      <c r="C3" s="13" t="s">
        <v>59</v>
      </c>
      <c r="D3" s="13" t="s">
        <v>60</v>
      </c>
      <c r="F3" s="14"/>
      <c r="G3" s="13" t="s">
        <v>61</v>
      </c>
      <c r="H3" s="13">
        <v>2</v>
      </c>
      <c r="I3" s="16">
        <v>110000</v>
      </c>
      <c r="J3" s="95" t="s">
        <v>860</v>
      </c>
      <c r="K3" s="14">
        <v>2009</v>
      </c>
      <c r="L3" s="13" t="s">
        <v>27</v>
      </c>
      <c r="M3" s="77">
        <v>94697</v>
      </c>
      <c r="N3" s="14" t="s">
        <v>28</v>
      </c>
      <c r="O3" s="14">
        <v>0.6</v>
      </c>
      <c r="P3" s="63"/>
      <c r="Q3" s="14">
        <v>1.7</v>
      </c>
      <c r="R3" s="13">
        <v>104167</v>
      </c>
      <c r="S3" s="13">
        <v>1.1000000000000001</v>
      </c>
      <c r="T3" s="17">
        <v>116474</v>
      </c>
      <c r="U3" s="17">
        <v>117255</v>
      </c>
      <c r="V3" s="18">
        <v>199333</v>
      </c>
    </row>
    <row r="4" spans="1:22" s="13" customFormat="1" x14ac:dyDescent="0.2">
      <c r="A4" s="12" t="s">
        <v>62</v>
      </c>
      <c r="B4" s="13" t="s">
        <v>63</v>
      </c>
      <c r="C4" s="13" t="s">
        <v>64</v>
      </c>
      <c r="D4" s="13" t="s">
        <v>65</v>
      </c>
      <c r="E4" s="13" t="s">
        <v>66</v>
      </c>
      <c r="F4" s="14">
        <f>50*H4*0.7457</f>
        <v>74.570000000000007</v>
      </c>
      <c r="G4" s="13" t="s">
        <v>26</v>
      </c>
      <c r="H4" s="13">
        <v>2</v>
      </c>
      <c r="I4" s="16">
        <v>484000</v>
      </c>
      <c r="J4" s="96"/>
      <c r="K4" s="14">
        <v>2009</v>
      </c>
      <c r="L4" s="13" t="s">
        <v>27</v>
      </c>
      <c r="M4" s="77">
        <v>94697</v>
      </c>
      <c r="N4" s="14" t="s">
        <v>28</v>
      </c>
      <c r="O4" s="14">
        <v>0.6</v>
      </c>
      <c r="P4" s="63"/>
      <c r="Q4" s="14">
        <v>1.7</v>
      </c>
      <c r="R4" s="13">
        <v>104167</v>
      </c>
      <c r="S4" s="13">
        <v>1.1000000000000001</v>
      </c>
      <c r="T4" s="17">
        <v>512485</v>
      </c>
      <c r="U4" s="17">
        <v>515922</v>
      </c>
      <c r="V4" s="18">
        <v>877067</v>
      </c>
    </row>
    <row r="5" spans="1:22" s="13" customFormat="1" x14ac:dyDescent="0.2">
      <c r="A5" s="12" t="s">
        <v>67</v>
      </c>
      <c r="B5" s="13" t="s">
        <v>68</v>
      </c>
      <c r="C5" s="13" t="s">
        <v>64</v>
      </c>
      <c r="D5" s="13" t="s">
        <v>69</v>
      </c>
      <c r="E5" s="13" t="s">
        <v>32</v>
      </c>
      <c r="F5" s="14">
        <f>50*H5*0.7457</f>
        <v>74.570000000000007</v>
      </c>
      <c r="G5" s="13" t="s">
        <v>26</v>
      </c>
      <c r="H5" s="13">
        <v>2</v>
      </c>
      <c r="I5" s="16">
        <v>502000</v>
      </c>
      <c r="J5" s="96"/>
      <c r="K5" s="14">
        <v>2009</v>
      </c>
      <c r="L5" s="13" t="s">
        <v>27</v>
      </c>
      <c r="M5" s="77">
        <v>94697</v>
      </c>
      <c r="N5" s="14" t="s">
        <v>28</v>
      </c>
      <c r="O5" s="14">
        <v>0.6</v>
      </c>
      <c r="P5" s="63"/>
      <c r="Q5" s="14">
        <v>1.7</v>
      </c>
      <c r="R5" s="13">
        <v>104167</v>
      </c>
      <c r="S5" s="13">
        <v>1.1000000000000001</v>
      </c>
      <c r="T5" s="17">
        <v>531544</v>
      </c>
      <c r="U5" s="17">
        <v>535109</v>
      </c>
      <c r="V5" s="18">
        <v>909685</v>
      </c>
    </row>
    <row r="6" spans="1:22" s="13" customFormat="1" x14ac:dyDescent="0.2">
      <c r="A6" s="12" t="s">
        <v>21</v>
      </c>
      <c r="B6" s="13" t="s">
        <v>22</v>
      </c>
      <c r="C6" s="13" t="s">
        <v>23</v>
      </c>
      <c r="D6" s="13" t="s">
        <v>24</v>
      </c>
      <c r="E6" s="13" t="s">
        <v>25</v>
      </c>
      <c r="F6" s="14">
        <f>20*H6*0.7457</f>
        <v>29.828000000000003</v>
      </c>
      <c r="G6" s="13" t="s">
        <v>26</v>
      </c>
      <c r="H6" s="13">
        <v>2</v>
      </c>
      <c r="I6" s="16">
        <v>5397000</v>
      </c>
      <c r="J6" s="96"/>
      <c r="K6" s="14">
        <v>2009</v>
      </c>
      <c r="L6" s="13" t="s">
        <v>27</v>
      </c>
      <c r="M6" s="77">
        <v>94697</v>
      </c>
      <c r="N6" s="14" t="s">
        <v>28</v>
      </c>
      <c r="O6" s="14">
        <v>0.6</v>
      </c>
      <c r="P6" s="63"/>
      <c r="Q6" s="14">
        <v>1.7</v>
      </c>
      <c r="R6" s="13">
        <v>104167</v>
      </c>
      <c r="S6" s="13">
        <v>1.1000000000000001</v>
      </c>
      <c r="T6" s="17">
        <v>5714628</v>
      </c>
      <c r="U6" s="17">
        <v>5752952</v>
      </c>
      <c r="V6" s="18">
        <v>9780018</v>
      </c>
    </row>
    <row r="7" spans="1:22" s="13" customFormat="1" x14ac:dyDescent="0.2">
      <c r="A7" s="12" t="s">
        <v>78</v>
      </c>
      <c r="B7" s="13" t="s">
        <v>79</v>
      </c>
      <c r="C7" s="13" t="s">
        <v>80</v>
      </c>
      <c r="D7" s="13" t="s">
        <v>81</v>
      </c>
      <c r="E7" s="13" t="s">
        <v>82</v>
      </c>
      <c r="F7" s="14">
        <f>25*H7*0.7457</f>
        <v>111.855</v>
      </c>
      <c r="G7" s="13" t="s">
        <v>26</v>
      </c>
      <c r="H7" s="13">
        <v>6</v>
      </c>
      <c r="I7" s="16">
        <v>279900</v>
      </c>
      <c r="J7" s="96"/>
      <c r="K7" s="14">
        <v>2009</v>
      </c>
      <c r="L7" s="13" t="s">
        <v>27</v>
      </c>
      <c r="M7" s="77">
        <v>94697</v>
      </c>
      <c r="N7" s="14" t="s">
        <v>28</v>
      </c>
      <c r="O7" s="14">
        <v>0.6</v>
      </c>
      <c r="P7" s="63"/>
      <c r="Q7" s="14">
        <v>1.7</v>
      </c>
      <c r="R7" s="13">
        <v>104167</v>
      </c>
      <c r="S7" s="13">
        <v>1.1000000000000001</v>
      </c>
      <c r="T7" s="17">
        <v>296373</v>
      </c>
      <c r="U7" s="17">
        <v>298360</v>
      </c>
      <c r="V7" s="18">
        <v>507213</v>
      </c>
    </row>
    <row r="8" spans="1:22" s="13" customFormat="1" x14ac:dyDescent="0.2">
      <c r="A8" s="12" t="s">
        <v>29</v>
      </c>
      <c r="B8" s="13" t="s">
        <v>30</v>
      </c>
      <c r="C8" s="13" t="s">
        <v>23</v>
      </c>
      <c r="D8" s="13" t="s">
        <v>31</v>
      </c>
      <c r="E8" s="13" t="s">
        <v>32</v>
      </c>
      <c r="F8" s="14">
        <f>50*H8*0.7457</f>
        <v>74.570000000000007</v>
      </c>
      <c r="G8" s="13" t="s">
        <v>26</v>
      </c>
      <c r="H8" s="13">
        <v>2</v>
      </c>
      <c r="I8" s="14" t="s">
        <v>33</v>
      </c>
      <c r="J8" s="96"/>
      <c r="K8" s="14"/>
      <c r="M8" s="77"/>
      <c r="N8" s="14"/>
      <c r="O8" s="14"/>
      <c r="P8" s="63"/>
      <c r="Q8" s="14"/>
      <c r="V8" s="15"/>
    </row>
    <row r="9" spans="1:22" x14ac:dyDescent="0.2">
      <c r="A9" s="12" t="s">
        <v>34</v>
      </c>
      <c r="B9" s="13" t="s">
        <v>35</v>
      </c>
      <c r="C9" s="13" t="s">
        <v>23</v>
      </c>
      <c r="D9" s="13" t="s">
        <v>36</v>
      </c>
      <c r="E9" s="4" t="s">
        <v>37</v>
      </c>
      <c r="F9" s="14">
        <f>20*H9*0.7457</f>
        <v>14.914000000000001</v>
      </c>
      <c r="G9" s="13" t="s">
        <v>26</v>
      </c>
      <c r="H9" s="13">
        <v>1</v>
      </c>
      <c r="I9" s="14" t="s">
        <v>33</v>
      </c>
      <c r="J9" s="96"/>
      <c r="K9" s="14"/>
      <c r="L9" s="13"/>
      <c r="M9" s="77"/>
      <c r="N9" s="14"/>
      <c r="O9" s="14"/>
      <c r="P9" s="63"/>
      <c r="Q9" s="14"/>
      <c r="R9" s="13"/>
      <c r="S9" s="13"/>
      <c r="T9" s="13"/>
      <c r="U9" s="13"/>
      <c r="V9" s="15"/>
    </row>
    <row r="10" spans="1:22" x14ac:dyDescent="0.2">
      <c r="A10" s="12" t="s">
        <v>70</v>
      </c>
      <c r="B10" s="13" t="s">
        <v>71</v>
      </c>
      <c r="C10" s="13" t="s">
        <v>72</v>
      </c>
      <c r="D10" s="13" t="s">
        <v>73</v>
      </c>
      <c r="F10" s="14"/>
      <c r="G10" s="13" t="s">
        <v>61</v>
      </c>
      <c r="H10" s="13">
        <v>2</v>
      </c>
      <c r="I10" s="16">
        <v>3500000</v>
      </c>
      <c r="J10" s="96"/>
      <c r="K10" s="14">
        <v>2009</v>
      </c>
      <c r="L10" s="13" t="s">
        <v>27</v>
      </c>
      <c r="M10" s="77">
        <v>94697</v>
      </c>
      <c r="N10" s="14" t="s">
        <v>28</v>
      </c>
      <c r="O10" s="14">
        <v>0.6</v>
      </c>
      <c r="P10" s="63"/>
      <c r="Q10" s="14">
        <v>1.7</v>
      </c>
      <c r="R10" s="13">
        <v>104167</v>
      </c>
      <c r="S10" s="13">
        <v>1.1000000000000001</v>
      </c>
      <c r="T10" s="17">
        <v>3705984</v>
      </c>
      <c r="U10" s="17">
        <v>3730838</v>
      </c>
      <c r="V10" s="18">
        <v>6342424</v>
      </c>
    </row>
    <row r="11" spans="1:22" x14ac:dyDescent="0.2">
      <c r="A11" s="12" t="s">
        <v>38</v>
      </c>
      <c r="B11" s="13" t="s">
        <v>39</v>
      </c>
      <c r="C11" s="13" t="s">
        <v>40</v>
      </c>
      <c r="D11" s="13" t="s">
        <v>41</v>
      </c>
      <c r="E11" s="4" t="s">
        <v>42</v>
      </c>
      <c r="F11" s="14">
        <f>45*H11</f>
        <v>90</v>
      </c>
      <c r="G11" s="13" t="s">
        <v>26</v>
      </c>
      <c r="H11" s="13">
        <v>2</v>
      </c>
      <c r="I11" s="16">
        <v>3046000</v>
      </c>
      <c r="J11" s="96"/>
      <c r="K11" s="14">
        <v>2009</v>
      </c>
      <c r="L11" s="13" t="s">
        <v>27</v>
      </c>
      <c r="M11" s="77">
        <v>94697</v>
      </c>
      <c r="N11" s="14" t="s">
        <v>28</v>
      </c>
      <c r="O11" s="14">
        <v>0.6</v>
      </c>
      <c r="P11" s="63"/>
      <c r="Q11" s="14">
        <v>1.7</v>
      </c>
      <c r="R11" s="13">
        <v>104167</v>
      </c>
      <c r="S11" s="13">
        <v>1.1000000000000001</v>
      </c>
      <c r="T11" s="17">
        <v>3225265</v>
      </c>
      <c r="U11" s="17">
        <v>3246895</v>
      </c>
      <c r="V11" s="18">
        <v>5519721</v>
      </c>
    </row>
    <row r="12" spans="1:22" x14ac:dyDescent="0.2">
      <c r="A12" s="12" t="s">
        <v>43</v>
      </c>
      <c r="B12" s="13" t="s">
        <v>44</v>
      </c>
      <c r="C12" s="13" t="s">
        <v>23</v>
      </c>
      <c r="D12" s="13" t="s">
        <v>45</v>
      </c>
      <c r="E12" s="4" t="s">
        <v>46</v>
      </c>
      <c r="F12" s="14">
        <f>10*H12*0.7457</f>
        <v>14.914000000000001</v>
      </c>
      <c r="G12" s="13" t="s">
        <v>26</v>
      </c>
      <c r="H12" s="13">
        <v>2</v>
      </c>
      <c r="I12" s="14" t="s">
        <v>33</v>
      </c>
      <c r="J12" s="96"/>
      <c r="K12" s="14"/>
      <c r="L12" s="13"/>
      <c r="M12" s="77"/>
      <c r="N12" s="14"/>
      <c r="O12" s="14"/>
      <c r="P12" s="63"/>
      <c r="Q12" s="14"/>
      <c r="R12" s="13"/>
      <c r="S12" s="13"/>
      <c r="T12" s="13"/>
      <c r="U12" s="13"/>
      <c r="V12" s="15"/>
    </row>
    <row r="13" spans="1:22" x14ac:dyDescent="0.2">
      <c r="A13" s="12" t="s">
        <v>74</v>
      </c>
      <c r="B13" s="13" t="s">
        <v>75</v>
      </c>
      <c r="C13" s="13" t="s">
        <v>76</v>
      </c>
      <c r="D13" s="13" t="s">
        <v>77</v>
      </c>
      <c r="F13" s="14"/>
      <c r="G13" s="13" t="s">
        <v>26</v>
      </c>
      <c r="H13" s="13">
        <v>2</v>
      </c>
      <c r="I13" s="16">
        <v>10790</v>
      </c>
      <c r="J13" s="96"/>
      <c r="K13" s="14">
        <v>2009</v>
      </c>
      <c r="L13" s="13" t="s">
        <v>27</v>
      </c>
      <c r="M13" s="77">
        <v>94697</v>
      </c>
      <c r="N13" s="14" t="s">
        <v>28</v>
      </c>
      <c r="O13" s="14">
        <v>0.6</v>
      </c>
      <c r="P13" s="63"/>
      <c r="Q13" s="14">
        <v>1.7</v>
      </c>
      <c r="R13" s="13">
        <v>104167</v>
      </c>
      <c r="S13" s="13">
        <v>1.1000000000000001</v>
      </c>
      <c r="T13" s="17">
        <v>11425</v>
      </c>
      <c r="U13" s="17">
        <v>11502</v>
      </c>
      <c r="V13" s="18">
        <v>19553</v>
      </c>
    </row>
    <row r="14" spans="1:22" x14ac:dyDescent="0.2">
      <c r="A14" s="12" t="s">
        <v>47</v>
      </c>
      <c r="B14" s="13" t="s">
        <v>30</v>
      </c>
      <c r="C14" s="13" t="s">
        <v>23</v>
      </c>
      <c r="D14" s="13" t="s">
        <v>48</v>
      </c>
      <c r="E14" s="4" t="s">
        <v>37</v>
      </c>
      <c r="F14" s="14">
        <f>20*H14*0.7457</f>
        <v>14.914000000000001</v>
      </c>
      <c r="G14" s="13" t="s">
        <v>26</v>
      </c>
      <c r="H14" s="13">
        <v>1</v>
      </c>
      <c r="I14" s="14" t="s">
        <v>33</v>
      </c>
      <c r="J14" s="96"/>
      <c r="K14" s="14"/>
      <c r="L14" s="13"/>
      <c r="M14" s="77"/>
      <c r="N14" s="14"/>
      <c r="O14" s="14"/>
      <c r="P14" s="63"/>
      <c r="Q14" s="14"/>
      <c r="R14" s="13"/>
      <c r="S14" s="13"/>
      <c r="T14" s="13"/>
      <c r="U14" s="13"/>
      <c r="V14" s="15"/>
    </row>
    <row r="15" spans="1:22" x14ac:dyDescent="0.2">
      <c r="A15" s="12" t="s">
        <v>49</v>
      </c>
      <c r="B15" s="13" t="s">
        <v>50</v>
      </c>
      <c r="C15" s="13" t="s">
        <v>23</v>
      </c>
      <c r="D15" s="13" t="s">
        <v>51</v>
      </c>
      <c r="E15" s="4" t="s">
        <v>52</v>
      </c>
      <c r="F15" s="14">
        <f>10*H15*0.7457</f>
        <v>7.4570000000000007</v>
      </c>
      <c r="G15" s="13" t="s">
        <v>26</v>
      </c>
      <c r="H15" s="13">
        <v>1</v>
      </c>
      <c r="I15" s="14" t="s">
        <v>33</v>
      </c>
      <c r="J15" s="96"/>
      <c r="K15" s="14"/>
      <c r="L15" s="13"/>
      <c r="M15" s="77"/>
      <c r="N15" s="14"/>
      <c r="O15" s="14"/>
      <c r="P15" s="63"/>
      <c r="Q15" s="14"/>
      <c r="R15" s="13"/>
      <c r="S15" s="13"/>
      <c r="T15" s="13"/>
      <c r="U15" s="13"/>
      <c r="V15" s="15"/>
    </row>
    <row r="16" spans="1:22" x14ac:dyDescent="0.2">
      <c r="A16" s="12" t="s">
        <v>53</v>
      </c>
      <c r="B16" s="13" t="s">
        <v>54</v>
      </c>
      <c r="C16" s="13" t="s">
        <v>23</v>
      </c>
      <c r="D16" s="13" t="s">
        <v>55</v>
      </c>
      <c r="E16" s="4" t="s">
        <v>56</v>
      </c>
      <c r="F16" s="14">
        <f>5*H16*0.7457</f>
        <v>3.7285000000000004</v>
      </c>
      <c r="G16" s="13" t="s">
        <v>26</v>
      </c>
      <c r="H16" s="13">
        <v>1</v>
      </c>
      <c r="I16" s="14" t="s">
        <v>33</v>
      </c>
      <c r="J16" s="97"/>
      <c r="K16" s="14"/>
      <c r="L16" s="13"/>
      <c r="M16" s="77"/>
      <c r="N16" s="14"/>
      <c r="O16" s="14"/>
      <c r="P16" s="63"/>
      <c r="Q16" s="14"/>
      <c r="R16" s="13"/>
      <c r="S16" s="13"/>
      <c r="T16" s="13"/>
      <c r="U16" s="13"/>
      <c r="V16" s="15"/>
    </row>
    <row r="17" spans="1:22" x14ac:dyDescent="0.2">
      <c r="A17" s="19"/>
      <c r="B17" s="20"/>
      <c r="C17" s="20"/>
      <c r="D17" s="20"/>
      <c r="E17" s="20"/>
      <c r="F17" s="20">
        <f>SUM(F6:F16)</f>
        <v>362.18049999999994</v>
      </c>
      <c r="G17" s="20"/>
      <c r="H17" s="20"/>
      <c r="I17" s="21">
        <f>SUM(I6:I16)</f>
        <v>12233690</v>
      </c>
      <c r="J17" s="20"/>
      <c r="K17" s="20"/>
      <c r="L17" s="20"/>
      <c r="M17" s="78"/>
      <c r="N17" s="20"/>
      <c r="O17" s="20"/>
      <c r="P17" s="64"/>
      <c r="Q17" s="20"/>
      <c r="R17" s="22"/>
      <c r="S17" s="5" t="s">
        <v>83</v>
      </c>
      <c r="T17" s="23">
        <v>14114178</v>
      </c>
      <c r="U17" s="23">
        <v>14208831</v>
      </c>
      <c r="V17" s="23">
        <v>24155013</v>
      </c>
    </row>
    <row r="18" spans="1:22" x14ac:dyDescent="0.2">
      <c r="S18" s="24" t="s">
        <v>736</v>
      </c>
      <c r="T18" s="25">
        <f>SUM(T3:T16)</f>
        <v>14114178</v>
      </c>
      <c r="U18" s="25">
        <f t="shared" ref="U18:V18" si="0">SUM(U3:U16)</f>
        <v>14208833</v>
      </c>
      <c r="V18" s="25">
        <f t="shared" si="0"/>
        <v>24155014</v>
      </c>
    </row>
    <row r="19" spans="1:22" x14ac:dyDescent="0.2">
      <c r="S19" s="26" t="s">
        <v>737</v>
      </c>
      <c r="T19" s="27">
        <f>T17-T18</f>
        <v>0</v>
      </c>
      <c r="U19" s="27">
        <f t="shared" ref="U19:V19" si="1">U17-U18</f>
        <v>-2</v>
      </c>
      <c r="V19" s="27">
        <f t="shared" si="1"/>
        <v>-1</v>
      </c>
    </row>
    <row r="21" spans="1:22" x14ac:dyDescent="0.2">
      <c r="A21" s="91" t="s">
        <v>846</v>
      </c>
      <c r="B21" s="91"/>
      <c r="C21" s="91"/>
      <c r="D21" s="91"/>
      <c r="E21" s="91"/>
      <c r="F21" s="91"/>
      <c r="G21" s="91"/>
      <c r="H21" s="91"/>
      <c r="I21" s="91"/>
      <c r="J21" s="5" t="s">
        <v>740</v>
      </c>
      <c r="K21" s="91" t="s">
        <v>1</v>
      </c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 x14ac:dyDescent="0.2">
      <c r="A22" s="5" t="s">
        <v>2</v>
      </c>
      <c r="B22" s="5" t="s">
        <v>3</v>
      </c>
      <c r="C22" s="5" t="s">
        <v>4</v>
      </c>
      <c r="D22" s="5" t="s">
        <v>5</v>
      </c>
      <c r="E22" s="5" t="s">
        <v>6</v>
      </c>
      <c r="F22" s="5" t="s">
        <v>741</v>
      </c>
      <c r="G22" s="5" t="s">
        <v>7</v>
      </c>
      <c r="H22" s="5" t="s">
        <v>8</v>
      </c>
      <c r="I22" s="5" t="s">
        <v>9</v>
      </c>
      <c r="J22" s="5"/>
      <c r="K22" s="5" t="s">
        <v>10</v>
      </c>
      <c r="L22" s="5" t="s">
        <v>11</v>
      </c>
      <c r="M22" s="75" t="s">
        <v>12</v>
      </c>
      <c r="N22" s="5" t="s">
        <v>13</v>
      </c>
      <c r="O22" s="5" t="s">
        <v>14</v>
      </c>
      <c r="P22" s="61" t="s">
        <v>855</v>
      </c>
      <c r="Q22" s="5" t="s">
        <v>15</v>
      </c>
      <c r="R22" s="5" t="s">
        <v>16</v>
      </c>
      <c r="S22" s="5" t="s">
        <v>17</v>
      </c>
      <c r="T22" s="5" t="s">
        <v>18</v>
      </c>
      <c r="U22" s="5" t="s">
        <v>19</v>
      </c>
      <c r="V22" s="5" t="s">
        <v>20</v>
      </c>
    </row>
    <row r="23" spans="1:22" x14ac:dyDescent="0.2">
      <c r="A23" s="12" t="s">
        <v>198</v>
      </c>
      <c r="B23" s="13" t="s">
        <v>199</v>
      </c>
      <c r="C23" s="13"/>
      <c r="D23" s="13" t="s">
        <v>200</v>
      </c>
      <c r="F23" s="14"/>
      <c r="G23" s="13" t="s">
        <v>201</v>
      </c>
      <c r="H23" s="13">
        <v>1</v>
      </c>
      <c r="I23" s="16">
        <v>6210</v>
      </c>
      <c r="J23" s="94" t="s">
        <v>867</v>
      </c>
      <c r="K23" s="14">
        <v>2010</v>
      </c>
      <c r="L23" s="13" t="s">
        <v>177</v>
      </c>
      <c r="M23" s="77">
        <v>1981</v>
      </c>
      <c r="N23" s="14" t="s">
        <v>28</v>
      </c>
      <c r="O23" s="14">
        <v>0.7</v>
      </c>
      <c r="P23" s="63">
        <f>M23/H23/3.785*24/12800</f>
        <v>0.98134081902245696</v>
      </c>
      <c r="Q23" s="14">
        <v>3</v>
      </c>
      <c r="R23" s="13">
        <v>1981</v>
      </c>
      <c r="S23" s="13">
        <v>1</v>
      </c>
      <c r="T23" s="17">
        <v>6209</v>
      </c>
      <c r="U23" s="17">
        <v>5937</v>
      </c>
      <c r="V23" s="18">
        <v>17810</v>
      </c>
    </row>
    <row r="24" spans="1:22" x14ac:dyDescent="0.2">
      <c r="A24" s="12" t="s">
        <v>172</v>
      </c>
      <c r="B24" s="13" t="s">
        <v>173</v>
      </c>
      <c r="C24" s="13" t="s">
        <v>174</v>
      </c>
      <c r="D24" s="13" t="s">
        <v>175</v>
      </c>
      <c r="F24" s="14"/>
      <c r="G24" s="13" t="s">
        <v>176</v>
      </c>
      <c r="H24" s="13">
        <v>1</v>
      </c>
      <c r="I24" s="16">
        <v>8000</v>
      </c>
      <c r="J24" s="94"/>
      <c r="K24" s="14">
        <v>2009</v>
      </c>
      <c r="L24" s="13" t="s">
        <v>177</v>
      </c>
      <c r="M24" s="77">
        <v>3720</v>
      </c>
      <c r="N24" s="14" t="s">
        <v>28</v>
      </c>
      <c r="O24" s="14">
        <v>0.8</v>
      </c>
      <c r="P24" s="63">
        <f>M24/H24/60/3.785/9</f>
        <v>1.8200499045941581</v>
      </c>
      <c r="Q24" s="14">
        <v>2.2999999999999998</v>
      </c>
      <c r="R24" s="13">
        <v>1981</v>
      </c>
      <c r="S24" s="13">
        <v>0.53</v>
      </c>
      <c r="T24" s="17">
        <v>4832</v>
      </c>
      <c r="U24" s="17">
        <v>4864</v>
      </c>
      <c r="V24" s="18">
        <v>11187</v>
      </c>
    </row>
    <row r="25" spans="1:22" s="13" customFormat="1" x14ac:dyDescent="0.2">
      <c r="A25" s="12" t="s">
        <v>84</v>
      </c>
      <c r="B25" s="13" t="s">
        <v>85</v>
      </c>
      <c r="C25" s="13" t="s">
        <v>86</v>
      </c>
      <c r="D25" s="13" t="s">
        <v>87</v>
      </c>
      <c r="F25" s="14"/>
      <c r="G25" s="13" t="s">
        <v>88</v>
      </c>
      <c r="H25" s="13">
        <v>1</v>
      </c>
      <c r="I25" s="16">
        <v>6000</v>
      </c>
      <c r="J25" s="17" t="s">
        <v>742</v>
      </c>
      <c r="K25" s="14">
        <v>2009</v>
      </c>
      <c r="L25" s="13" t="s">
        <v>89</v>
      </c>
      <c r="M25" s="77">
        <v>136260</v>
      </c>
      <c r="N25" s="14" t="s">
        <v>28</v>
      </c>
      <c r="O25" s="14">
        <v>0.5</v>
      </c>
      <c r="P25" s="63">
        <f>M25/H25/3.785/60/600</f>
        <v>1</v>
      </c>
      <c r="Q25" s="14">
        <v>1</v>
      </c>
      <c r="R25" s="13">
        <v>38801</v>
      </c>
      <c r="S25" s="13">
        <v>0.28000000000000003</v>
      </c>
      <c r="T25" s="17">
        <v>3202</v>
      </c>
      <c r="U25" s="17">
        <v>3223</v>
      </c>
      <c r="V25" s="18">
        <v>3223</v>
      </c>
    </row>
    <row r="26" spans="1:22" x14ac:dyDescent="0.2">
      <c r="A26" s="12" t="s">
        <v>168</v>
      </c>
      <c r="B26" s="13" t="s">
        <v>169</v>
      </c>
      <c r="C26" s="13" t="s">
        <v>92</v>
      </c>
      <c r="D26" s="60" t="s">
        <v>170</v>
      </c>
      <c r="F26" s="14"/>
      <c r="G26" s="13" t="s">
        <v>134</v>
      </c>
      <c r="H26" s="13">
        <v>3</v>
      </c>
      <c r="I26" s="16">
        <v>19812400</v>
      </c>
      <c r="J26" s="94" t="s">
        <v>746</v>
      </c>
      <c r="K26" s="14">
        <v>2009</v>
      </c>
      <c r="L26" s="13" t="s">
        <v>171</v>
      </c>
      <c r="M26" s="77">
        <v>83333</v>
      </c>
      <c r="N26" s="14" t="s">
        <v>28</v>
      </c>
      <c r="O26" s="14">
        <v>0.6</v>
      </c>
      <c r="P26" s="66">
        <f>M26/H26*2/60/(PI()/4*26^2*90)/(14.8%+12%)</f>
        <v>7.2303717401797238E-2</v>
      </c>
      <c r="Q26" s="14">
        <v>1.5</v>
      </c>
      <c r="R26" s="13">
        <v>83333</v>
      </c>
      <c r="S26" s="13">
        <v>1</v>
      </c>
      <c r="T26" s="17">
        <v>19812448</v>
      </c>
      <c r="U26" s="17">
        <v>19945315</v>
      </c>
      <c r="V26" s="18">
        <v>29917973</v>
      </c>
    </row>
    <row r="27" spans="1:22" x14ac:dyDescent="0.2">
      <c r="A27" s="12" t="s">
        <v>150</v>
      </c>
      <c r="B27" s="13" t="s">
        <v>151</v>
      </c>
      <c r="C27" s="13" t="s">
        <v>92</v>
      </c>
      <c r="D27" s="13" t="s">
        <v>152</v>
      </c>
      <c r="E27" s="4" t="s">
        <v>116</v>
      </c>
      <c r="F27" s="14">
        <f>40*H27</f>
        <v>80</v>
      </c>
      <c r="G27" s="13" t="s">
        <v>153</v>
      </c>
      <c r="H27" s="13">
        <v>2</v>
      </c>
      <c r="I27" s="14" t="s">
        <v>33</v>
      </c>
      <c r="J27" s="94"/>
      <c r="K27" s="14"/>
      <c r="L27" s="13"/>
      <c r="M27" s="77"/>
      <c r="N27" s="14"/>
      <c r="O27" s="14"/>
      <c r="P27" s="63"/>
      <c r="Q27" s="14"/>
      <c r="R27" s="13"/>
      <c r="S27" s="13"/>
      <c r="T27" s="13"/>
      <c r="U27" s="13"/>
      <c r="V27" s="15"/>
    </row>
    <row r="28" spans="1:22" x14ac:dyDescent="0.2">
      <c r="A28" s="12" t="s">
        <v>154</v>
      </c>
      <c r="B28" s="13" t="s">
        <v>155</v>
      </c>
      <c r="C28" s="13" t="s">
        <v>92</v>
      </c>
      <c r="D28" s="13"/>
      <c r="E28" s="4" t="s">
        <v>156</v>
      </c>
      <c r="F28" s="14">
        <f>15*H28</f>
        <v>30</v>
      </c>
      <c r="G28" s="13" t="s">
        <v>95</v>
      </c>
      <c r="H28" s="13">
        <v>2</v>
      </c>
      <c r="I28" s="14" t="s">
        <v>33</v>
      </c>
      <c r="J28" s="94"/>
      <c r="K28" s="14"/>
      <c r="L28" s="13"/>
      <c r="M28" s="77"/>
      <c r="N28" s="14"/>
      <c r="O28" s="14"/>
      <c r="P28" s="63"/>
      <c r="Q28" s="14"/>
      <c r="R28" s="13"/>
      <c r="S28" s="13"/>
      <c r="T28" s="13"/>
      <c r="U28" s="13"/>
      <c r="V28" s="15"/>
    </row>
    <row r="29" spans="1:22" x14ac:dyDescent="0.2">
      <c r="A29" s="12" t="s">
        <v>157</v>
      </c>
      <c r="B29" s="13" t="s">
        <v>158</v>
      </c>
      <c r="C29" s="13" t="s">
        <v>92</v>
      </c>
      <c r="D29" s="13"/>
      <c r="E29" s="4" t="s">
        <v>738</v>
      </c>
      <c r="F29" s="14">
        <f>1100*H29</f>
        <v>2200</v>
      </c>
      <c r="G29" s="13" t="s">
        <v>95</v>
      </c>
      <c r="H29" s="13">
        <v>2</v>
      </c>
      <c r="I29" s="14" t="s">
        <v>33</v>
      </c>
      <c r="J29" s="94"/>
      <c r="K29" s="14"/>
      <c r="L29" s="13"/>
      <c r="M29" s="77"/>
      <c r="N29" s="14"/>
      <c r="O29" s="14"/>
      <c r="P29" s="63"/>
      <c r="Q29" s="14"/>
      <c r="R29" s="13"/>
      <c r="S29" s="13"/>
      <c r="T29" s="13"/>
      <c r="U29" s="13"/>
      <c r="V29" s="15"/>
    </row>
    <row r="30" spans="1:22" x14ac:dyDescent="0.2">
      <c r="A30" s="12" t="s">
        <v>161</v>
      </c>
      <c r="B30" s="13" t="s">
        <v>162</v>
      </c>
      <c r="C30" s="13" t="s">
        <v>92</v>
      </c>
      <c r="D30" s="13" t="s">
        <v>163</v>
      </c>
      <c r="E30" s="4" t="s">
        <v>164</v>
      </c>
      <c r="F30" s="14">
        <f>45*H30</f>
        <v>45</v>
      </c>
      <c r="G30" s="13" t="s">
        <v>126</v>
      </c>
      <c r="H30" s="13">
        <v>1</v>
      </c>
      <c r="I30" s="14" t="s">
        <v>33</v>
      </c>
      <c r="J30" s="94"/>
      <c r="K30" s="14"/>
      <c r="L30" s="13"/>
      <c r="M30" s="77"/>
      <c r="N30" s="14"/>
      <c r="O30" s="14"/>
      <c r="P30" s="63"/>
      <c r="Q30" s="14"/>
      <c r="R30" s="13"/>
      <c r="S30" s="13"/>
      <c r="T30" s="13"/>
      <c r="U30" s="13"/>
      <c r="V30" s="15"/>
    </row>
    <row r="31" spans="1:22" x14ac:dyDescent="0.2">
      <c r="A31" s="12" t="s">
        <v>165</v>
      </c>
      <c r="B31" s="13" t="s">
        <v>155</v>
      </c>
      <c r="C31" s="13" t="s">
        <v>92</v>
      </c>
      <c r="D31" s="13"/>
      <c r="E31" s="4" t="s">
        <v>156</v>
      </c>
      <c r="F31" s="14">
        <f>15*H31</f>
        <v>30</v>
      </c>
      <c r="G31" s="13" t="s">
        <v>134</v>
      </c>
      <c r="H31" s="13">
        <v>2</v>
      </c>
      <c r="I31" s="14" t="s">
        <v>33</v>
      </c>
      <c r="J31" s="94"/>
      <c r="K31" s="14"/>
      <c r="L31" s="13"/>
      <c r="M31" s="77"/>
      <c r="N31" s="14"/>
      <c r="O31" s="14"/>
      <c r="P31" s="63"/>
      <c r="Q31" s="14"/>
      <c r="R31" s="13"/>
      <c r="S31" s="13"/>
      <c r="T31" s="13"/>
      <c r="U31" s="13"/>
      <c r="V31" s="15"/>
    </row>
    <row r="32" spans="1:22" x14ac:dyDescent="0.2">
      <c r="A32" s="12" t="s">
        <v>166</v>
      </c>
      <c r="B32" s="13" t="s">
        <v>158</v>
      </c>
      <c r="C32" s="13" t="s">
        <v>92</v>
      </c>
      <c r="D32" s="13"/>
      <c r="E32" s="4" t="s">
        <v>739</v>
      </c>
      <c r="F32" s="14">
        <f>1100*H32</f>
        <v>2200</v>
      </c>
      <c r="G32" s="13" t="s">
        <v>134</v>
      </c>
      <c r="H32" s="13">
        <v>2</v>
      </c>
      <c r="I32" s="14" t="s">
        <v>33</v>
      </c>
      <c r="J32" s="94"/>
      <c r="K32" s="14"/>
      <c r="L32" s="13"/>
      <c r="M32" s="77"/>
      <c r="N32" s="14"/>
      <c r="O32" s="14"/>
      <c r="P32" s="63"/>
      <c r="Q32" s="14"/>
      <c r="R32" s="13"/>
      <c r="S32" s="13"/>
      <c r="T32" s="13"/>
      <c r="U32" s="13"/>
      <c r="V32" s="15"/>
    </row>
    <row r="33" spans="1:22" x14ac:dyDescent="0.2">
      <c r="A33" s="12" t="s">
        <v>114</v>
      </c>
      <c r="B33" s="13" t="s">
        <v>22</v>
      </c>
      <c r="C33" s="13" t="s">
        <v>92</v>
      </c>
      <c r="D33" s="13" t="s">
        <v>115</v>
      </c>
      <c r="E33" s="4" t="s">
        <v>116</v>
      </c>
      <c r="F33" s="14">
        <f>40*H33</f>
        <v>80</v>
      </c>
      <c r="G33" s="13" t="s">
        <v>117</v>
      </c>
      <c r="H33" s="13">
        <v>2</v>
      </c>
      <c r="I33" s="14" t="s">
        <v>33</v>
      </c>
      <c r="J33" s="94"/>
      <c r="K33" s="14"/>
      <c r="L33" s="13"/>
      <c r="M33" s="77"/>
      <c r="N33" s="14"/>
      <c r="O33" s="14"/>
      <c r="P33" s="63"/>
      <c r="Q33" s="14"/>
      <c r="R33" s="13"/>
      <c r="S33" s="13"/>
      <c r="T33" s="13"/>
      <c r="U33" s="13"/>
      <c r="V33" s="15"/>
    </row>
    <row r="34" spans="1:22" x14ac:dyDescent="0.2">
      <c r="A34" s="12" t="s">
        <v>118</v>
      </c>
      <c r="B34" s="13" t="s">
        <v>119</v>
      </c>
      <c r="C34" s="13" t="s">
        <v>92</v>
      </c>
      <c r="D34" s="13" t="s">
        <v>115</v>
      </c>
      <c r="E34" s="4" t="s">
        <v>116</v>
      </c>
      <c r="F34" s="14">
        <f>40*H34</f>
        <v>80</v>
      </c>
      <c r="G34" s="13" t="s">
        <v>117</v>
      </c>
      <c r="H34" s="13">
        <v>2</v>
      </c>
      <c r="I34" s="14" t="s">
        <v>33</v>
      </c>
      <c r="J34" s="94"/>
      <c r="K34" s="14"/>
      <c r="L34" s="13"/>
      <c r="M34" s="77"/>
      <c r="N34" s="14"/>
      <c r="O34" s="14"/>
      <c r="P34" s="63"/>
      <c r="Q34" s="14"/>
      <c r="R34" s="13"/>
      <c r="S34" s="13"/>
      <c r="T34" s="13"/>
      <c r="U34" s="13"/>
      <c r="V34" s="15"/>
    </row>
    <row r="35" spans="1:22" x14ac:dyDescent="0.2">
      <c r="A35" s="12" t="s">
        <v>120</v>
      </c>
      <c r="B35" s="13" t="s">
        <v>121</v>
      </c>
      <c r="C35" s="13" t="s">
        <v>92</v>
      </c>
      <c r="D35" s="13" t="s">
        <v>115</v>
      </c>
      <c r="E35" s="4" t="s">
        <v>116</v>
      </c>
      <c r="F35" s="14">
        <f>40*H35</f>
        <v>160</v>
      </c>
      <c r="G35" s="13" t="s">
        <v>117</v>
      </c>
      <c r="H35" s="13">
        <v>4</v>
      </c>
      <c r="I35" s="14" t="s">
        <v>33</v>
      </c>
      <c r="J35" s="94"/>
      <c r="K35" s="14"/>
      <c r="L35" s="13"/>
      <c r="M35" s="77"/>
      <c r="N35" s="14"/>
      <c r="O35" s="14"/>
      <c r="P35" s="63"/>
      <c r="Q35" s="14"/>
      <c r="R35" s="13"/>
      <c r="S35" s="13"/>
      <c r="T35" s="13"/>
      <c r="U35" s="13"/>
      <c r="V35" s="15"/>
    </row>
    <row r="36" spans="1:22" x14ac:dyDescent="0.2">
      <c r="A36" s="12" t="s">
        <v>122</v>
      </c>
      <c r="B36" s="13" t="s">
        <v>123</v>
      </c>
      <c r="C36" s="13" t="s">
        <v>92</v>
      </c>
      <c r="D36" s="13" t="s">
        <v>124</v>
      </c>
      <c r="E36" s="4" t="s">
        <v>125</v>
      </c>
      <c r="F36" s="14">
        <f>75*H36</f>
        <v>75</v>
      </c>
      <c r="G36" s="13" t="s">
        <v>126</v>
      </c>
      <c r="H36" s="13">
        <v>1</v>
      </c>
      <c r="I36" s="14" t="s">
        <v>33</v>
      </c>
      <c r="J36" s="94"/>
      <c r="K36" s="14"/>
      <c r="L36" s="13"/>
      <c r="M36" s="77"/>
      <c r="N36" s="14"/>
      <c r="O36" s="14"/>
      <c r="P36" s="63"/>
      <c r="Q36" s="14"/>
      <c r="R36" s="13"/>
      <c r="S36" s="13"/>
      <c r="T36" s="13"/>
      <c r="U36" s="13"/>
      <c r="V36" s="15"/>
    </row>
    <row r="37" spans="1:22" x14ac:dyDescent="0.2">
      <c r="A37" s="12" t="s">
        <v>127</v>
      </c>
      <c r="B37" s="13" t="s">
        <v>128</v>
      </c>
      <c r="C37" s="13" t="s">
        <v>92</v>
      </c>
      <c r="D37" s="13" t="s">
        <v>129</v>
      </c>
      <c r="E37" s="4" t="s">
        <v>116</v>
      </c>
      <c r="F37" s="14">
        <f>40*H37</f>
        <v>80</v>
      </c>
      <c r="G37" s="13" t="s">
        <v>126</v>
      </c>
      <c r="H37" s="13">
        <v>2</v>
      </c>
      <c r="I37" s="14" t="s">
        <v>33</v>
      </c>
      <c r="J37" s="94"/>
      <c r="K37" s="14"/>
      <c r="L37" s="13"/>
      <c r="M37" s="77"/>
      <c r="N37" s="14"/>
      <c r="O37" s="14"/>
      <c r="P37" s="63"/>
      <c r="Q37" s="14"/>
      <c r="R37" s="13"/>
      <c r="S37" s="13"/>
      <c r="T37" s="13"/>
      <c r="U37" s="13"/>
      <c r="V37" s="15"/>
    </row>
    <row r="38" spans="1:22" x14ac:dyDescent="0.2">
      <c r="A38" s="12" t="s">
        <v>130</v>
      </c>
      <c r="B38" s="13" t="s">
        <v>131</v>
      </c>
      <c r="C38" s="13" t="s">
        <v>92</v>
      </c>
      <c r="D38" s="13" t="s">
        <v>132</v>
      </c>
      <c r="E38" s="4" t="s">
        <v>133</v>
      </c>
      <c r="F38" s="14">
        <f>20*H38</f>
        <v>20</v>
      </c>
      <c r="G38" s="13" t="s">
        <v>134</v>
      </c>
      <c r="H38" s="13">
        <v>1</v>
      </c>
      <c r="I38" s="14" t="s">
        <v>33</v>
      </c>
      <c r="J38" s="94"/>
      <c r="K38" s="14"/>
      <c r="L38" s="13"/>
      <c r="M38" s="77"/>
      <c r="N38" s="14"/>
      <c r="O38" s="14"/>
      <c r="P38" s="63"/>
      <c r="Q38" s="14"/>
      <c r="R38" s="13"/>
      <c r="S38" s="13"/>
      <c r="T38" s="13"/>
      <c r="U38" s="13"/>
      <c r="V38" s="15"/>
    </row>
    <row r="39" spans="1:22" x14ac:dyDescent="0.2">
      <c r="A39" s="12" t="s">
        <v>135</v>
      </c>
      <c r="B39" s="13" t="s">
        <v>136</v>
      </c>
      <c r="C39" s="13" t="s">
        <v>92</v>
      </c>
      <c r="D39" s="13" t="s">
        <v>137</v>
      </c>
      <c r="E39" s="4" t="s">
        <v>138</v>
      </c>
      <c r="F39" s="14">
        <f>40*H39</f>
        <v>40</v>
      </c>
      <c r="G39" s="13" t="s">
        <v>134</v>
      </c>
      <c r="H39" s="13">
        <v>1</v>
      </c>
      <c r="I39" s="14" t="s">
        <v>33</v>
      </c>
      <c r="J39" s="94"/>
      <c r="K39" s="14"/>
      <c r="L39" s="13"/>
      <c r="M39" s="77"/>
      <c r="N39" s="14"/>
      <c r="O39" s="14"/>
      <c r="P39" s="63"/>
      <c r="Q39" s="14"/>
      <c r="R39" s="13"/>
      <c r="S39" s="13"/>
      <c r="T39" s="13"/>
      <c r="U39" s="13"/>
      <c r="V39" s="15"/>
    </row>
    <row r="40" spans="1:22" x14ac:dyDescent="0.2">
      <c r="A40" s="12" t="s">
        <v>202</v>
      </c>
      <c r="B40" s="13" t="s">
        <v>203</v>
      </c>
      <c r="C40" s="13" t="s">
        <v>92</v>
      </c>
      <c r="D40" s="13" t="s">
        <v>204</v>
      </c>
      <c r="F40" s="14"/>
      <c r="G40" s="13" t="s">
        <v>205</v>
      </c>
      <c r="H40" s="13">
        <v>1</v>
      </c>
      <c r="I40" s="14" t="s">
        <v>33</v>
      </c>
      <c r="J40" s="94" t="s">
        <v>836</v>
      </c>
      <c r="K40" s="14"/>
      <c r="L40" s="13"/>
      <c r="M40" s="77"/>
      <c r="N40" s="14"/>
      <c r="O40" s="14"/>
      <c r="P40" s="63">
        <f>M42/H40/3.785*25/60/110000</f>
        <v>0.29262939834274049</v>
      </c>
      <c r="Q40" s="14"/>
      <c r="R40" s="13"/>
      <c r="S40" s="13"/>
      <c r="T40" s="13"/>
      <c r="U40" s="13"/>
      <c r="V40" s="15"/>
    </row>
    <row r="41" spans="1:22" x14ac:dyDescent="0.2">
      <c r="A41" s="12" t="s">
        <v>90</v>
      </c>
      <c r="B41" s="13" t="s">
        <v>91</v>
      </c>
      <c r="C41" s="13" t="s">
        <v>92</v>
      </c>
      <c r="D41" s="13" t="s">
        <v>93</v>
      </c>
      <c r="E41" s="4" t="s">
        <v>94</v>
      </c>
      <c r="F41" s="14">
        <f>170*H41</f>
        <v>170</v>
      </c>
      <c r="G41" s="13" t="s">
        <v>95</v>
      </c>
      <c r="H41" s="13">
        <v>1</v>
      </c>
      <c r="I41" s="14" t="s">
        <v>33</v>
      </c>
      <c r="J41" s="94"/>
      <c r="K41" s="14"/>
      <c r="L41" s="13"/>
      <c r="M41" s="77"/>
      <c r="N41" s="14"/>
      <c r="O41" s="14"/>
      <c r="P41" s="63"/>
      <c r="Q41" s="14"/>
      <c r="R41" s="13"/>
      <c r="S41" s="13"/>
      <c r="T41" s="13"/>
      <c r="U41" s="13"/>
      <c r="V41" s="15"/>
    </row>
    <row r="42" spans="1:22" x14ac:dyDescent="0.2">
      <c r="A42" s="12" t="s">
        <v>178</v>
      </c>
      <c r="B42" s="13" t="s">
        <v>179</v>
      </c>
      <c r="C42" s="13" t="s">
        <v>180</v>
      </c>
      <c r="D42" s="13" t="s">
        <v>181</v>
      </c>
      <c r="E42" s="4">
        <v>125</v>
      </c>
      <c r="F42" s="14">
        <f>E42*H42*0.7457</f>
        <v>93.212500000000006</v>
      </c>
      <c r="G42" s="13" t="s">
        <v>176</v>
      </c>
      <c r="H42" s="13">
        <v>1</v>
      </c>
      <c r="I42" s="16">
        <v>25635</v>
      </c>
      <c r="J42" s="94"/>
      <c r="K42" s="14">
        <v>2010</v>
      </c>
      <c r="L42" s="13" t="s">
        <v>102</v>
      </c>
      <c r="M42" s="77">
        <v>292407</v>
      </c>
      <c r="N42" s="14" t="s">
        <v>28</v>
      </c>
      <c r="O42" s="14">
        <v>0.8</v>
      </c>
      <c r="P42" s="63">
        <f>M42/H42/3.785/60/1900</f>
        <v>0.67766808037266224</v>
      </c>
      <c r="Q42" s="14">
        <v>2.2999999999999998</v>
      </c>
      <c r="R42" s="13">
        <v>292060</v>
      </c>
      <c r="S42" s="13">
        <v>1</v>
      </c>
      <c r="T42" s="17">
        <v>25611</v>
      </c>
      <c r="U42" s="17">
        <v>24487</v>
      </c>
      <c r="V42" s="18">
        <v>56321</v>
      </c>
    </row>
    <row r="43" spans="1:22" ht="16" customHeight="1" x14ac:dyDescent="0.2">
      <c r="A43" s="12" t="s">
        <v>206</v>
      </c>
      <c r="B43" s="13" t="s">
        <v>207</v>
      </c>
      <c r="C43" s="13"/>
      <c r="D43" s="13" t="s">
        <v>208</v>
      </c>
      <c r="F43" s="14"/>
      <c r="G43" s="13" t="s">
        <v>205</v>
      </c>
      <c r="H43" s="13">
        <v>1</v>
      </c>
      <c r="I43" s="16">
        <v>511000</v>
      </c>
      <c r="J43" s="92" t="s">
        <v>869</v>
      </c>
      <c r="K43" s="14">
        <v>2009</v>
      </c>
      <c r="L43" s="13" t="s">
        <v>187</v>
      </c>
      <c r="M43" s="77">
        <v>264116</v>
      </c>
      <c r="N43" s="14" t="s">
        <v>28</v>
      </c>
      <c r="O43" s="14">
        <v>0.7</v>
      </c>
      <c r="P43" s="63">
        <f>M43/H43/3.785*25/60/110000</f>
        <v>0.26431688082943039</v>
      </c>
      <c r="Q43" s="14">
        <v>2</v>
      </c>
      <c r="R43" s="13">
        <v>292060</v>
      </c>
      <c r="S43" s="13">
        <v>1.1100000000000001</v>
      </c>
      <c r="T43" s="17">
        <v>548271</v>
      </c>
      <c r="U43" s="17">
        <v>551948</v>
      </c>
      <c r="V43" s="18">
        <v>1103895</v>
      </c>
    </row>
    <row r="44" spans="1:22" x14ac:dyDescent="0.2">
      <c r="A44" s="12" t="s">
        <v>96</v>
      </c>
      <c r="B44" s="13" t="s">
        <v>97</v>
      </c>
      <c r="C44" s="13" t="s">
        <v>98</v>
      </c>
      <c r="D44" s="13" t="s">
        <v>93</v>
      </c>
      <c r="E44" s="4" t="s">
        <v>94</v>
      </c>
      <c r="F44" s="14">
        <v>170</v>
      </c>
      <c r="G44" s="13" t="s">
        <v>95</v>
      </c>
      <c r="H44" s="13">
        <v>3</v>
      </c>
      <c r="I44" s="16">
        <v>90000</v>
      </c>
      <c r="J44" s="92"/>
      <c r="K44" s="14">
        <v>2009</v>
      </c>
      <c r="L44" s="13" t="s">
        <v>99</v>
      </c>
      <c r="M44" s="77">
        <v>252891</v>
      </c>
      <c r="N44" s="14" t="s">
        <v>28</v>
      </c>
      <c r="O44" s="14">
        <v>0.5</v>
      </c>
      <c r="P44" s="63"/>
      <c r="Q44" s="14">
        <v>1.5</v>
      </c>
      <c r="R44" s="13">
        <v>278194</v>
      </c>
      <c r="S44" s="13">
        <v>1.1000000000000001</v>
      </c>
      <c r="T44" s="17">
        <v>94395</v>
      </c>
      <c r="U44" s="17">
        <v>95028</v>
      </c>
      <c r="V44" s="18">
        <v>142542</v>
      </c>
    </row>
    <row r="45" spans="1:22" x14ac:dyDescent="0.2">
      <c r="A45" s="12" t="s">
        <v>182</v>
      </c>
      <c r="B45" s="13" t="s">
        <v>183</v>
      </c>
      <c r="C45" s="13" t="s">
        <v>180</v>
      </c>
      <c r="D45" s="13" t="s">
        <v>184</v>
      </c>
      <c r="E45" s="4">
        <v>75</v>
      </c>
      <c r="F45" s="14">
        <f>E45*H45*0.7457</f>
        <v>55.927500000000002</v>
      </c>
      <c r="G45" s="13" t="s">
        <v>176</v>
      </c>
      <c r="H45" s="13">
        <v>1</v>
      </c>
      <c r="I45" s="16">
        <v>30000</v>
      </c>
      <c r="J45" s="92"/>
      <c r="K45" s="14">
        <v>2009</v>
      </c>
      <c r="L45" s="13" t="s">
        <v>99</v>
      </c>
      <c r="M45" s="77">
        <v>204390</v>
      </c>
      <c r="N45" s="14" t="s">
        <v>28</v>
      </c>
      <c r="O45" s="14">
        <v>0.8</v>
      </c>
      <c r="P45" s="63">
        <f>M45/H45/60/3.785/900</f>
        <v>1</v>
      </c>
      <c r="Q45" s="14">
        <v>2.2999999999999998</v>
      </c>
      <c r="R45" s="13">
        <v>278194</v>
      </c>
      <c r="S45" s="13">
        <v>1.36</v>
      </c>
      <c r="T45" s="17">
        <v>38391</v>
      </c>
      <c r="U45" s="17">
        <v>38649</v>
      </c>
      <c r="V45" s="18">
        <v>88892</v>
      </c>
    </row>
    <row r="46" spans="1:22" ht="16" customHeight="1" x14ac:dyDescent="0.2">
      <c r="A46" s="12" t="s">
        <v>209</v>
      </c>
      <c r="B46" s="13" t="s">
        <v>210</v>
      </c>
      <c r="C46" s="13"/>
      <c r="D46" s="13" t="s">
        <v>211</v>
      </c>
      <c r="F46" s="14"/>
      <c r="G46" s="13" t="s">
        <v>205</v>
      </c>
      <c r="H46" s="13">
        <v>1</v>
      </c>
      <c r="I46" s="16">
        <v>203000</v>
      </c>
      <c r="J46" s="92" t="s">
        <v>868</v>
      </c>
      <c r="K46" s="14">
        <v>2009</v>
      </c>
      <c r="L46" s="13" t="s">
        <v>187</v>
      </c>
      <c r="M46" s="77">
        <v>264116</v>
      </c>
      <c r="N46" s="14" t="s">
        <v>28</v>
      </c>
      <c r="O46" s="14">
        <v>0.7</v>
      </c>
      <c r="P46" s="63">
        <f>M46/H46/3.785*30/60/30000</f>
        <v>1.1629942756494938</v>
      </c>
      <c r="Q46" s="14">
        <v>2</v>
      </c>
      <c r="R46" s="13">
        <v>292060</v>
      </c>
      <c r="S46" s="13">
        <v>1.1100000000000001</v>
      </c>
      <c r="T46" s="17">
        <v>217806</v>
      </c>
      <c r="U46" s="17">
        <v>219267</v>
      </c>
      <c r="V46" s="18">
        <v>438534</v>
      </c>
    </row>
    <row r="47" spans="1:22" x14ac:dyDescent="0.2">
      <c r="A47" s="12" t="s">
        <v>100</v>
      </c>
      <c r="B47" s="13" t="s">
        <v>101</v>
      </c>
      <c r="C47" s="13" t="s">
        <v>98</v>
      </c>
      <c r="D47" s="13" t="s">
        <v>93</v>
      </c>
      <c r="E47" s="4" t="s">
        <v>94</v>
      </c>
      <c r="F47" s="14">
        <v>170</v>
      </c>
      <c r="G47" s="13" t="s">
        <v>95</v>
      </c>
      <c r="H47" s="13">
        <v>3</v>
      </c>
      <c r="I47" s="16">
        <v>90000</v>
      </c>
      <c r="J47" s="92"/>
      <c r="K47" s="14">
        <v>2009</v>
      </c>
      <c r="L47" s="13" t="s">
        <v>102</v>
      </c>
      <c r="M47" s="77">
        <v>264116</v>
      </c>
      <c r="N47" s="14" t="s">
        <v>28</v>
      </c>
      <c r="O47" s="14">
        <v>0.5</v>
      </c>
      <c r="P47" s="63"/>
      <c r="Q47" s="14">
        <v>1.5</v>
      </c>
      <c r="R47" s="13">
        <v>292060</v>
      </c>
      <c r="S47" s="13">
        <v>1.1100000000000001</v>
      </c>
      <c r="T47" s="17">
        <v>94641</v>
      </c>
      <c r="U47" s="17">
        <v>95276</v>
      </c>
      <c r="V47" s="18">
        <v>142914</v>
      </c>
    </row>
    <row r="48" spans="1:22" x14ac:dyDescent="0.2">
      <c r="A48" s="12" t="s">
        <v>185</v>
      </c>
      <c r="B48" s="13" t="s">
        <v>186</v>
      </c>
      <c r="C48" s="13" t="s">
        <v>180</v>
      </c>
      <c r="D48" s="13" t="s">
        <v>184</v>
      </c>
      <c r="E48" s="4">
        <v>75</v>
      </c>
      <c r="F48" s="14">
        <f>E48*H48*0.7457</f>
        <v>55.927500000000002</v>
      </c>
      <c r="G48" s="13" t="s">
        <v>176</v>
      </c>
      <c r="H48" s="13">
        <v>1</v>
      </c>
      <c r="I48" s="16">
        <v>17408</v>
      </c>
      <c r="J48" s="92"/>
      <c r="K48" s="14">
        <v>2010</v>
      </c>
      <c r="L48" s="13" t="s">
        <v>187</v>
      </c>
      <c r="M48" s="77">
        <v>292407</v>
      </c>
      <c r="N48" s="14" t="s">
        <v>28</v>
      </c>
      <c r="O48" s="14">
        <v>0.8</v>
      </c>
      <c r="P48" s="63">
        <f>M48/H48/3.785/60/900</f>
        <v>1.4306326141200647</v>
      </c>
      <c r="Q48" s="14">
        <v>2.2999999999999998</v>
      </c>
      <c r="R48" s="13">
        <v>292060</v>
      </c>
      <c r="S48" s="13">
        <v>1</v>
      </c>
      <c r="T48" s="17">
        <v>17391</v>
      </c>
      <c r="U48" s="17">
        <v>16629</v>
      </c>
      <c r="V48" s="18">
        <v>38246</v>
      </c>
    </row>
    <row r="49" spans="1:22" x14ac:dyDescent="0.2">
      <c r="A49" s="12" t="s">
        <v>108</v>
      </c>
      <c r="B49" s="13" t="s">
        <v>109</v>
      </c>
      <c r="C49" s="13" t="s">
        <v>86</v>
      </c>
      <c r="D49" s="13"/>
      <c r="F49" s="14"/>
      <c r="G49" s="13" t="s">
        <v>106</v>
      </c>
      <c r="H49" s="13">
        <v>1</v>
      </c>
      <c r="I49" s="16">
        <v>5000</v>
      </c>
      <c r="J49" s="17" t="s">
        <v>743</v>
      </c>
      <c r="K49" s="14">
        <v>2009</v>
      </c>
      <c r="L49" s="13" t="s">
        <v>110</v>
      </c>
      <c r="M49" s="77">
        <v>157478</v>
      </c>
      <c r="N49" s="14" t="s">
        <v>28</v>
      </c>
      <c r="O49" s="14">
        <v>0.5</v>
      </c>
      <c r="P49" s="63"/>
      <c r="Q49" s="14">
        <v>1</v>
      </c>
      <c r="R49" s="13">
        <v>151360</v>
      </c>
      <c r="S49" s="13">
        <v>0.96</v>
      </c>
      <c r="T49" s="17">
        <v>4902</v>
      </c>
      <c r="U49" s="17">
        <v>4935</v>
      </c>
      <c r="V49" s="18">
        <v>4935</v>
      </c>
    </row>
    <row r="50" spans="1:22" x14ac:dyDescent="0.2">
      <c r="A50" s="12" t="s">
        <v>212</v>
      </c>
      <c r="B50" s="13" t="s">
        <v>213</v>
      </c>
      <c r="C50" s="13"/>
      <c r="D50" s="13" t="s">
        <v>214</v>
      </c>
      <c r="F50" s="14"/>
      <c r="G50" s="13" t="s">
        <v>88</v>
      </c>
      <c r="H50" s="13">
        <v>1</v>
      </c>
      <c r="I50" s="16">
        <v>236000</v>
      </c>
      <c r="J50" s="94" t="s">
        <v>744</v>
      </c>
      <c r="K50" s="14">
        <v>2009</v>
      </c>
      <c r="L50" s="13" t="s">
        <v>107</v>
      </c>
      <c r="M50" s="77">
        <v>410369</v>
      </c>
      <c r="N50" s="14" t="s">
        <v>28</v>
      </c>
      <c r="O50" s="14">
        <v>0.7</v>
      </c>
      <c r="P50" s="63">
        <f>M50/H50/3.785/118000</f>
        <v>0.91881199202919639</v>
      </c>
      <c r="Q50" s="14">
        <v>2</v>
      </c>
      <c r="R50" s="13">
        <v>429554</v>
      </c>
      <c r="S50" s="13">
        <v>1.05</v>
      </c>
      <c r="T50" s="17">
        <v>243670</v>
      </c>
      <c r="U50" s="17">
        <v>245304</v>
      </c>
      <c r="V50" s="18">
        <v>490609</v>
      </c>
    </row>
    <row r="51" spans="1:22" x14ac:dyDescent="0.2">
      <c r="A51" s="12" t="s">
        <v>103</v>
      </c>
      <c r="B51" s="13" t="s">
        <v>104</v>
      </c>
      <c r="C51" s="13" t="s">
        <v>105</v>
      </c>
      <c r="D51" s="13"/>
      <c r="E51" s="4" t="s">
        <v>52</v>
      </c>
      <c r="F51" s="14">
        <f>10*H51*0.7457</f>
        <v>7.4570000000000007</v>
      </c>
      <c r="G51" s="13" t="s">
        <v>106</v>
      </c>
      <c r="H51" s="13">
        <v>1</v>
      </c>
      <c r="I51" s="16">
        <v>21900</v>
      </c>
      <c r="J51" s="94"/>
      <c r="K51" s="14">
        <v>2009</v>
      </c>
      <c r="L51" s="13" t="s">
        <v>107</v>
      </c>
      <c r="M51" s="77">
        <v>410369</v>
      </c>
      <c r="N51" s="14" t="s">
        <v>28</v>
      </c>
      <c r="O51" s="14">
        <v>0.5</v>
      </c>
      <c r="P51" s="63"/>
      <c r="Q51" s="14">
        <v>1.5</v>
      </c>
      <c r="R51" s="13">
        <v>429554</v>
      </c>
      <c r="S51" s="13">
        <v>1.05</v>
      </c>
      <c r="T51" s="17">
        <v>22406</v>
      </c>
      <c r="U51" s="17">
        <v>22556</v>
      </c>
      <c r="V51" s="18">
        <v>33835</v>
      </c>
    </row>
    <row r="52" spans="1:22" x14ac:dyDescent="0.2">
      <c r="A52" s="12" t="s">
        <v>146</v>
      </c>
      <c r="B52" s="13" t="s">
        <v>147</v>
      </c>
      <c r="C52" s="13" t="s">
        <v>141</v>
      </c>
      <c r="D52" s="13" t="s">
        <v>148</v>
      </c>
      <c r="F52" s="14"/>
      <c r="G52" s="13" t="s">
        <v>143</v>
      </c>
      <c r="H52" s="13">
        <v>1</v>
      </c>
      <c r="I52" s="16">
        <v>34000</v>
      </c>
      <c r="J52" s="17" t="s">
        <v>745</v>
      </c>
      <c r="K52" s="14">
        <v>2009</v>
      </c>
      <c r="L52" s="13" t="s">
        <v>149</v>
      </c>
      <c r="M52" s="77">
        <v>2</v>
      </c>
      <c r="N52" s="14" t="s">
        <v>145</v>
      </c>
      <c r="O52" s="14">
        <v>0.7</v>
      </c>
      <c r="P52" s="63"/>
      <c r="Q52" s="14">
        <v>2.2000000000000002</v>
      </c>
      <c r="R52" s="13">
        <v>7</v>
      </c>
      <c r="S52" s="13">
        <v>3.98</v>
      </c>
      <c r="T52" s="17">
        <v>89346</v>
      </c>
      <c r="U52" s="17">
        <v>89946</v>
      </c>
      <c r="V52" s="18">
        <v>197880</v>
      </c>
    </row>
    <row r="53" spans="1:22" x14ac:dyDescent="0.2">
      <c r="A53" s="12" t="s">
        <v>188</v>
      </c>
      <c r="B53" s="13" t="s">
        <v>189</v>
      </c>
      <c r="C53" s="13" t="s">
        <v>174</v>
      </c>
      <c r="D53" s="13" t="s">
        <v>190</v>
      </c>
      <c r="E53" s="4">
        <v>100</v>
      </c>
      <c r="F53" s="14">
        <f>E53*H53*0.7457</f>
        <v>74.570000000000007</v>
      </c>
      <c r="G53" s="13" t="s">
        <v>176</v>
      </c>
      <c r="H53" s="13">
        <v>1</v>
      </c>
      <c r="I53" s="16">
        <v>22500</v>
      </c>
      <c r="J53" s="17" t="s">
        <v>752</v>
      </c>
      <c r="K53" s="14">
        <v>2009</v>
      </c>
      <c r="L53" s="13" t="s">
        <v>107</v>
      </c>
      <c r="M53" s="77">
        <v>402194</v>
      </c>
      <c r="N53" s="14" t="s">
        <v>28</v>
      </c>
      <c r="O53" s="14">
        <v>0.8</v>
      </c>
      <c r="P53" s="63">
        <f>M53/H53/3.785/60/1771</f>
        <v>0.99999975136383157</v>
      </c>
      <c r="Q53" s="14">
        <v>2.2999999999999998</v>
      </c>
      <c r="R53" s="13">
        <v>429554</v>
      </c>
      <c r="S53" s="13">
        <v>1.07</v>
      </c>
      <c r="T53" s="17">
        <v>23716</v>
      </c>
      <c r="U53" s="17">
        <v>23875</v>
      </c>
      <c r="V53" s="18">
        <v>54913</v>
      </c>
    </row>
    <row r="54" spans="1:22" x14ac:dyDescent="0.2">
      <c r="A54" s="56" t="s">
        <v>139</v>
      </c>
      <c r="B54" s="57" t="s">
        <v>140</v>
      </c>
      <c r="C54" s="57" t="s">
        <v>141</v>
      </c>
      <c r="D54" s="57" t="s">
        <v>142</v>
      </c>
      <c r="E54" s="58"/>
      <c r="F54" s="31"/>
      <c r="G54" s="29" t="s">
        <v>143</v>
      </c>
      <c r="H54" s="29">
        <v>1</v>
      </c>
      <c r="I54" s="32">
        <v>92000</v>
      </c>
      <c r="J54" s="33" t="s">
        <v>853</v>
      </c>
      <c r="K54" s="31">
        <v>2010</v>
      </c>
      <c r="L54" s="29" t="s">
        <v>144</v>
      </c>
      <c r="M54" s="81">
        <v>-8</v>
      </c>
      <c r="N54" s="31" t="s">
        <v>145</v>
      </c>
      <c r="O54" s="31">
        <v>0.7</v>
      </c>
      <c r="P54" s="67"/>
      <c r="Q54" s="31">
        <v>2.2000000000000002</v>
      </c>
      <c r="R54" s="29">
        <v>-9</v>
      </c>
      <c r="S54" s="29">
        <v>1.1499999999999999</v>
      </c>
      <c r="T54" s="33">
        <v>101545</v>
      </c>
      <c r="U54" s="33">
        <v>97091</v>
      </c>
      <c r="V54" s="34">
        <v>213600</v>
      </c>
    </row>
    <row r="55" spans="1:22" x14ac:dyDescent="0.2">
      <c r="A55" s="28" t="s">
        <v>194</v>
      </c>
      <c r="B55" s="29" t="s">
        <v>195</v>
      </c>
      <c r="C55" s="29" t="s">
        <v>196</v>
      </c>
      <c r="D55" s="29"/>
      <c r="E55" s="30"/>
      <c r="F55" s="31"/>
      <c r="G55" s="29"/>
      <c r="H55" s="29"/>
      <c r="I55" s="32">
        <v>35000000</v>
      </c>
      <c r="J55" s="33"/>
      <c r="K55" s="31">
        <v>2009</v>
      </c>
      <c r="L55" s="29" t="s">
        <v>197</v>
      </c>
      <c r="M55" s="81">
        <v>39000</v>
      </c>
      <c r="N55" s="31" t="s">
        <v>28</v>
      </c>
      <c r="O55" s="31">
        <v>0.7</v>
      </c>
      <c r="P55" s="67"/>
      <c r="Q55" s="31">
        <v>1.7</v>
      </c>
      <c r="R55" s="29">
        <v>0</v>
      </c>
      <c r="S55" s="29">
        <v>0</v>
      </c>
      <c r="T55" s="33">
        <v>0</v>
      </c>
      <c r="U55" s="33">
        <v>0</v>
      </c>
      <c r="V55" s="34">
        <v>0</v>
      </c>
    </row>
    <row r="56" spans="1:22" s="13" customFormat="1" x14ac:dyDescent="0.2">
      <c r="A56" s="28" t="s">
        <v>215</v>
      </c>
      <c r="B56" s="29" t="s">
        <v>216</v>
      </c>
      <c r="C56" s="29" t="s">
        <v>141</v>
      </c>
      <c r="D56" s="29" t="s">
        <v>217</v>
      </c>
      <c r="E56" s="29"/>
      <c r="F56" s="31"/>
      <c r="G56" s="29" t="s">
        <v>88</v>
      </c>
      <c r="H56" s="29">
        <v>1</v>
      </c>
      <c r="I56" s="32">
        <v>0</v>
      </c>
      <c r="J56" s="33"/>
      <c r="K56" s="31">
        <v>2009</v>
      </c>
      <c r="L56" s="29" t="s">
        <v>113</v>
      </c>
      <c r="M56" s="81">
        <v>410369</v>
      </c>
      <c r="N56" s="31" t="s">
        <v>28</v>
      </c>
      <c r="O56" s="31">
        <v>0.7</v>
      </c>
      <c r="P56" s="67"/>
      <c r="Q56" s="31">
        <v>2</v>
      </c>
      <c r="R56" s="29">
        <v>429554</v>
      </c>
      <c r="S56" s="29">
        <v>1.05</v>
      </c>
      <c r="T56" s="33">
        <v>0</v>
      </c>
      <c r="U56" s="33">
        <v>0</v>
      </c>
      <c r="V56" s="34">
        <v>0</v>
      </c>
    </row>
    <row r="57" spans="1:22" x14ac:dyDescent="0.2">
      <c r="A57" s="28" t="s">
        <v>111</v>
      </c>
      <c r="B57" s="29" t="s">
        <v>112</v>
      </c>
      <c r="C57" s="29" t="s">
        <v>105</v>
      </c>
      <c r="D57" s="29"/>
      <c r="E57" s="30" t="s">
        <v>37</v>
      </c>
      <c r="F57" s="31">
        <f>20*H57*0.7457</f>
        <v>14.914000000000001</v>
      </c>
      <c r="G57" s="29" t="s">
        <v>106</v>
      </c>
      <c r="H57" s="29">
        <v>1</v>
      </c>
      <c r="I57" s="32">
        <v>0</v>
      </c>
      <c r="J57" s="33"/>
      <c r="K57" s="31">
        <v>2009</v>
      </c>
      <c r="L57" s="29" t="s">
        <v>113</v>
      </c>
      <c r="M57" s="81">
        <v>410846</v>
      </c>
      <c r="N57" s="31" t="s">
        <v>28</v>
      </c>
      <c r="O57" s="31">
        <v>0.5</v>
      </c>
      <c r="P57" s="67"/>
      <c r="Q57" s="31">
        <v>1.5</v>
      </c>
      <c r="R57" s="29">
        <v>429554</v>
      </c>
      <c r="S57" s="29">
        <v>1.05</v>
      </c>
      <c r="T57" s="33">
        <v>0</v>
      </c>
      <c r="U57" s="33">
        <v>0</v>
      </c>
      <c r="V57" s="34">
        <v>0</v>
      </c>
    </row>
    <row r="58" spans="1:22" x14ac:dyDescent="0.2">
      <c r="A58" s="28" t="s">
        <v>191</v>
      </c>
      <c r="B58" s="29" t="s">
        <v>192</v>
      </c>
      <c r="C58" s="29" t="s">
        <v>174</v>
      </c>
      <c r="D58" s="29" t="s">
        <v>193</v>
      </c>
      <c r="E58" s="30">
        <v>60</v>
      </c>
      <c r="F58" s="31"/>
      <c r="G58" s="29" t="s">
        <v>176</v>
      </c>
      <c r="H58" s="29">
        <v>1</v>
      </c>
      <c r="I58" s="32">
        <v>0</v>
      </c>
      <c r="J58" s="33"/>
      <c r="K58" s="31">
        <v>2009</v>
      </c>
      <c r="L58" s="29" t="s">
        <v>113</v>
      </c>
      <c r="M58" s="81">
        <v>402194</v>
      </c>
      <c r="N58" s="31" t="s">
        <v>28</v>
      </c>
      <c r="O58" s="31">
        <v>0.8</v>
      </c>
      <c r="P58" s="67"/>
      <c r="Q58" s="31">
        <v>2.2999999999999998</v>
      </c>
      <c r="R58" s="29">
        <v>429554</v>
      </c>
      <c r="S58" s="29">
        <v>1.07</v>
      </c>
      <c r="T58" s="33">
        <v>0</v>
      </c>
      <c r="U58" s="33">
        <v>0</v>
      </c>
      <c r="V58" s="34">
        <v>0</v>
      </c>
    </row>
    <row r="59" spans="1:22" x14ac:dyDescent="0.2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78"/>
      <c r="N59" s="20"/>
      <c r="O59" s="20"/>
      <c r="P59" s="64"/>
      <c r="Q59" s="20"/>
      <c r="R59" s="22"/>
      <c r="S59" s="5" t="s">
        <v>218</v>
      </c>
      <c r="T59" s="23">
        <v>21348782</v>
      </c>
      <c r="U59" s="23">
        <v>21484330</v>
      </c>
      <c r="V59" s="23">
        <v>32957310</v>
      </c>
    </row>
    <row r="60" spans="1:22" x14ac:dyDescent="0.2">
      <c r="S60" s="26" t="s">
        <v>736</v>
      </c>
      <c r="T60" s="27">
        <f>SUM(T23:T58)</f>
        <v>21348782</v>
      </c>
      <c r="U60" s="27">
        <f t="shared" ref="U60:V60" si="2">SUM(U23:U58)</f>
        <v>21484330</v>
      </c>
      <c r="V60" s="27">
        <f t="shared" si="2"/>
        <v>32957309</v>
      </c>
    </row>
    <row r="61" spans="1:22" x14ac:dyDescent="0.2">
      <c r="S61" s="26" t="s">
        <v>737</v>
      </c>
      <c r="T61" s="27">
        <f>T59-T60</f>
        <v>0</v>
      </c>
      <c r="U61" s="27">
        <f t="shared" ref="U61" si="3">U59-U60</f>
        <v>0</v>
      </c>
      <c r="V61" s="27">
        <f t="shared" ref="V61" si="4">V59-V60</f>
        <v>1</v>
      </c>
    </row>
    <row r="63" spans="1:22" x14ac:dyDescent="0.2">
      <c r="A63" s="91" t="s">
        <v>847</v>
      </c>
      <c r="B63" s="91"/>
      <c r="C63" s="91"/>
      <c r="D63" s="91"/>
      <c r="E63" s="91"/>
      <c r="F63" s="91"/>
      <c r="G63" s="91"/>
      <c r="H63" s="91"/>
      <c r="I63" s="91"/>
      <c r="J63" s="5" t="s">
        <v>740</v>
      </c>
      <c r="K63" s="91" t="s">
        <v>1</v>
      </c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</row>
    <row r="64" spans="1:22" x14ac:dyDescent="0.2">
      <c r="A64" s="5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741</v>
      </c>
      <c r="G64" s="5" t="s">
        <v>7</v>
      </c>
      <c r="H64" s="5" t="s">
        <v>8</v>
      </c>
      <c r="I64" s="5" t="s">
        <v>9</v>
      </c>
      <c r="J64" s="5"/>
      <c r="K64" s="5" t="s">
        <v>10</v>
      </c>
      <c r="L64" s="5" t="s">
        <v>11</v>
      </c>
      <c r="M64" s="75" t="s">
        <v>12</v>
      </c>
      <c r="N64" s="5" t="s">
        <v>13</v>
      </c>
      <c r="O64" s="5" t="s">
        <v>14</v>
      </c>
      <c r="P64" s="61" t="s">
        <v>855</v>
      </c>
      <c r="Q64" s="5" t="s">
        <v>15</v>
      </c>
      <c r="R64" s="5" t="s">
        <v>16</v>
      </c>
      <c r="S64" s="5" t="s">
        <v>17</v>
      </c>
      <c r="T64" s="5" t="s">
        <v>18</v>
      </c>
      <c r="U64" s="5" t="s">
        <v>19</v>
      </c>
      <c r="V64" s="5" t="s">
        <v>20</v>
      </c>
    </row>
    <row r="65" spans="1:22" s="13" customFormat="1" x14ac:dyDescent="0.2">
      <c r="A65" s="28" t="s">
        <v>265</v>
      </c>
      <c r="B65" s="29" t="s">
        <v>266</v>
      </c>
      <c r="C65" s="29" t="s">
        <v>267</v>
      </c>
      <c r="D65" s="29" t="s">
        <v>268</v>
      </c>
      <c r="E65" s="29"/>
      <c r="F65" s="31"/>
      <c r="G65" s="29" t="s">
        <v>269</v>
      </c>
      <c r="H65" s="29">
        <v>1</v>
      </c>
      <c r="I65" s="32">
        <v>85000</v>
      </c>
      <c r="J65" s="33"/>
      <c r="K65" s="31">
        <v>2010</v>
      </c>
      <c r="L65" s="29" t="s">
        <v>270</v>
      </c>
      <c r="M65" s="81">
        <v>8</v>
      </c>
      <c r="N65" s="31" t="s">
        <v>145</v>
      </c>
      <c r="O65" s="31">
        <v>0.7</v>
      </c>
      <c r="P65" s="67"/>
      <c r="Q65" s="31">
        <v>2.2000000000000002</v>
      </c>
      <c r="R65" s="29">
        <v>11</v>
      </c>
      <c r="S65" s="29">
        <v>1.3</v>
      </c>
      <c r="T65" s="33">
        <v>101972</v>
      </c>
      <c r="U65" s="33">
        <v>97500</v>
      </c>
      <c r="V65" s="34">
        <v>214500</v>
      </c>
    </row>
    <row r="66" spans="1:22" x14ac:dyDescent="0.2">
      <c r="A66" s="12" t="s">
        <v>236</v>
      </c>
      <c r="B66" s="13" t="s">
        <v>237</v>
      </c>
      <c r="C66" s="13" t="s">
        <v>238</v>
      </c>
      <c r="D66" s="13" t="s">
        <v>239</v>
      </c>
      <c r="E66" s="4" t="s">
        <v>240</v>
      </c>
      <c r="F66" s="14">
        <f>100*H66*0.7457</f>
        <v>74.570000000000007</v>
      </c>
      <c r="G66" s="13" t="s">
        <v>205</v>
      </c>
      <c r="H66" s="13">
        <v>1</v>
      </c>
      <c r="I66" s="16">
        <v>109000</v>
      </c>
      <c r="J66" s="17" t="s">
        <v>748</v>
      </c>
      <c r="K66" s="14">
        <v>2009</v>
      </c>
      <c r="L66" s="13" t="s">
        <v>241</v>
      </c>
      <c r="M66" s="77">
        <v>379938</v>
      </c>
      <c r="N66" s="14" t="s">
        <v>28</v>
      </c>
      <c r="O66" s="14">
        <v>0.5</v>
      </c>
      <c r="P66" s="63">
        <f>M66/3.785/60/1673</f>
        <v>0.99999921039810935</v>
      </c>
      <c r="Q66" s="14">
        <v>1.7</v>
      </c>
      <c r="R66" s="13">
        <v>443391</v>
      </c>
      <c r="S66" s="13">
        <v>1.17</v>
      </c>
      <c r="T66" s="17">
        <v>117751</v>
      </c>
      <c r="U66" s="17">
        <v>118540</v>
      </c>
      <c r="V66" s="18">
        <v>201519</v>
      </c>
    </row>
    <row r="67" spans="1:22" s="13" customFormat="1" x14ac:dyDescent="0.2">
      <c r="A67" s="12" t="s">
        <v>301</v>
      </c>
      <c r="B67" s="13" t="s">
        <v>302</v>
      </c>
      <c r="C67" s="13" t="s">
        <v>303</v>
      </c>
      <c r="D67" s="13" t="s">
        <v>304</v>
      </c>
      <c r="F67" s="14"/>
      <c r="G67" s="13" t="s">
        <v>143</v>
      </c>
      <c r="H67" s="13">
        <v>8</v>
      </c>
      <c r="I67" s="16">
        <v>3840000</v>
      </c>
      <c r="J67" s="94" t="s">
        <v>750</v>
      </c>
      <c r="K67" s="14">
        <v>2009</v>
      </c>
      <c r="L67" s="13" t="s">
        <v>295</v>
      </c>
      <c r="M67" s="77">
        <v>421776</v>
      </c>
      <c r="N67" s="14" t="s">
        <v>28</v>
      </c>
      <c r="O67" s="14">
        <v>0.7</v>
      </c>
      <c r="P67" s="63">
        <f>M67/H67/3.785*24/250000</f>
        <v>1.3372026420079259</v>
      </c>
      <c r="Q67" s="14">
        <v>2</v>
      </c>
      <c r="R67" s="13">
        <v>443391</v>
      </c>
      <c r="S67" s="13">
        <v>1.05</v>
      </c>
      <c r="T67" s="17">
        <v>3976717</v>
      </c>
      <c r="U67" s="17">
        <v>4003386</v>
      </c>
      <c r="V67" s="18">
        <v>8006772</v>
      </c>
    </row>
    <row r="68" spans="1:22" x14ac:dyDescent="0.2">
      <c r="A68" s="12" t="s">
        <v>292</v>
      </c>
      <c r="B68" s="13" t="s">
        <v>293</v>
      </c>
      <c r="C68" s="13" t="s">
        <v>174</v>
      </c>
      <c r="D68" s="13" t="s">
        <v>294</v>
      </c>
      <c r="E68" s="4">
        <v>20</v>
      </c>
      <c r="F68" s="14">
        <f>E68*H68*0.7457</f>
        <v>74.570000000000007</v>
      </c>
      <c r="G68" s="13" t="s">
        <v>176</v>
      </c>
      <c r="H68" s="13">
        <v>5</v>
      </c>
      <c r="I68" s="16">
        <v>47200</v>
      </c>
      <c r="J68" s="94"/>
      <c r="K68" s="14">
        <v>2009</v>
      </c>
      <c r="L68" s="13" t="s">
        <v>295</v>
      </c>
      <c r="M68" s="77">
        <v>421776</v>
      </c>
      <c r="N68" s="14" t="s">
        <v>28</v>
      </c>
      <c r="O68" s="14">
        <v>0.8</v>
      </c>
      <c r="P68" s="63">
        <f>M68/H68/3.785/60/352</f>
        <v>1.0552419839077698</v>
      </c>
      <c r="Q68" s="14">
        <v>2.2999999999999998</v>
      </c>
      <c r="R68" s="13">
        <v>443391</v>
      </c>
      <c r="S68" s="13">
        <v>1.05</v>
      </c>
      <c r="T68" s="17">
        <v>49125</v>
      </c>
      <c r="U68" s="17">
        <v>49455</v>
      </c>
      <c r="V68" s="18">
        <v>113746</v>
      </c>
    </row>
    <row r="69" spans="1:22" x14ac:dyDescent="0.2">
      <c r="A69" s="28" t="s">
        <v>261</v>
      </c>
      <c r="B69" s="29" t="s">
        <v>262</v>
      </c>
      <c r="C69" s="29" t="s">
        <v>263</v>
      </c>
      <c r="D69" s="29" t="s">
        <v>264</v>
      </c>
      <c r="E69" s="30"/>
      <c r="F69" s="31"/>
      <c r="G69" s="29" t="s">
        <v>143</v>
      </c>
      <c r="H69" s="29">
        <v>12</v>
      </c>
      <c r="I69" s="32">
        <v>86928</v>
      </c>
      <c r="J69" s="94"/>
      <c r="K69" s="31">
        <v>2009</v>
      </c>
      <c r="L69" s="29" t="s">
        <v>222</v>
      </c>
      <c r="M69" s="81">
        <v>12</v>
      </c>
      <c r="N69" s="31" t="s">
        <v>223</v>
      </c>
      <c r="O69" s="31">
        <v>1</v>
      </c>
      <c r="P69" s="67"/>
      <c r="Q69" s="31">
        <v>2.2000000000000002</v>
      </c>
      <c r="R69" s="29">
        <v>12</v>
      </c>
      <c r="S69" s="29">
        <v>1</v>
      </c>
      <c r="T69" s="33">
        <v>86928</v>
      </c>
      <c r="U69" s="33">
        <v>87511</v>
      </c>
      <c r="V69" s="34">
        <v>192524</v>
      </c>
    </row>
    <row r="70" spans="1:22" x14ac:dyDescent="0.2">
      <c r="A70" s="28" t="s">
        <v>276</v>
      </c>
      <c r="B70" s="29" t="s">
        <v>277</v>
      </c>
      <c r="C70" s="29" t="s">
        <v>263</v>
      </c>
      <c r="D70" s="29" t="s">
        <v>264</v>
      </c>
      <c r="E70" s="30"/>
      <c r="F70" s="31"/>
      <c r="G70" s="29" t="s">
        <v>88</v>
      </c>
      <c r="H70" s="29">
        <v>1</v>
      </c>
      <c r="I70" s="32">
        <v>23900</v>
      </c>
      <c r="J70" s="94"/>
      <c r="K70" s="31">
        <v>2009</v>
      </c>
      <c r="L70" s="29" t="s">
        <v>278</v>
      </c>
      <c r="M70" s="81">
        <v>5</v>
      </c>
      <c r="N70" s="31" t="s">
        <v>145</v>
      </c>
      <c r="O70" s="31">
        <v>0.7</v>
      </c>
      <c r="P70" s="67"/>
      <c r="Q70" s="31">
        <v>1.8</v>
      </c>
      <c r="R70" s="29">
        <v>0</v>
      </c>
      <c r="S70" s="29">
        <v>0</v>
      </c>
      <c r="T70" s="33">
        <v>0</v>
      </c>
      <c r="U70" s="33">
        <v>0</v>
      </c>
      <c r="V70" s="34">
        <v>0</v>
      </c>
    </row>
    <row r="71" spans="1:22" x14ac:dyDescent="0.2">
      <c r="A71" s="12" t="s">
        <v>242</v>
      </c>
      <c r="B71" s="13" t="s">
        <v>243</v>
      </c>
      <c r="C71" s="13" t="s">
        <v>141</v>
      </c>
      <c r="D71" s="13" t="s">
        <v>244</v>
      </c>
      <c r="E71" s="89"/>
      <c r="F71" s="14"/>
      <c r="G71" s="13" t="s">
        <v>143</v>
      </c>
      <c r="H71" s="13">
        <v>12</v>
      </c>
      <c r="I71" s="16">
        <v>10128000</v>
      </c>
      <c r="J71" s="94"/>
      <c r="K71" s="14">
        <v>2009</v>
      </c>
      <c r="L71" s="13" t="s">
        <v>222</v>
      </c>
      <c r="M71" s="77">
        <v>12</v>
      </c>
      <c r="N71" s="14" t="s">
        <v>223</v>
      </c>
      <c r="O71" s="14">
        <v>1</v>
      </c>
      <c r="P71" s="63">
        <f>(443391+42607+948+116)*(60+24)/H71/3.785/1000000</f>
        <v>0.90077516512549527</v>
      </c>
      <c r="Q71" s="14">
        <v>1.5</v>
      </c>
      <c r="R71" s="13">
        <v>12</v>
      </c>
      <c r="S71" s="13">
        <v>1</v>
      </c>
      <c r="T71" s="17">
        <v>10128000</v>
      </c>
      <c r="U71" s="17">
        <v>10195921</v>
      </c>
      <c r="V71" s="18">
        <v>15293882</v>
      </c>
    </row>
    <row r="72" spans="1:22" x14ac:dyDescent="0.2">
      <c r="A72" s="12" t="s">
        <v>219</v>
      </c>
      <c r="B72" s="13" t="s">
        <v>220</v>
      </c>
      <c r="C72" s="13" t="s">
        <v>105</v>
      </c>
      <c r="D72" s="13"/>
      <c r="E72" s="4" t="s">
        <v>221</v>
      </c>
      <c r="F72" s="14">
        <f>30*H72*0.7457</f>
        <v>22.371000000000002</v>
      </c>
      <c r="G72" s="13" t="s">
        <v>88</v>
      </c>
      <c r="H72" s="13">
        <v>1</v>
      </c>
      <c r="I72" s="16">
        <v>52500</v>
      </c>
      <c r="J72" s="94"/>
      <c r="K72" s="14">
        <v>2009</v>
      </c>
      <c r="L72" s="13" t="s">
        <v>222</v>
      </c>
      <c r="M72" s="77">
        <v>1</v>
      </c>
      <c r="N72" s="14" t="s">
        <v>223</v>
      </c>
      <c r="O72" s="14">
        <v>1</v>
      </c>
      <c r="P72" s="63"/>
      <c r="Q72" s="14">
        <v>1.5</v>
      </c>
      <c r="R72" s="13">
        <v>12</v>
      </c>
      <c r="S72" s="13">
        <v>12</v>
      </c>
      <c r="T72" s="17">
        <v>630000</v>
      </c>
      <c r="U72" s="17">
        <v>634225</v>
      </c>
      <c r="V72" s="18">
        <v>951337</v>
      </c>
    </row>
    <row r="73" spans="1:22" x14ac:dyDescent="0.2">
      <c r="A73" s="12" t="s">
        <v>279</v>
      </c>
      <c r="B73" s="13" t="s">
        <v>280</v>
      </c>
      <c r="C73" s="13" t="s">
        <v>174</v>
      </c>
      <c r="D73" s="13" t="s">
        <v>281</v>
      </c>
      <c r="E73" s="4">
        <v>20</v>
      </c>
      <c r="F73" s="14">
        <f>E73*H73*0.7457</f>
        <v>74.570000000000007</v>
      </c>
      <c r="G73" s="13" t="s">
        <v>176</v>
      </c>
      <c r="H73" s="13">
        <v>5</v>
      </c>
      <c r="I73" s="16">
        <v>47200</v>
      </c>
      <c r="J73" s="94"/>
      <c r="K73" s="14">
        <v>2009</v>
      </c>
      <c r="L73" s="13" t="s">
        <v>222</v>
      </c>
      <c r="M73" s="77">
        <v>12</v>
      </c>
      <c r="N73" s="14" t="s">
        <v>223</v>
      </c>
      <c r="O73" s="14">
        <v>0.8</v>
      </c>
      <c r="P73" s="63">
        <f>M68/H73/3.785/60/340</f>
        <v>1.0924858186339264</v>
      </c>
      <c r="Q73" s="14">
        <v>2.2999999999999998</v>
      </c>
      <c r="R73" s="13">
        <v>12</v>
      </c>
      <c r="S73" s="13">
        <v>1</v>
      </c>
      <c r="T73" s="17">
        <v>47200</v>
      </c>
      <c r="U73" s="17">
        <v>47517</v>
      </c>
      <c r="V73" s="18">
        <v>109288</v>
      </c>
    </row>
    <row r="74" spans="1:22" x14ac:dyDescent="0.2">
      <c r="A74" s="12" t="s">
        <v>245</v>
      </c>
      <c r="B74" s="13" t="s">
        <v>246</v>
      </c>
      <c r="C74" s="13" t="s">
        <v>247</v>
      </c>
      <c r="D74" s="13" t="s">
        <v>248</v>
      </c>
      <c r="F74" s="14"/>
      <c r="G74" s="13" t="s">
        <v>143</v>
      </c>
      <c r="H74" s="13">
        <v>2</v>
      </c>
      <c r="I74" s="16">
        <v>75400</v>
      </c>
      <c r="J74" s="94" t="s">
        <v>749</v>
      </c>
      <c r="K74" s="14">
        <v>2009</v>
      </c>
      <c r="L74" s="13"/>
      <c r="M74" s="77">
        <v>2</v>
      </c>
      <c r="N74" s="14" t="s">
        <v>223</v>
      </c>
      <c r="O74" s="14">
        <v>0.7</v>
      </c>
      <c r="P74" s="63"/>
      <c r="Q74" s="14">
        <v>1.8</v>
      </c>
      <c r="R74" s="13">
        <v>2</v>
      </c>
      <c r="S74" s="13">
        <v>1</v>
      </c>
      <c r="T74" s="17">
        <v>75400</v>
      </c>
      <c r="U74" s="17">
        <v>75906</v>
      </c>
      <c r="V74" s="18">
        <v>136630</v>
      </c>
    </row>
    <row r="75" spans="1:22" x14ac:dyDescent="0.2">
      <c r="A75" s="12" t="s">
        <v>249</v>
      </c>
      <c r="B75" s="13" t="s">
        <v>250</v>
      </c>
      <c r="C75" s="13" t="s">
        <v>247</v>
      </c>
      <c r="D75" s="13" t="s">
        <v>251</v>
      </c>
      <c r="F75" s="14"/>
      <c r="G75" s="13" t="s">
        <v>143</v>
      </c>
      <c r="H75" s="13">
        <v>2</v>
      </c>
      <c r="I75" s="16">
        <v>116600</v>
      </c>
      <c r="J75" s="94"/>
      <c r="K75" s="14">
        <v>2009</v>
      </c>
      <c r="L75" s="13"/>
      <c r="M75" s="77">
        <v>2</v>
      </c>
      <c r="N75" s="14" t="s">
        <v>223</v>
      </c>
      <c r="O75" s="14">
        <v>0.7</v>
      </c>
      <c r="P75" s="63"/>
      <c r="Q75" s="14">
        <v>1.8</v>
      </c>
      <c r="R75" s="13">
        <v>2</v>
      </c>
      <c r="S75" s="13">
        <v>1</v>
      </c>
      <c r="T75" s="17">
        <v>116600</v>
      </c>
      <c r="U75" s="17">
        <v>117382</v>
      </c>
      <c r="V75" s="18">
        <v>211288</v>
      </c>
    </row>
    <row r="76" spans="1:22" x14ac:dyDescent="0.2">
      <c r="A76" s="12" t="s">
        <v>252</v>
      </c>
      <c r="B76" s="13" t="s">
        <v>253</v>
      </c>
      <c r="C76" s="13" t="s">
        <v>247</v>
      </c>
      <c r="D76" s="13" t="s">
        <v>254</v>
      </c>
      <c r="F76" s="14"/>
      <c r="G76" s="13" t="s">
        <v>143</v>
      </c>
      <c r="H76" s="13">
        <v>2</v>
      </c>
      <c r="I76" s="16">
        <v>157600</v>
      </c>
      <c r="J76" s="94"/>
      <c r="K76" s="14">
        <v>2009</v>
      </c>
      <c r="L76" s="13"/>
      <c r="M76" s="77">
        <v>2</v>
      </c>
      <c r="N76" s="14" t="s">
        <v>223</v>
      </c>
      <c r="O76" s="14">
        <v>0.7</v>
      </c>
      <c r="P76" s="63"/>
      <c r="Q76" s="14">
        <v>1.8</v>
      </c>
      <c r="R76" s="13">
        <v>2</v>
      </c>
      <c r="S76" s="13">
        <v>1</v>
      </c>
      <c r="T76" s="17">
        <v>157600</v>
      </c>
      <c r="U76" s="17">
        <v>158657</v>
      </c>
      <c r="V76" s="18">
        <v>285582</v>
      </c>
    </row>
    <row r="77" spans="1:22" x14ac:dyDescent="0.2">
      <c r="A77" s="12" t="s">
        <v>255</v>
      </c>
      <c r="B77" s="13" t="s">
        <v>256</v>
      </c>
      <c r="C77" s="13" t="s">
        <v>141</v>
      </c>
      <c r="D77" s="13" t="s">
        <v>257</v>
      </c>
      <c r="F77" s="14"/>
      <c r="G77" s="13" t="s">
        <v>143</v>
      </c>
      <c r="H77" s="13">
        <v>2</v>
      </c>
      <c r="I77" s="16">
        <v>352000</v>
      </c>
      <c r="J77" s="94"/>
      <c r="K77" s="14">
        <v>2009</v>
      </c>
      <c r="L77" s="13"/>
      <c r="M77" s="77">
        <v>2</v>
      </c>
      <c r="N77" s="14" t="s">
        <v>223</v>
      </c>
      <c r="O77" s="14">
        <v>0.7</v>
      </c>
      <c r="P77" s="63"/>
      <c r="Q77" s="14">
        <v>2</v>
      </c>
      <c r="R77" s="13">
        <v>2</v>
      </c>
      <c r="S77" s="13">
        <v>1</v>
      </c>
      <c r="T77" s="17">
        <v>352000</v>
      </c>
      <c r="U77" s="17">
        <v>354361</v>
      </c>
      <c r="V77" s="18">
        <v>708721</v>
      </c>
    </row>
    <row r="78" spans="1:22" x14ac:dyDescent="0.2">
      <c r="A78" s="12" t="s">
        <v>228</v>
      </c>
      <c r="B78" s="13" t="s">
        <v>229</v>
      </c>
      <c r="C78" s="13" t="s">
        <v>105</v>
      </c>
      <c r="D78" s="13"/>
      <c r="E78" s="4" t="s">
        <v>230</v>
      </c>
      <c r="F78" s="14">
        <f>7.5*H78*0.7457</f>
        <v>11.185500000000001</v>
      </c>
      <c r="G78" s="13" t="s">
        <v>106</v>
      </c>
      <c r="H78" s="13">
        <v>2</v>
      </c>
      <c r="I78" s="16">
        <v>26000</v>
      </c>
      <c r="J78" s="94"/>
      <c r="K78" s="14">
        <v>2009</v>
      </c>
      <c r="L78" s="13"/>
      <c r="M78" s="77">
        <v>2</v>
      </c>
      <c r="N78" s="14" t="s">
        <v>223</v>
      </c>
      <c r="O78" s="14">
        <v>0.5</v>
      </c>
      <c r="P78" s="63"/>
      <c r="Q78" s="14">
        <v>1.5</v>
      </c>
      <c r="R78" s="13">
        <v>2</v>
      </c>
      <c r="S78" s="13">
        <v>1</v>
      </c>
      <c r="T78" s="17">
        <v>26000</v>
      </c>
      <c r="U78" s="17">
        <v>26174</v>
      </c>
      <c r="V78" s="18">
        <v>39262</v>
      </c>
    </row>
    <row r="79" spans="1:22" x14ac:dyDescent="0.2">
      <c r="A79" s="12" t="s">
        <v>271</v>
      </c>
      <c r="B79" s="13" t="s">
        <v>272</v>
      </c>
      <c r="C79" s="13" t="s">
        <v>141</v>
      </c>
      <c r="D79" s="13" t="s">
        <v>273</v>
      </c>
      <c r="F79" s="14"/>
      <c r="G79" s="13" t="s">
        <v>143</v>
      </c>
      <c r="H79" s="13">
        <v>1</v>
      </c>
      <c r="I79" s="14" t="s">
        <v>33</v>
      </c>
      <c r="J79" s="94"/>
      <c r="K79" s="14"/>
      <c r="L79" s="13"/>
      <c r="M79" s="77"/>
      <c r="N79" s="14"/>
      <c r="O79" s="14"/>
      <c r="P79" s="63"/>
      <c r="Q79" s="14"/>
      <c r="R79" s="13"/>
      <c r="S79" s="13"/>
      <c r="T79" s="13"/>
      <c r="U79" s="13"/>
      <c r="V79" s="15"/>
    </row>
    <row r="80" spans="1:22" x14ac:dyDescent="0.2">
      <c r="A80" s="12" t="s">
        <v>258</v>
      </c>
      <c r="B80" s="13" t="s">
        <v>259</v>
      </c>
      <c r="C80" s="13" t="s">
        <v>141</v>
      </c>
      <c r="D80" s="13" t="s">
        <v>260</v>
      </c>
      <c r="F80" s="14"/>
      <c r="G80" s="13" t="s">
        <v>143</v>
      </c>
      <c r="H80" s="13">
        <v>2</v>
      </c>
      <c r="I80" s="16">
        <v>1180000</v>
      </c>
      <c r="J80" s="94"/>
      <c r="K80" s="14">
        <v>2009</v>
      </c>
      <c r="L80" s="13"/>
      <c r="M80" s="77">
        <v>2</v>
      </c>
      <c r="N80" s="14" t="s">
        <v>223</v>
      </c>
      <c r="O80" s="14">
        <v>0.7</v>
      </c>
      <c r="P80" s="63">
        <f>M83/H83/3.785*36/200000</f>
        <v>1.026</v>
      </c>
      <c r="Q80" s="14">
        <v>2</v>
      </c>
      <c r="R80" s="13">
        <v>2</v>
      </c>
      <c r="S80" s="13">
        <v>1</v>
      </c>
      <c r="T80" s="17">
        <v>1180000</v>
      </c>
      <c r="U80" s="17">
        <v>1187913</v>
      </c>
      <c r="V80" s="18">
        <v>2375827</v>
      </c>
    </row>
    <row r="81" spans="1:22" x14ac:dyDescent="0.2">
      <c r="A81" s="12" t="s">
        <v>274</v>
      </c>
      <c r="B81" s="13" t="s">
        <v>275</v>
      </c>
      <c r="C81" s="13" t="s">
        <v>141</v>
      </c>
      <c r="D81" s="13" t="s">
        <v>273</v>
      </c>
      <c r="F81" s="14"/>
      <c r="G81" s="13" t="s">
        <v>143</v>
      </c>
      <c r="H81" s="13">
        <v>1</v>
      </c>
      <c r="I81" s="14" t="s">
        <v>33</v>
      </c>
      <c r="J81" s="94"/>
      <c r="K81" s="14"/>
      <c r="L81" s="13"/>
      <c r="M81" s="77"/>
      <c r="N81" s="14"/>
      <c r="O81" s="14"/>
      <c r="P81" s="63"/>
      <c r="Q81" s="14"/>
      <c r="R81" s="13"/>
      <c r="S81" s="13"/>
      <c r="T81" s="13"/>
      <c r="U81" s="13"/>
      <c r="V81" s="15"/>
    </row>
    <row r="82" spans="1:22" x14ac:dyDescent="0.2">
      <c r="A82" s="12" t="s">
        <v>231</v>
      </c>
      <c r="B82" s="13" t="s">
        <v>232</v>
      </c>
      <c r="C82" s="13" t="s">
        <v>105</v>
      </c>
      <c r="D82" s="13"/>
      <c r="E82" s="4" t="s">
        <v>52</v>
      </c>
      <c r="F82" s="14">
        <f>10*H82*0.7457</f>
        <v>14.914000000000001</v>
      </c>
      <c r="G82" s="13" t="s">
        <v>106</v>
      </c>
      <c r="H82" s="13">
        <v>2</v>
      </c>
      <c r="I82" s="16">
        <v>43000</v>
      </c>
      <c r="J82" s="94"/>
      <c r="K82" s="14">
        <v>2009</v>
      </c>
      <c r="L82" s="13"/>
      <c r="M82" s="77">
        <v>2</v>
      </c>
      <c r="N82" s="14" t="s">
        <v>223</v>
      </c>
      <c r="O82" s="14">
        <v>0.5</v>
      </c>
      <c r="P82" s="63"/>
      <c r="Q82" s="14">
        <v>1.5</v>
      </c>
      <c r="R82" s="13">
        <v>2</v>
      </c>
      <c r="S82" s="13">
        <v>1</v>
      </c>
      <c r="T82" s="17">
        <v>43000</v>
      </c>
      <c r="U82" s="17">
        <v>43288</v>
      </c>
      <c r="V82" s="18">
        <v>64933</v>
      </c>
    </row>
    <row r="83" spans="1:22" x14ac:dyDescent="0.2">
      <c r="A83" s="12" t="s">
        <v>286</v>
      </c>
      <c r="B83" s="13" t="s">
        <v>287</v>
      </c>
      <c r="C83" s="13" t="s">
        <v>174</v>
      </c>
      <c r="D83" s="13" t="s">
        <v>288</v>
      </c>
      <c r="E83" s="4">
        <v>40</v>
      </c>
      <c r="F83" s="14">
        <f>E83*H83*0.7457</f>
        <v>59.656000000000006</v>
      </c>
      <c r="G83" s="13" t="s">
        <v>176</v>
      </c>
      <c r="H83" s="13">
        <v>2</v>
      </c>
      <c r="I83" s="16">
        <v>24300</v>
      </c>
      <c r="J83" s="94"/>
      <c r="K83" s="14">
        <v>2009</v>
      </c>
      <c r="L83" s="13" t="s">
        <v>285</v>
      </c>
      <c r="M83" s="77">
        <v>43149</v>
      </c>
      <c r="N83" s="14" t="s">
        <v>28</v>
      </c>
      <c r="O83" s="14">
        <v>0.8</v>
      </c>
      <c r="P83" s="63">
        <f>M83/H83/3.785/60/190</f>
        <v>0.5</v>
      </c>
      <c r="Q83" s="14">
        <v>2.2999999999999998</v>
      </c>
      <c r="R83" s="13">
        <v>42607</v>
      </c>
      <c r="S83" s="13">
        <v>0.99</v>
      </c>
      <c r="T83" s="17">
        <v>24055</v>
      </c>
      <c r="U83" s="17">
        <v>24217</v>
      </c>
      <c r="V83" s="18">
        <v>55698</v>
      </c>
    </row>
    <row r="84" spans="1:22" x14ac:dyDescent="0.2">
      <c r="A84" s="12" t="s">
        <v>296</v>
      </c>
      <c r="B84" s="13" t="s">
        <v>297</v>
      </c>
      <c r="C84" s="13" t="s">
        <v>141</v>
      </c>
      <c r="D84" s="13" t="s">
        <v>298</v>
      </c>
      <c r="F84" s="14"/>
      <c r="G84" s="13" t="s">
        <v>176</v>
      </c>
      <c r="H84" s="13">
        <v>1</v>
      </c>
      <c r="I84" s="16">
        <v>439000</v>
      </c>
      <c r="J84" s="94" t="s">
        <v>747</v>
      </c>
      <c r="K84" s="14">
        <v>2009</v>
      </c>
      <c r="L84" s="13" t="s">
        <v>285</v>
      </c>
      <c r="M84" s="77">
        <v>40414</v>
      </c>
      <c r="N84" s="14" t="s">
        <v>28</v>
      </c>
      <c r="O84" s="14">
        <v>0.7</v>
      </c>
      <c r="P84" s="63">
        <f>M84/H84*2.5/300000*1.2</f>
        <v>0.40414</v>
      </c>
      <c r="Q84" s="14">
        <v>1.8</v>
      </c>
      <c r="R84" s="13">
        <v>42607</v>
      </c>
      <c r="S84" s="13">
        <v>1.05</v>
      </c>
      <c r="T84" s="17">
        <v>455540</v>
      </c>
      <c r="U84" s="17">
        <v>458595</v>
      </c>
      <c r="V84" s="18">
        <v>825471</v>
      </c>
    </row>
    <row r="85" spans="1:22" x14ac:dyDescent="0.2">
      <c r="A85" s="12" t="s">
        <v>224</v>
      </c>
      <c r="B85" s="13" t="s">
        <v>225</v>
      </c>
      <c r="C85" s="13" t="s">
        <v>105</v>
      </c>
      <c r="D85" s="13"/>
      <c r="E85" s="4" t="s">
        <v>226</v>
      </c>
      <c r="F85" s="14">
        <f>15*H85*0.7457</f>
        <v>11.185500000000001</v>
      </c>
      <c r="G85" s="13" t="s">
        <v>88</v>
      </c>
      <c r="H85" s="13">
        <v>1</v>
      </c>
      <c r="I85" s="16">
        <v>31800</v>
      </c>
      <c r="J85" s="94"/>
      <c r="K85" s="14">
        <v>2009</v>
      </c>
      <c r="L85" s="13" t="s">
        <v>227</v>
      </c>
      <c r="M85" s="77">
        <v>40414</v>
      </c>
      <c r="N85" s="14" t="s">
        <v>28</v>
      </c>
      <c r="O85" s="14">
        <v>0.5</v>
      </c>
      <c r="P85" s="63"/>
      <c r="Q85" s="14">
        <v>1.5</v>
      </c>
      <c r="R85" s="13">
        <v>42607</v>
      </c>
      <c r="S85" s="13">
        <v>1.05</v>
      </c>
      <c r="T85" s="17">
        <v>32651</v>
      </c>
      <c r="U85" s="17">
        <v>32870</v>
      </c>
      <c r="V85" s="18">
        <v>49305</v>
      </c>
    </row>
    <row r="86" spans="1:22" x14ac:dyDescent="0.2">
      <c r="A86" s="12" t="s">
        <v>282</v>
      </c>
      <c r="B86" s="13" t="s">
        <v>283</v>
      </c>
      <c r="C86" s="13" t="s">
        <v>174</v>
      </c>
      <c r="D86" s="13" t="s">
        <v>284</v>
      </c>
      <c r="E86" s="4">
        <v>10</v>
      </c>
      <c r="F86" s="14">
        <f>E86*H86*0.7457</f>
        <v>7.4570000000000007</v>
      </c>
      <c r="G86" s="13" t="s">
        <v>176</v>
      </c>
      <c r="H86" s="13">
        <v>1</v>
      </c>
      <c r="I86" s="16">
        <v>8200</v>
      </c>
      <c r="J86" s="94"/>
      <c r="K86" s="14">
        <v>2009</v>
      </c>
      <c r="L86" s="13" t="s">
        <v>285</v>
      </c>
      <c r="M86" s="77">
        <v>43149</v>
      </c>
      <c r="N86" s="14" t="s">
        <v>28</v>
      </c>
      <c r="O86" s="14">
        <v>0.8</v>
      </c>
      <c r="P86" s="63">
        <f>M86/H86/3.785/60/190</f>
        <v>1</v>
      </c>
      <c r="Q86" s="14">
        <v>2.2999999999999998</v>
      </c>
      <c r="R86" s="13">
        <v>42607</v>
      </c>
      <c r="S86" s="13">
        <v>0.99</v>
      </c>
      <c r="T86" s="17">
        <v>8117</v>
      </c>
      <c r="U86" s="17">
        <v>8172</v>
      </c>
      <c r="V86" s="18">
        <v>18795</v>
      </c>
    </row>
    <row r="87" spans="1:22" x14ac:dyDescent="0.2">
      <c r="A87" s="28" t="s">
        <v>299</v>
      </c>
      <c r="B87" s="29" t="s">
        <v>300</v>
      </c>
      <c r="C87" s="29" t="s">
        <v>141</v>
      </c>
      <c r="D87" s="29" t="s">
        <v>217</v>
      </c>
      <c r="E87" s="30"/>
      <c r="F87" s="31"/>
      <c r="G87" s="29" t="s">
        <v>176</v>
      </c>
      <c r="H87" s="29">
        <v>1</v>
      </c>
      <c r="I87" s="32">
        <v>636000</v>
      </c>
      <c r="J87" s="33"/>
      <c r="K87" s="31">
        <v>2009</v>
      </c>
      <c r="L87" s="29" t="s">
        <v>235</v>
      </c>
      <c r="M87" s="81">
        <v>425878</v>
      </c>
      <c r="N87" s="31" t="s">
        <v>28</v>
      </c>
      <c r="O87" s="31">
        <v>0.7</v>
      </c>
      <c r="P87" s="67"/>
      <c r="Q87" s="31">
        <v>1.8</v>
      </c>
      <c r="R87" s="29">
        <v>450740</v>
      </c>
      <c r="S87" s="29">
        <v>1.06</v>
      </c>
      <c r="T87" s="33">
        <v>661768</v>
      </c>
      <c r="U87" s="33">
        <v>666206</v>
      </c>
      <c r="V87" s="34">
        <v>1199170</v>
      </c>
    </row>
    <row r="88" spans="1:22" x14ac:dyDescent="0.2">
      <c r="A88" s="28" t="s">
        <v>233</v>
      </c>
      <c r="B88" s="29" t="s">
        <v>234</v>
      </c>
      <c r="C88" s="29" t="s">
        <v>105</v>
      </c>
      <c r="D88" s="29"/>
      <c r="E88" s="30" t="s">
        <v>37</v>
      </c>
      <c r="F88" s="31"/>
      <c r="G88" s="29" t="s">
        <v>88</v>
      </c>
      <c r="H88" s="29">
        <v>2</v>
      </c>
      <c r="I88" s="32">
        <v>68300</v>
      </c>
      <c r="J88" s="33"/>
      <c r="K88" s="31">
        <v>2009</v>
      </c>
      <c r="L88" s="29" t="s">
        <v>235</v>
      </c>
      <c r="M88" s="81">
        <v>425878</v>
      </c>
      <c r="N88" s="31" t="s">
        <v>28</v>
      </c>
      <c r="O88" s="31">
        <v>0.5</v>
      </c>
      <c r="P88" s="67"/>
      <c r="Q88" s="31">
        <v>1.5</v>
      </c>
      <c r="R88" s="29">
        <v>450740</v>
      </c>
      <c r="S88" s="29">
        <v>1.06</v>
      </c>
      <c r="T88" s="33">
        <v>70265</v>
      </c>
      <c r="U88" s="33">
        <v>70737</v>
      </c>
      <c r="V88" s="34">
        <v>106105</v>
      </c>
    </row>
    <row r="89" spans="1:22" x14ac:dyDescent="0.2">
      <c r="A89" s="28" t="s">
        <v>289</v>
      </c>
      <c r="B89" s="29" t="s">
        <v>290</v>
      </c>
      <c r="C89" s="29" t="s">
        <v>174</v>
      </c>
      <c r="D89" s="29" t="s">
        <v>291</v>
      </c>
      <c r="E89" s="30">
        <v>125</v>
      </c>
      <c r="F89" s="31">
        <f t="shared" ref="F89" si="5">E89*H89*0.7457</f>
        <v>93.212500000000006</v>
      </c>
      <c r="G89" s="29" t="s">
        <v>176</v>
      </c>
      <c r="H89" s="29">
        <v>1</v>
      </c>
      <c r="I89" s="32">
        <v>26800</v>
      </c>
      <c r="J89" s="33"/>
      <c r="K89" s="31">
        <v>2009</v>
      </c>
      <c r="L89" s="29" t="s">
        <v>235</v>
      </c>
      <c r="M89" s="81">
        <v>488719</v>
      </c>
      <c r="N89" s="31" t="s">
        <v>28</v>
      </c>
      <c r="O89" s="31">
        <v>0.8</v>
      </c>
      <c r="P89" s="67"/>
      <c r="Q89" s="31">
        <v>2.2999999999999998</v>
      </c>
      <c r="R89" s="29">
        <v>450740</v>
      </c>
      <c r="S89" s="29">
        <v>0.92</v>
      </c>
      <c r="T89" s="33">
        <v>25120</v>
      </c>
      <c r="U89" s="33">
        <v>25289</v>
      </c>
      <c r="V89" s="34">
        <v>58165</v>
      </c>
    </row>
    <row r="90" spans="1:22" x14ac:dyDescent="0.2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78"/>
      <c r="N90" s="20"/>
      <c r="O90" s="20"/>
      <c r="P90" s="64"/>
      <c r="Q90" s="20"/>
      <c r="R90" s="22"/>
      <c r="S90" s="5" t="s">
        <v>305</v>
      </c>
      <c r="T90" s="23">
        <v>18365811</v>
      </c>
      <c r="U90" s="23">
        <v>18483821</v>
      </c>
      <c r="V90" s="23">
        <v>31218520</v>
      </c>
    </row>
    <row r="91" spans="1:22" x14ac:dyDescent="0.2">
      <c r="S91" s="26" t="s">
        <v>736</v>
      </c>
      <c r="T91" s="27">
        <f>SUM(T65:T89)</f>
        <v>18365809</v>
      </c>
      <c r="U91" s="27">
        <f t="shared" ref="U91:V91" si="6">SUM(U65:U89)</f>
        <v>18483822</v>
      </c>
      <c r="V91" s="27">
        <f t="shared" si="6"/>
        <v>31218520</v>
      </c>
    </row>
    <row r="92" spans="1:22" x14ac:dyDescent="0.2">
      <c r="S92" s="26" t="s">
        <v>737</v>
      </c>
      <c r="T92" s="27">
        <f>T90-T91</f>
        <v>2</v>
      </c>
      <c r="U92" s="27">
        <f t="shared" ref="U92" si="7">U90-U91</f>
        <v>-1</v>
      </c>
      <c r="V92" s="27">
        <f t="shared" ref="V92" si="8">V90-V91</f>
        <v>0</v>
      </c>
    </row>
    <row r="94" spans="1:22" x14ac:dyDescent="0.2">
      <c r="A94" s="100" t="s">
        <v>848</v>
      </c>
      <c r="B94" s="100"/>
      <c r="C94" s="100"/>
      <c r="D94" s="100"/>
      <c r="E94" s="100"/>
      <c r="F94" s="100"/>
      <c r="G94" s="100"/>
      <c r="H94" s="100"/>
      <c r="I94" s="100"/>
      <c r="J94" s="35" t="s">
        <v>740</v>
      </c>
      <c r="K94" s="100" t="s">
        <v>1</v>
      </c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</row>
    <row r="95" spans="1:22" x14ac:dyDescent="0.2">
      <c r="A95" s="36" t="s">
        <v>2</v>
      </c>
      <c r="B95" s="36" t="s">
        <v>3</v>
      </c>
      <c r="C95" s="36" t="s">
        <v>4</v>
      </c>
      <c r="D95" s="36" t="s">
        <v>5</v>
      </c>
      <c r="E95" s="36" t="s">
        <v>6</v>
      </c>
      <c r="F95" s="36" t="s">
        <v>741</v>
      </c>
      <c r="G95" s="36" t="s">
        <v>7</v>
      </c>
      <c r="H95" s="36" t="s">
        <v>8</v>
      </c>
      <c r="I95" s="36" t="s">
        <v>9</v>
      </c>
      <c r="J95" s="36"/>
      <c r="K95" s="36" t="s">
        <v>10</v>
      </c>
      <c r="L95" s="36" t="s">
        <v>11</v>
      </c>
      <c r="M95" s="82" t="s">
        <v>12</v>
      </c>
      <c r="N95" s="36" t="s">
        <v>13</v>
      </c>
      <c r="O95" s="36" t="s">
        <v>14</v>
      </c>
      <c r="P95" s="68" t="s">
        <v>855</v>
      </c>
      <c r="Q95" s="36" t="s">
        <v>15</v>
      </c>
      <c r="R95" s="36" t="s">
        <v>16</v>
      </c>
      <c r="S95" s="36" t="s">
        <v>17</v>
      </c>
      <c r="T95" s="36" t="s">
        <v>18</v>
      </c>
      <c r="U95" s="36" t="s">
        <v>19</v>
      </c>
      <c r="V95" s="36" t="s">
        <v>20</v>
      </c>
    </row>
    <row r="96" spans="1:22" x14ac:dyDescent="0.2">
      <c r="A96" s="37" t="s">
        <v>306</v>
      </c>
      <c r="B96" s="38" t="s">
        <v>307</v>
      </c>
      <c r="C96" s="38" t="s">
        <v>105</v>
      </c>
      <c r="D96" s="38"/>
      <c r="E96" s="38">
        <v>800</v>
      </c>
      <c r="F96" s="38"/>
      <c r="G96" s="38" t="s">
        <v>205</v>
      </c>
      <c r="H96" s="38"/>
      <c r="I96" s="39">
        <v>580000</v>
      </c>
      <c r="J96" s="39"/>
      <c r="K96" s="38">
        <v>2009</v>
      </c>
      <c r="L96" s="38" t="s">
        <v>308</v>
      </c>
      <c r="M96" s="83">
        <v>1</v>
      </c>
      <c r="N96" s="38" t="s">
        <v>223</v>
      </c>
      <c r="O96" s="38">
        <v>1</v>
      </c>
      <c r="P96" s="69"/>
      <c r="Q96" s="38">
        <v>1.5</v>
      </c>
      <c r="R96" s="38">
        <v>9</v>
      </c>
      <c r="S96" s="38">
        <v>9</v>
      </c>
      <c r="T96" s="39">
        <v>5220000</v>
      </c>
      <c r="U96" s="39">
        <v>5255007</v>
      </c>
      <c r="V96" s="40">
        <v>7882510</v>
      </c>
    </row>
    <row r="97" spans="1:22" x14ac:dyDescent="0.2">
      <c r="A97" s="28" t="s">
        <v>309</v>
      </c>
      <c r="B97" s="29" t="s">
        <v>307</v>
      </c>
      <c r="C97" s="29" t="s">
        <v>105</v>
      </c>
      <c r="D97" s="29"/>
      <c r="E97" s="29" t="s">
        <v>310</v>
      </c>
      <c r="F97" s="29"/>
      <c r="G97" s="29" t="s">
        <v>205</v>
      </c>
      <c r="H97" s="29"/>
      <c r="I97" s="33">
        <v>3420</v>
      </c>
      <c r="J97" s="33"/>
      <c r="K97" s="29">
        <v>2009</v>
      </c>
      <c r="L97" s="29" t="s">
        <v>311</v>
      </c>
      <c r="M97" s="84">
        <v>1</v>
      </c>
      <c r="N97" s="29" t="s">
        <v>223</v>
      </c>
      <c r="O97" s="29">
        <v>1</v>
      </c>
      <c r="P97" s="70"/>
      <c r="Q97" s="29">
        <v>1.5</v>
      </c>
      <c r="R97" s="29">
        <v>4</v>
      </c>
      <c r="S97" s="29">
        <v>4</v>
      </c>
      <c r="T97" s="33">
        <v>13680</v>
      </c>
      <c r="U97" s="33">
        <v>13772</v>
      </c>
      <c r="V97" s="34">
        <v>20658</v>
      </c>
    </row>
    <row r="98" spans="1:22" x14ac:dyDescent="0.2">
      <c r="A98" s="28" t="s">
        <v>312</v>
      </c>
      <c r="B98" s="29" t="s">
        <v>307</v>
      </c>
      <c r="C98" s="29" t="s">
        <v>105</v>
      </c>
      <c r="D98" s="29"/>
      <c r="E98" s="29" t="s">
        <v>313</v>
      </c>
      <c r="F98" s="29"/>
      <c r="G98" s="29" t="s">
        <v>205</v>
      </c>
      <c r="H98" s="29"/>
      <c r="I98" s="33">
        <v>63000</v>
      </c>
      <c r="J98" s="33"/>
      <c r="K98" s="29">
        <v>2009</v>
      </c>
      <c r="L98" s="29" t="s">
        <v>311</v>
      </c>
      <c r="M98" s="84">
        <v>1</v>
      </c>
      <c r="N98" s="29" t="s">
        <v>223</v>
      </c>
      <c r="O98" s="29">
        <v>1</v>
      </c>
      <c r="P98" s="70"/>
      <c r="Q98" s="29">
        <v>1.5</v>
      </c>
      <c r="R98" s="29">
        <v>4</v>
      </c>
      <c r="S98" s="29">
        <v>4</v>
      </c>
      <c r="T98" s="33">
        <v>252000</v>
      </c>
      <c r="U98" s="33">
        <v>253690</v>
      </c>
      <c r="V98" s="34">
        <v>380535</v>
      </c>
    </row>
    <row r="99" spans="1:22" x14ac:dyDescent="0.2">
      <c r="A99" s="28" t="s">
        <v>314</v>
      </c>
      <c r="B99" s="29" t="s">
        <v>307</v>
      </c>
      <c r="C99" s="29" t="s">
        <v>105</v>
      </c>
      <c r="D99" s="29"/>
      <c r="E99" s="29" t="s">
        <v>315</v>
      </c>
      <c r="F99" s="29"/>
      <c r="G99" s="29" t="s">
        <v>205</v>
      </c>
      <c r="H99" s="29"/>
      <c r="I99" s="33">
        <v>11000</v>
      </c>
      <c r="J99" s="33"/>
      <c r="K99" s="29">
        <v>2009</v>
      </c>
      <c r="L99" s="29" t="s">
        <v>311</v>
      </c>
      <c r="M99" s="84">
        <v>1</v>
      </c>
      <c r="N99" s="29" t="s">
        <v>223</v>
      </c>
      <c r="O99" s="29">
        <v>1</v>
      </c>
      <c r="P99" s="70"/>
      <c r="Q99" s="29">
        <v>1.5</v>
      </c>
      <c r="R99" s="29">
        <v>4</v>
      </c>
      <c r="S99" s="29">
        <v>4</v>
      </c>
      <c r="T99" s="33">
        <v>44000</v>
      </c>
      <c r="U99" s="33">
        <v>44295</v>
      </c>
      <c r="V99" s="34">
        <v>66443</v>
      </c>
    </row>
    <row r="100" spans="1:22" x14ac:dyDescent="0.2">
      <c r="A100" s="28" t="s">
        <v>316</v>
      </c>
      <c r="B100" s="29" t="s">
        <v>317</v>
      </c>
      <c r="C100" s="29" t="s">
        <v>105</v>
      </c>
      <c r="D100" s="29"/>
      <c r="E100" s="29" t="s">
        <v>230</v>
      </c>
      <c r="F100" s="29"/>
      <c r="G100" s="29" t="s">
        <v>318</v>
      </c>
      <c r="H100" s="29">
        <v>1</v>
      </c>
      <c r="I100" s="33">
        <v>8500</v>
      </c>
      <c r="J100" s="33"/>
      <c r="K100" s="29">
        <v>2009</v>
      </c>
      <c r="L100" s="29" t="s">
        <v>319</v>
      </c>
      <c r="M100" s="84">
        <v>12255</v>
      </c>
      <c r="N100" s="29" t="s">
        <v>28</v>
      </c>
      <c r="O100" s="29">
        <v>0.5</v>
      </c>
      <c r="P100" s="70"/>
      <c r="Q100" s="29">
        <v>1.5</v>
      </c>
      <c r="R100" s="29">
        <v>0</v>
      </c>
      <c r="S100" s="29">
        <v>0</v>
      </c>
      <c r="T100" s="33">
        <v>0</v>
      </c>
      <c r="U100" s="33">
        <v>0</v>
      </c>
      <c r="V100" s="34">
        <v>0</v>
      </c>
    </row>
    <row r="101" spans="1:22" x14ac:dyDescent="0.2">
      <c r="A101" s="28" t="s">
        <v>320</v>
      </c>
      <c r="B101" s="29" t="s">
        <v>321</v>
      </c>
      <c r="C101" s="29" t="s">
        <v>105</v>
      </c>
      <c r="D101" s="29"/>
      <c r="E101" s="29" t="s">
        <v>322</v>
      </c>
      <c r="F101" s="29"/>
      <c r="G101" s="29" t="s">
        <v>26</v>
      </c>
      <c r="H101" s="29">
        <v>1</v>
      </c>
      <c r="I101" s="33">
        <v>4800</v>
      </c>
      <c r="J101" s="33"/>
      <c r="K101" s="29">
        <v>2009</v>
      </c>
      <c r="L101" s="29" t="s">
        <v>323</v>
      </c>
      <c r="M101" s="84">
        <v>174</v>
      </c>
      <c r="N101" s="29" t="s">
        <v>28</v>
      </c>
      <c r="O101" s="29">
        <v>0.5</v>
      </c>
      <c r="P101" s="70"/>
      <c r="Q101" s="29">
        <v>1.6</v>
      </c>
      <c r="R101" s="29">
        <v>224</v>
      </c>
      <c r="S101" s="29">
        <v>1.29</v>
      </c>
      <c r="T101" s="33">
        <v>5446</v>
      </c>
      <c r="U101" s="33">
        <v>5482</v>
      </c>
      <c r="V101" s="34">
        <v>8772</v>
      </c>
    </row>
    <row r="102" spans="1:22" x14ac:dyDescent="0.2">
      <c r="A102" s="28" t="s">
        <v>324</v>
      </c>
      <c r="B102" s="29" t="s">
        <v>325</v>
      </c>
      <c r="C102" s="29" t="s">
        <v>105</v>
      </c>
      <c r="D102" s="29"/>
      <c r="E102" s="29" t="s">
        <v>52</v>
      </c>
      <c r="F102" s="29"/>
      <c r="G102" s="29" t="s">
        <v>205</v>
      </c>
      <c r="H102" s="29">
        <v>1</v>
      </c>
      <c r="I102" s="33">
        <v>26900</v>
      </c>
      <c r="J102" s="33"/>
      <c r="K102" s="29">
        <v>2009</v>
      </c>
      <c r="L102" s="29" t="s">
        <v>326</v>
      </c>
      <c r="M102" s="84">
        <v>10930</v>
      </c>
      <c r="N102" s="29" t="s">
        <v>28</v>
      </c>
      <c r="O102" s="29">
        <v>0.5</v>
      </c>
      <c r="P102" s="70"/>
      <c r="Q102" s="29">
        <v>1.5</v>
      </c>
      <c r="R102" s="29">
        <v>13836</v>
      </c>
      <c r="S102" s="29">
        <v>1.27</v>
      </c>
      <c r="T102" s="33">
        <v>30266</v>
      </c>
      <c r="U102" s="33">
        <v>30469</v>
      </c>
      <c r="V102" s="34">
        <v>45703</v>
      </c>
    </row>
    <row r="103" spans="1:22" x14ac:dyDescent="0.2">
      <c r="A103" s="28" t="s">
        <v>327</v>
      </c>
      <c r="B103" s="29" t="s">
        <v>328</v>
      </c>
      <c r="C103" s="29" t="s">
        <v>141</v>
      </c>
      <c r="D103" s="29" t="s">
        <v>329</v>
      </c>
      <c r="E103" s="29"/>
      <c r="F103" s="29"/>
      <c r="G103" s="29" t="s">
        <v>205</v>
      </c>
      <c r="H103" s="29"/>
      <c r="I103" s="33">
        <v>400500</v>
      </c>
      <c r="J103" s="33"/>
      <c r="K103" s="29">
        <v>2009</v>
      </c>
      <c r="L103" s="29" t="s">
        <v>308</v>
      </c>
      <c r="M103" s="84">
        <v>1</v>
      </c>
      <c r="N103" s="29" t="s">
        <v>223</v>
      </c>
      <c r="O103" s="29">
        <v>1</v>
      </c>
      <c r="P103" s="70"/>
      <c r="Q103" s="29">
        <v>2</v>
      </c>
      <c r="R103" s="29">
        <v>9</v>
      </c>
      <c r="S103" s="29">
        <v>9</v>
      </c>
      <c r="T103" s="33">
        <v>3604500</v>
      </c>
      <c r="U103" s="33">
        <v>3628673</v>
      </c>
      <c r="V103" s="34">
        <v>7257345</v>
      </c>
    </row>
    <row r="104" spans="1:22" x14ac:dyDescent="0.2">
      <c r="A104" s="28" t="s">
        <v>330</v>
      </c>
      <c r="B104" s="29" t="s">
        <v>331</v>
      </c>
      <c r="C104" s="29" t="s">
        <v>247</v>
      </c>
      <c r="D104" s="29" t="s">
        <v>332</v>
      </c>
      <c r="E104" s="29"/>
      <c r="F104" s="29"/>
      <c r="G104" s="29" t="s">
        <v>143</v>
      </c>
      <c r="H104" s="29"/>
      <c r="I104" s="33">
        <v>46000</v>
      </c>
      <c r="J104" s="33"/>
      <c r="K104" s="29">
        <v>2009</v>
      </c>
      <c r="L104" s="29" t="s">
        <v>311</v>
      </c>
      <c r="M104" s="84">
        <v>1</v>
      </c>
      <c r="N104" s="29" t="s">
        <v>223</v>
      </c>
      <c r="O104" s="29">
        <v>1</v>
      </c>
      <c r="P104" s="70"/>
      <c r="Q104" s="29">
        <v>1.8</v>
      </c>
      <c r="R104" s="29">
        <v>4</v>
      </c>
      <c r="S104" s="29">
        <v>4</v>
      </c>
      <c r="T104" s="33">
        <v>184000</v>
      </c>
      <c r="U104" s="33">
        <v>185234</v>
      </c>
      <c r="V104" s="34">
        <v>333421</v>
      </c>
    </row>
    <row r="105" spans="1:22" x14ac:dyDescent="0.2">
      <c r="A105" s="28" t="s">
        <v>333</v>
      </c>
      <c r="B105" s="29" t="s">
        <v>334</v>
      </c>
      <c r="C105" s="29" t="s">
        <v>247</v>
      </c>
      <c r="D105" s="29" t="s">
        <v>335</v>
      </c>
      <c r="E105" s="29"/>
      <c r="F105" s="29"/>
      <c r="G105" s="29" t="s">
        <v>143</v>
      </c>
      <c r="H105" s="29"/>
      <c r="I105" s="33">
        <v>57500</v>
      </c>
      <c r="J105" s="33"/>
      <c r="K105" s="29">
        <v>2009</v>
      </c>
      <c r="L105" s="29" t="s">
        <v>311</v>
      </c>
      <c r="M105" s="84">
        <v>1</v>
      </c>
      <c r="N105" s="29" t="s">
        <v>223</v>
      </c>
      <c r="O105" s="29">
        <v>1</v>
      </c>
      <c r="P105" s="70"/>
      <c r="Q105" s="29">
        <v>1.8</v>
      </c>
      <c r="R105" s="29">
        <v>4</v>
      </c>
      <c r="S105" s="29">
        <v>4</v>
      </c>
      <c r="T105" s="33">
        <v>230000</v>
      </c>
      <c r="U105" s="33">
        <v>231542</v>
      </c>
      <c r="V105" s="34">
        <v>416776</v>
      </c>
    </row>
    <row r="106" spans="1:22" x14ac:dyDescent="0.2">
      <c r="A106" s="28" t="s">
        <v>336</v>
      </c>
      <c r="B106" s="29" t="s">
        <v>337</v>
      </c>
      <c r="C106" s="29" t="s">
        <v>247</v>
      </c>
      <c r="D106" s="29" t="s">
        <v>338</v>
      </c>
      <c r="E106" s="29"/>
      <c r="F106" s="29"/>
      <c r="G106" s="29" t="s">
        <v>143</v>
      </c>
      <c r="H106" s="29"/>
      <c r="I106" s="33">
        <v>95400</v>
      </c>
      <c r="J106" s="33"/>
      <c r="K106" s="29">
        <v>2009</v>
      </c>
      <c r="L106" s="29" t="s">
        <v>311</v>
      </c>
      <c r="M106" s="84">
        <v>1</v>
      </c>
      <c r="N106" s="29" t="s">
        <v>223</v>
      </c>
      <c r="O106" s="29">
        <v>1</v>
      </c>
      <c r="P106" s="70"/>
      <c r="Q106" s="29">
        <v>1.8</v>
      </c>
      <c r="R106" s="29">
        <v>4</v>
      </c>
      <c r="S106" s="29">
        <v>4</v>
      </c>
      <c r="T106" s="33">
        <v>381600</v>
      </c>
      <c r="U106" s="33">
        <v>384159</v>
      </c>
      <c r="V106" s="34">
        <v>691486</v>
      </c>
    </row>
    <row r="107" spans="1:22" x14ac:dyDescent="0.2">
      <c r="A107" s="28" t="s">
        <v>339</v>
      </c>
      <c r="B107" s="29" t="s">
        <v>340</v>
      </c>
      <c r="C107" s="29" t="s">
        <v>141</v>
      </c>
      <c r="D107" s="29" t="s">
        <v>341</v>
      </c>
      <c r="E107" s="29"/>
      <c r="F107" s="29"/>
      <c r="G107" s="29" t="s">
        <v>143</v>
      </c>
      <c r="H107" s="29"/>
      <c r="I107" s="29" t="s">
        <v>33</v>
      </c>
      <c r="J107" s="29"/>
      <c r="K107" s="29"/>
      <c r="L107" s="29"/>
      <c r="M107" s="84"/>
      <c r="N107" s="29"/>
      <c r="O107" s="29"/>
      <c r="P107" s="70"/>
      <c r="Q107" s="29"/>
      <c r="R107" s="29"/>
      <c r="S107" s="29"/>
      <c r="T107" s="29"/>
      <c r="U107" s="29"/>
      <c r="V107" s="41"/>
    </row>
    <row r="108" spans="1:22" x14ac:dyDescent="0.2">
      <c r="A108" s="28" t="s">
        <v>342</v>
      </c>
      <c r="B108" s="29" t="s">
        <v>343</v>
      </c>
      <c r="C108" s="29" t="s">
        <v>141</v>
      </c>
      <c r="D108" s="29" t="s">
        <v>344</v>
      </c>
      <c r="E108" s="29"/>
      <c r="F108" s="29"/>
      <c r="G108" s="29" t="s">
        <v>143</v>
      </c>
      <c r="H108" s="29">
        <v>1</v>
      </c>
      <c r="I108" s="29" t="s">
        <v>33</v>
      </c>
      <c r="J108" s="29"/>
      <c r="K108" s="29"/>
      <c r="L108" s="29"/>
      <c r="M108" s="84"/>
      <c r="N108" s="29"/>
      <c r="O108" s="29"/>
      <c r="P108" s="70"/>
      <c r="Q108" s="29"/>
      <c r="R108" s="29"/>
      <c r="S108" s="29"/>
      <c r="T108" s="29"/>
      <c r="U108" s="29"/>
      <c r="V108" s="41"/>
    </row>
    <row r="109" spans="1:22" x14ac:dyDescent="0.2">
      <c r="A109" s="28" t="s">
        <v>345</v>
      </c>
      <c r="B109" s="29" t="s">
        <v>346</v>
      </c>
      <c r="C109" s="29" t="s">
        <v>347</v>
      </c>
      <c r="D109" s="29" t="s">
        <v>348</v>
      </c>
      <c r="E109" s="29"/>
      <c r="F109" s="29"/>
      <c r="G109" s="29" t="s">
        <v>26</v>
      </c>
      <c r="H109" s="29">
        <v>2</v>
      </c>
      <c r="I109" s="33">
        <v>350000</v>
      </c>
      <c r="J109" s="33"/>
      <c r="K109" s="29">
        <v>2009</v>
      </c>
      <c r="L109" s="29" t="s">
        <v>349</v>
      </c>
      <c r="M109" s="84">
        <v>33168</v>
      </c>
      <c r="N109" s="29" t="s">
        <v>28</v>
      </c>
      <c r="O109" s="29">
        <v>0.6</v>
      </c>
      <c r="P109" s="70"/>
      <c r="Q109" s="29">
        <v>1.6</v>
      </c>
      <c r="R109" s="29">
        <v>32583</v>
      </c>
      <c r="S109" s="29">
        <v>0.98</v>
      </c>
      <c r="T109" s="33">
        <v>346282</v>
      </c>
      <c r="U109" s="33">
        <v>348604</v>
      </c>
      <c r="V109" s="34">
        <v>557767</v>
      </c>
    </row>
    <row r="110" spans="1:22" x14ac:dyDescent="0.2">
      <c r="A110" s="28" t="s">
        <v>350</v>
      </c>
      <c r="B110" s="29" t="s">
        <v>351</v>
      </c>
      <c r="C110" s="29" t="s">
        <v>174</v>
      </c>
      <c r="D110" s="29" t="s">
        <v>352</v>
      </c>
      <c r="E110" s="29">
        <v>3</v>
      </c>
      <c r="F110" s="29"/>
      <c r="G110" s="29" t="s">
        <v>176</v>
      </c>
      <c r="H110" s="29">
        <v>1</v>
      </c>
      <c r="I110" s="33">
        <v>7357</v>
      </c>
      <c r="J110" s="33"/>
      <c r="K110" s="29">
        <v>2010</v>
      </c>
      <c r="L110" s="29" t="s">
        <v>353</v>
      </c>
      <c r="M110" s="84">
        <v>13399</v>
      </c>
      <c r="N110" s="29" t="s">
        <v>28</v>
      </c>
      <c r="O110" s="29">
        <v>0.8</v>
      </c>
      <c r="P110" s="70"/>
      <c r="Q110" s="29">
        <v>2.2999999999999998</v>
      </c>
      <c r="R110" s="29">
        <v>13836</v>
      </c>
      <c r="S110" s="29">
        <v>1.03</v>
      </c>
      <c r="T110" s="33">
        <v>7549</v>
      </c>
      <c r="U110" s="33">
        <v>7218</v>
      </c>
      <c r="V110" s="34">
        <v>16600</v>
      </c>
    </row>
    <row r="111" spans="1:22" x14ac:dyDescent="0.2">
      <c r="A111" s="28" t="s">
        <v>354</v>
      </c>
      <c r="B111" s="29" t="s">
        <v>355</v>
      </c>
      <c r="C111" s="29" t="s">
        <v>174</v>
      </c>
      <c r="D111" s="29" t="s">
        <v>356</v>
      </c>
      <c r="E111" s="29">
        <v>2</v>
      </c>
      <c r="F111" s="29"/>
      <c r="G111" s="29" t="s">
        <v>176</v>
      </c>
      <c r="H111" s="29">
        <v>4</v>
      </c>
      <c r="I111" s="33">
        <v>29972</v>
      </c>
      <c r="J111" s="33"/>
      <c r="K111" s="29">
        <v>2010</v>
      </c>
      <c r="L111" s="29" t="s">
        <v>357</v>
      </c>
      <c r="M111" s="84">
        <v>681</v>
      </c>
      <c r="N111" s="29" t="s">
        <v>28</v>
      </c>
      <c r="O111" s="29">
        <v>0.8</v>
      </c>
      <c r="P111" s="70"/>
      <c r="Q111" s="29">
        <v>2.2999999999999998</v>
      </c>
      <c r="R111" s="29">
        <v>770</v>
      </c>
      <c r="S111" s="29">
        <v>1.1299999999999999</v>
      </c>
      <c r="T111" s="33">
        <v>33045</v>
      </c>
      <c r="U111" s="33">
        <v>31596</v>
      </c>
      <c r="V111" s="34">
        <v>72670</v>
      </c>
    </row>
    <row r="112" spans="1:22" x14ac:dyDescent="0.2">
      <c r="A112" s="28" t="s">
        <v>358</v>
      </c>
      <c r="B112" s="29" t="s">
        <v>359</v>
      </c>
      <c r="C112" s="29" t="s">
        <v>174</v>
      </c>
      <c r="D112" s="29" t="s">
        <v>360</v>
      </c>
      <c r="E112" s="29">
        <v>3</v>
      </c>
      <c r="F112" s="29"/>
      <c r="G112" s="29" t="s">
        <v>176</v>
      </c>
      <c r="H112" s="29">
        <v>1</v>
      </c>
      <c r="I112" s="33">
        <v>7357</v>
      </c>
      <c r="J112" s="33"/>
      <c r="K112" s="29">
        <v>2010</v>
      </c>
      <c r="L112" s="29" t="s">
        <v>319</v>
      </c>
      <c r="M112" s="84">
        <v>14307</v>
      </c>
      <c r="N112" s="29" t="s">
        <v>28</v>
      </c>
      <c r="O112" s="29">
        <v>0.8</v>
      </c>
      <c r="P112" s="70"/>
      <c r="Q112" s="29">
        <v>2.2999999999999998</v>
      </c>
      <c r="R112" s="29">
        <v>0</v>
      </c>
      <c r="S112" s="29">
        <v>0</v>
      </c>
      <c r="T112" s="33">
        <v>0</v>
      </c>
      <c r="U112" s="33">
        <v>0</v>
      </c>
      <c r="V112" s="34">
        <v>0</v>
      </c>
    </row>
    <row r="113" spans="1:22" x14ac:dyDescent="0.2">
      <c r="A113" s="28" t="s">
        <v>361</v>
      </c>
      <c r="B113" s="29" t="s">
        <v>362</v>
      </c>
      <c r="C113" s="29" t="s">
        <v>180</v>
      </c>
      <c r="D113" s="29" t="s">
        <v>363</v>
      </c>
      <c r="E113" s="29">
        <v>1</v>
      </c>
      <c r="F113" s="29"/>
      <c r="G113" s="29" t="s">
        <v>176</v>
      </c>
      <c r="H113" s="29">
        <v>1</v>
      </c>
      <c r="I113" s="33">
        <v>1500</v>
      </c>
      <c r="J113" s="33"/>
      <c r="K113" s="29">
        <v>2009</v>
      </c>
      <c r="L113" s="29" t="s">
        <v>323</v>
      </c>
      <c r="M113" s="84">
        <v>454</v>
      </c>
      <c r="N113" s="29" t="s">
        <v>28</v>
      </c>
      <c r="O113" s="29">
        <v>0.8</v>
      </c>
      <c r="P113" s="70"/>
      <c r="Q113" s="29">
        <v>2.2999999999999998</v>
      </c>
      <c r="R113" s="29">
        <v>224</v>
      </c>
      <c r="S113" s="29">
        <v>0.49</v>
      </c>
      <c r="T113" s="33">
        <v>852</v>
      </c>
      <c r="U113" s="33">
        <v>858</v>
      </c>
      <c r="V113" s="34">
        <v>1974</v>
      </c>
    </row>
    <row r="114" spans="1:22" x14ac:dyDescent="0.2">
      <c r="A114" s="28" t="s">
        <v>364</v>
      </c>
      <c r="B114" s="29" t="s">
        <v>365</v>
      </c>
      <c r="C114" s="29" t="s">
        <v>180</v>
      </c>
      <c r="D114" s="29" t="s">
        <v>366</v>
      </c>
      <c r="E114" s="29">
        <v>1</v>
      </c>
      <c r="F114" s="29"/>
      <c r="G114" s="29" t="s">
        <v>176</v>
      </c>
      <c r="H114" s="29">
        <v>1</v>
      </c>
      <c r="I114" s="33">
        <v>1500</v>
      </c>
      <c r="J114" s="33"/>
      <c r="K114" s="29">
        <v>2009</v>
      </c>
      <c r="L114" s="29" t="s">
        <v>367</v>
      </c>
      <c r="M114" s="84">
        <v>18168</v>
      </c>
      <c r="N114" s="29" t="s">
        <v>28</v>
      </c>
      <c r="O114" s="29">
        <v>0.8</v>
      </c>
      <c r="P114" s="70"/>
      <c r="Q114" s="29">
        <v>2.2999999999999998</v>
      </c>
      <c r="R114" s="29">
        <v>13836</v>
      </c>
      <c r="S114" s="29">
        <v>0.76</v>
      </c>
      <c r="T114" s="33">
        <v>4584</v>
      </c>
      <c r="U114" s="33">
        <v>4615</v>
      </c>
      <c r="V114" s="34">
        <v>10614</v>
      </c>
    </row>
    <row r="115" spans="1:22" x14ac:dyDescent="0.2">
      <c r="A115" s="28" t="s">
        <v>368</v>
      </c>
      <c r="B115" s="29" t="s">
        <v>369</v>
      </c>
      <c r="C115" s="29" t="s">
        <v>180</v>
      </c>
      <c r="D115" s="29" t="s">
        <v>363</v>
      </c>
      <c r="E115" s="29">
        <v>1</v>
      </c>
      <c r="F115" s="29"/>
      <c r="G115" s="29" t="s">
        <v>176</v>
      </c>
      <c r="H115" s="29">
        <v>1</v>
      </c>
      <c r="I115" s="33">
        <v>1500</v>
      </c>
      <c r="J115" s="33"/>
      <c r="K115" s="29">
        <v>2009</v>
      </c>
      <c r="L115" s="29" t="s">
        <v>370</v>
      </c>
      <c r="M115" s="84">
        <v>11</v>
      </c>
      <c r="N115" s="29" t="s">
        <v>28</v>
      </c>
      <c r="O115" s="29">
        <v>0.8</v>
      </c>
      <c r="P115" s="70"/>
      <c r="Q115" s="29">
        <v>2.2999999999999998</v>
      </c>
      <c r="R115" s="29">
        <v>13.4</v>
      </c>
      <c r="S115" s="29">
        <v>1.26</v>
      </c>
      <c r="T115" s="33">
        <v>1805</v>
      </c>
      <c r="U115" s="33">
        <v>1817</v>
      </c>
      <c r="V115" s="34">
        <v>4179</v>
      </c>
    </row>
    <row r="116" spans="1:22" x14ac:dyDescent="0.2">
      <c r="A116" s="28" t="s">
        <v>371</v>
      </c>
      <c r="B116" s="29" t="s">
        <v>372</v>
      </c>
      <c r="C116" s="29" t="s">
        <v>373</v>
      </c>
      <c r="D116" s="29" t="s">
        <v>374</v>
      </c>
      <c r="E116" s="29"/>
      <c r="F116" s="29"/>
      <c r="G116" s="29" t="s">
        <v>88</v>
      </c>
      <c r="H116" s="29">
        <v>1</v>
      </c>
      <c r="I116" s="33">
        <v>0</v>
      </c>
      <c r="J116" s="33"/>
      <c r="K116" s="29"/>
      <c r="L116" s="29"/>
      <c r="M116" s="84"/>
      <c r="N116" s="29"/>
      <c r="O116" s="29"/>
      <c r="P116" s="70"/>
      <c r="Q116" s="29"/>
      <c r="R116" s="29"/>
      <c r="S116" s="29"/>
      <c r="T116" s="29"/>
      <c r="U116" s="29"/>
      <c r="V116" s="41"/>
    </row>
    <row r="117" spans="1:22" x14ac:dyDescent="0.2">
      <c r="A117" s="28" t="s">
        <v>375</v>
      </c>
      <c r="B117" s="29" t="s">
        <v>376</v>
      </c>
      <c r="C117" s="29" t="s">
        <v>141</v>
      </c>
      <c r="D117" s="29" t="s">
        <v>377</v>
      </c>
      <c r="E117" s="29"/>
      <c r="F117" s="29"/>
      <c r="G117" s="29" t="s">
        <v>143</v>
      </c>
      <c r="H117" s="29">
        <v>1</v>
      </c>
      <c r="I117" s="33">
        <v>176000</v>
      </c>
      <c r="J117" s="33"/>
      <c r="K117" s="29">
        <v>2009</v>
      </c>
      <c r="L117" s="29" t="s">
        <v>319</v>
      </c>
      <c r="M117" s="84">
        <v>12255</v>
      </c>
      <c r="N117" s="29" t="s">
        <v>28</v>
      </c>
      <c r="O117" s="29">
        <v>0.7</v>
      </c>
      <c r="P117" s="70"/>
      <c r="Q117" s="29">
        <v>1.8</v>
      </c>
      <c r="R117" s="29">
        <v>0</v>
      </c>
      <c r="S117" s="29">
        <v>0</v>
      </c>
      <c r="T117" s="33">
        <v>0</v>
      </c>
      <c r="U117" s="33">
        <v>0</v>
      </c>
      <c r="V117" s="34">
        <v>0</v>
      </c>
    </row>
    <row r="118" spans="1:22" x14ac:dyDescent="0.2">
      <c r="A118" s="28" t="s">
        <v>378</v>
      </c>
      <c r="B118" s="29" t="s">
        <v>379</v>
      </c>
      <c r="C118" s="29" t="s">
        <v>380</v>
      </c>
      <c r="D118" s="29" t="s">
        <v>381</v>
      </c>
      <c r="E118" s="29"/>
      <c r="F118" s="29"/>
      <c r="G118" s="29" t="s">
        <v>382</v>
      </c>
      <c r="H118" s="29">
        <v>1</v>
      </c>
      <c r="I118" s="33">
        <v>9000</v>
      </c>
      <c r="J118" s="33"/>
      <c r="K118" s="29">
        <v>2010</v>
      </c>
      <c r="L118" s="29" t="s">
        <v>323</v>
      </c>
      <c r="M118" s="84">
        <v>224</v>
      </c>
      <c r="N118" s="29" t="s">
        <v>28</v>
      </c>
      <c r="O118" s="29">
        <v>0.7</v>
      </c>
      <c r="P118" s="70"/>
      <c r="Q118" s="29">
        <v>3</v>
      </c>
      <c r="R118" s="29">
        <v>224</v>
      </c>
      <c r="S118" s="29">
        <v>1</v>
      </c>
      <c r="T118" s="33">
        <v>9000</v>
      </c>
      <c r="U118" s="33">
        <v>8605</v>
      </c>
      <c r="V118" s="34">
        <v>25815</v>
      </c>
    </row>
    <row r="119" spans="1:22" x14ac:dyDescent="0.2">
      <c r="A119" s="42" t="s">
        <v>383</v>
      </c>
      <c r="B119" s="43" t="s">
        <v>384</v>
      </c>
      <c r="C119" s="43" t="s">
        <v>141</v>
      </c>
      <c r="D119" s="43" t="s">
        <v>385</v>
      </c>
      <c r="E119" s="43"/>
      <c r="F119" s="43"/>
      <c r="G119" s="43" t="s">
        <v>143</v>
      </c>
      <c r="H119" s="43">
        <v>1</v>
      </c>
      <c r="I119" s="44">
        <v>248070</v>
      </c>
      <c r="J119" s="44"/>
      <c r="K119" s="43">
        <v>2009</v>
      </c>
      <c r="L119" s="43" t="s">
        <v>367</v>
      </c>
      <c r="M119" s="85">
        <v>10930</v>
      </c>
      <c r="N119" s="43" t="s">
        <v>28</v>
      </c>
      <c r="O119" s="43">
        <v>0.7</v>
      </c>
      <c r="P119" s="71"/>
      <c r="Q119" s="43">
        <v>1.8</v>
      </c>
      <c r="R119" s="43">
        <v>13836</v>
      </c>
      <c r="S119" s="43">
        <v>1.27</v>
      </c>
      <c r="T119" s="44">
        <v>292589</v>
      </c>
      <c r="U119" s="44">
        <v>294551</v>
      </c>
      <c r="V119" s="45">
        <v>530192</v>
      </c>
    </row>
    <row r="120" spans="1:22" x14ac:dyDescent="0.2">
      <c r="A120" s="46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86"/>
      <c r="N120" s="47"/>
      <c r="O120" s="47"/>
      <c r="P120" s="72"/>
      <c r="Q120" s="47"/>
      <c r="R120" s="48"/>
      <c r="S120" s="36" t="s">
        <v>386</v>
      </c>
      <c r="T120" s="49">
        <v>10661197</v>
      </c>
      <c r="U120" s="49">
        <v>10730186</v>
      </c>
      <c r="V120" s="49">
        <v>18323460</v>
      </c>
    </row>
    <row r="121" spans="1:22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87"/>
      <c r="N121" s="30"/>
      <c r="O121" s="30"/>
      <c r="P121" s="73"/>
      <c r="Q121" s="30"/>
      <c r="R121" s="30"/>
      <c r="S121" s="50" t="s">
        <v>736</v>
      </c>
      <c r="T121" s="51">
        <f>SUM(T96:T119)</f>
        <v>10661198</v>
      </c>
      <c r="U121" s="51">
        <f t="shared" ref="U121:V121" si="9">SUM(U96:U119)</f>
        <v>10730187</v>
      </c>
      <c r="V121" s="51">
        <f t="shared" si="9"/>
        <v>18323460</v>
      </c>
    </row>
    <row r="122" spans="1:22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87"/>
      <c r="N122" s="30"/>
      <c r="O122" s="30"/>
      <c r="P122" s="73"/>
      <c r="Q122" s="30"/>
      <c r="R122" s="30"/>
      <c r="S122" s="50" t="s">
        <v>737</v>
      </c>
      <c r="T122" s="51">
        <f>T120-T121</f>
        <v>-1</v>
      </c>
      <c r="U122" s="51">
        <f t="shared" ref="U122" si="10">U120-U121</f>
        <v>-1</v>
      </c>
      <c r="V122" s="51">
        <f t="shared" ref="V122" si="11">V120-V121</f>
        <v>0</v>
      </c>
    </row>
    <row r="124" spans="1:22" x14ac:dyDescent="0.2">
      <c r="A124" s="91" t="s">
        <v>849</v>
      </c>
      <c r="B124" s="91"/>
      <c r="C124" s="91"/>
      <c r="D124" s="91"/>
      <c r="E124" s="91"/>
      <c r="F124" s="91"/>
      <c r="G124" s="91"/>
      <c r="H124" s="91"/>
      <c r="I124" s="91"/>
      <c r="J124" s="52" t="s">
        <v>740</v>
      </c>
      <c r="K124" s="91" t="s">
        <v>1</v>
      </c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</row>
    <row r="125" spans="1:22" x14ac:dyDescent="0.2">
      <c r="A125" s="5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741</v>
      </c>
      <c r="G125" s="5" t="s">
        <v>7</v>
      </c>
      <c r="H125" s="5" t="s">
        <v>8</v>
      </c>
      <c r="I125" s="5" t="s">
        <v>9</v>
      </c>
      <c r="J125" s="59"/>
      <c r="K125" s="5" t="s">
        <v>10</v>
      </c>
      <c r="L125" s="5" t="s">
        <v>11</v>
      </c>
      <c r="M125" s="75" t="s">
        <v>12</v>
      </c>
      <c r="N125" s="5" t="s">
        <v>13</v>
      </c>
      <c r="O125" s="5" t="s">
        <v>14</v>
      </c>
      <c r="P125" s="61" t="s">
        <v>855</v>
      </c>
      <c r="Q125" s="5" t="s">
        <v>15</v>
      </c>
      <c r="R125" s="5" t="s">
        <v>16</v>
      </c>
      <c r="S125" s="5" t="s">
        <v>17</v>
      </c>
      <c r="T125" s="5" t="s">
        <v>18</v>
      </c>
      <c r="U125" s="5" t="s">
        <v>19</v>
      </c>
      <c r="V125" s="5" t="s">
        <v>20</v>
      </c>
    </row>
    <row r="126" spans="1:22" s="13" customFormat="1" x14ac:dyDescent="0.2">
      <c r="A126" s="28" t="s">
        <v>481</v>
      </c>
      <c r="B126" s="29" t="s">
        <v>482</v>
      </c>
      <c r="C126" s="29" t="s">
        <v>483</v>
      </c>
      <c r="D126" s="29" t="s">
        <v>484</v>
      </c>
      <c r="E126" s="29"/>
      <c r="F126" s="31"/>
      <c r="G126" s="29" t="s">
        <v>485</v>
      </c>
      <c r="H126" s="29">
        <v>1</v>
      </c>
      <c r="I126" s="32">
        <v>215000</v>
      </c>
      <c r="J126" s="102" t="s">
        <v>854</v>
      </c>
      <c r="K126" s="31">
        <v>2009</v>
      </c>
      <c r="L126" s="29" t="s">
        <v>486</v>
      </c>
      <c r="M126" s="81">
        <v>22608</v>
      </c>
      <c r="N126" s="31" t="s">
        <v>28</v>
      </c>
      <c r="O126" s="31">
        <v>0.6</v>
      </c>
      <c r="P126" s="67"/>
      <c r="Q126" s="31">
        <v>2.4</v>
      </c>
      <c r="R126" s="29">
        <v>21759</v>
      </c>
      <c r="S126" s="29">
        <v>0.96</v>
      </c>
      <c r="T126" s="33">
        <v>210121</v>
      </c>
      <c r="U126" s="33">
        <v>211530</v>
      </c>
      <c r="V126" s="34">
        <v>507673</v>
      </c>
    </row>
    <row r="127" spans="1:22" x14ac:dyDescent="0.2">
      <c r="A127" s="28" t="s">
        <v>453</v>
      </c>
      <c r="B127" s="29" t="s">
        <v>454</v>
      </c>
      <c r="C127" s="29" t="s">
        <v>174</v>
      </c>
      <c r="D127" s="29" t="s">
        <v>455</v>
      </c>
      <c r="E127" s="30"/>
      <c r="F127" s="90">
        <f>E86*H127*0.7457</f>
        <v>7.4570000000000007</v>
      </c>
      <c r="G127" s="29" t="s">
        <v>176</v>
      </c>
      <c r="H127" s="29">
        <v>1</v>
      </c>
      <c r="I127" s="32">
        <v>6300</v>
      </c>
      <c r="J127" s="93"/>
      <c r="K127" s="31">
        <v>2009</v>
      </c>
      <c r="L127" s="29" t="s">
        <v>456</v>
      </c>
      <c r="M127" s="81">
        <v>24527</v>
      </c>
      <c r="N127" s="31" t="s">
        <v>28</v>
      </c>
      <c r="O127" s="31">
        <v>0.8</v>
      </c>
      <c r="P127" s="67"/>
      <c r="Q127" s="31">
        <v>2.2999999999999998</v>
      </c>
      <c r="R127" s="29">
        <v>27197</v>
      </c>
      <c r="S127" s="29">
        <v>1.1100000000000001</v>
      </c>
      <c r="T127" s="33">
        <v>6843</v>
      </c>
      <c r="U127" s="33">
        <v>6889</v>
      </c>
      <c r="V127" s="34">
        <v>15844</v>
      </c>
    </row>
    <row r="128" spans="1:22" x14ac:dyDescent="0.2">
      <c r="A128" s="12" t="s">
        <v>490</v>
      </c>
      <c r="B128" s="13" t="s">
        <v>491</v>
      </c>
      <c r="C128" s="13"/>
      <c r="D128" s="13" t="s">
        <v>492</v>
      </c>
      <c r="F128" s="14"/>
      <c r="G128" s="13" t="s">
        <v>106</v>
      </c>
      <c r="H128" s="13">
        <v>1</v>
      </c>
      <c r="I128" s="16">
        <v>174800</v>
      </c>
      <c r="J128" s="94" t="s">
        <v>751</v>
      </c>
      <c r="K128" s="14">
        <v>2010</v>
      </c>
      <c r="L128" s="13" t="s">
        <v>461</v>
      </c>
      <c r="M128" s="77">
        <v>31815</v>
      </c>
      <c r="N128" s="14" t="s">
        <v>28</v>
      </c>
      <c r="O128" s="14">
        <v>0.7</v>
      </c>
      <c r="P128" s="63"/>
      <c r="Q128" s="14">
        <v>2</v>
      </c>
      <c r="R128" s="13">
        <v>36538</v>
      </c>
      <c r="S128" s="13">
        <v>1.1499999999999999</v>
      </c>
      <c r="T128" s="17">
        <v>192585</v>
      </c>
      <c r="U128" s="17">
        <v>184139</v>
      </c>
      <c r="V128" s="18">
        <v>368278</v>
      </c>
    </row>
    <row r="129" spans="1:22" x14ac:dyDescent="0.2">
      <c r="A129" s="12" t="s">
        <v>462</v>
      </c>
      <c r="B129" s="13" t="s">
        <v>463</v>
      </c>
      <c r="C129" s="13" t="s">
        <v>464</v>
      </c>
      <c r="D129" s="13" t="s">
        <v>465</v>
      </c>
      <c r="E129" s="4" t="s">
        <v>240</v>
      </c>
      <c r="F129" s="14">
        <f>100*H129*0.7457</f>
        <v>74.570000000000007</v>
      </c>
      <c r="G129" s="13" t="s">
        <v>106</v>
      </c>
      <c r="H129" s="13">
        <v>1</v>
      </c>
      <c r="I129" s="16">
        <v>18173</v>
      </c>
      <c r="J129" s="94"/>
      <c r="K129" s="14">
        <v>2010</v>
      </c>
      <c r="L129" s="13" t="s">
        <v>461</v>
      </c>
      <c r="M129" s="77">
        <v>31815</v>
      </c>
      <c r="N129" s="14" t="s">
        <v>28</v>
      </c>
      <c r="O129" s="14">
        <v>0.8</v>
      </c>
      <c r="P129" s="63"/>
      <c r="Q129" s="14">
        <v>2.2999999999999998</v>
      </c>
      <c r="R129" s="13">
        <v>36538</v>
      </c>
      <c r="S129" s="13">
        <v>1.1499999999999999</v>
      </c>
      <c r="T129" s="17">
        <v>20301</v>
      </c>
      <c r="U129" s="17">
        <v>19411</v>
      </c>
      <c r="V129" s="18">
        <v>44645</v>
      </c>
    </row>
    <row r="130" spans="1:22" x14ac:dyDescent="0.2">
      <c r="A130" s="12" t="s">
        <v>427</v>
      </c>
      <c r="B130" s="13" t="s">
        <v>428</v>
      </c>
      <c r="C130" s="13" t="s">
        <v>429</v>
      </c>
      <c r="D130" s="13" t="s">
        <v>430</v>
      </c>
      <c r="E130" s="4" t="s">
        <v>431</v>
      </c>
      <c r="F130" s="14">
        <f>150*H130*0.7457</f>
        <v>111.855</v>
      </c>
      <c r="G130" s="13"/>
      <c r="H130" s="13">
        <v>1</v>
      </c>
      <c r="I130" s="16">
        <v>75200</v>
      </c>
      <c r="J130" s="94"/>
      <c r="K130" s="14">
        <v>2009</v>
      </c>
      <c r="L130" s="13" t="s">
        <v>432</v>
      </c>
      <c r="M130" s="77">
        <v>808</v>
      </c>
      <c r="N130" s="14" t="s">
        <v>28</v>
      </c>
      <c r="O130" s="14">
        <v>0.6</v>
      </c>
      <c r="P130" s="63"/>
      <c r="Q130" s="14">
        <v>1.6</v>
      </c>
      <c r="R130" s="13">
        <v>809</v>
      </c>
      <c r="S130" s="13">
        <v>1</v>
      </c>
      <c r="T130" s="17">
        <v>75245</v>
      </c>
      <c r="U130" s="17">
        <v>75750</v>
      </c>
      <c r="V130" s="18">
        <v>121199</v>
      </c>
    </row>
    <row r="131" spans="1:22" x14ac:dyDescent="0.2">
      <c r="A131" s="12" t="s">
        <v>497</v>
      </c>
      <c r="B131" s="13" t="s">
        <v>498</v>
      </c>
      <c r="C131" s="13"/>
      <c r="D131" s="13" t="s">
        <v>499</v>
      </c>
      <c r="F131" s="14"/>
      <c r="G131" s="13" t="s">
        <v>26</v>
      </c>
      <c r="H131" s="13">
        <v>1</v>
      </c>
      <c r="I131" s="16">
        <v>8000</v>
      </c>
      <c r="J131" s="94"/>
      <c r="K131" s="14">
        <v>2010</v>
      </c>
      <c r="L131" s="13" t="s">
        <v>461</v>
      </c>
      <c r="M131" s="77">
        <v>31815</v>
      </c>
      <c r="N131" s="14" t="s">
        <v>28</v>
      </c>
      <c r="O131" s="14">
        <v>0.7</v>
      </c>
      <c r="P131" s="63"/>
      <c r="Q131" s="14">
        <v>3.1</v>
      </c>
      <c r="R131" s="13">
        <v>36538</v>
      </c>
      <c r="S131" s="13">
        <v>1.1499999999999999</v>
      </c>
      <c r="T131" s="17">
        <v>8814</v>
      </c>
      <c r="U131" s="17">
        <v>8427</v>
      </c>
      <c r="V131" s="18">
        <v>26125</v>
      </c>
    </row>
    <row r="132" spans="1:22" x14ac:dyDescent="0.2">
      <c r="A132" s="12" t="s">
        <v>433</v>
      </c>
      <c r="B132" s="13" t="s">
        <v>434</v>
      </c>
      <c r="C132" s="13" t="s">
        <v>429</v>
      </c>
      <c r="D132" s="13" t="s">
        <v>435</v>
      </c>
      <c r="E132" s="4" t="s">
        <v>436</v>
      </c>
      <c r="F132" s="14">
        <f>700*H132*0.7457</f>
        <v>1043.98</v>
      </c>
      <c r="G132" s="13"/>
      <c r="H132" s="13">
        <v>2</v>
      </c>
      <c r="I132" s="16">
        <v>405000</v>
      </c>
      <c r="J132" s="94"/>
      <c r="K132" s="14">
        <v>2009</v>
      </c>
      <c r="L132" s="13" t="s">
        <v>437</v>
      </c>
      <c r="M132" s="77">
        <v>12233</v>
      </c>
      <c r="N132" s="14" t="s">
        <v>28</v>
      </c>
      <c r="O132" s="14">
        <v>0.6</v>
      </c>
      <c r="P132" s="63"/>
      <c r="Q132" s="14">
        <v>1.6</v>
      </c>
      <c r="R132" s="13">
        <v>12105</v>
      </c>
      <c r="S132" s="13">
        <v>0.99</v>
      </c>
      <c r="T132" s="17">
        <v>402453</v>
      </c>
      <c r="U132" s="17">
        <v>405152</v>
      </c>
      <c r="V132" s="18">
        <v>648243</v>
      </c>
    </row>
    <row r="133" spans="1:22" s="13" customFormat="1" x14ac:dyDescent="0.2">
      <c r="A133" s="12" t="s">
        <v>500</v>
      </c>
      <c r="B133" s="13" t="s">
        <v>501</v>
      </c>
      <c r="D133" s="13" t="s">
        <v>502</v>
      </c>
      <c r="F133" s="14"/>
      <c r="G133" s="13" t="s">
        <v>26</v>
      </c>
      <c r="H133" s="13">
        <v>2</v>
      </c>
      <c r="I133" s="16">
        <v>17000</v>
      </c>
      <c r="J133" s="94"/>
      <c r="K133" s="14">
        <v>2010</v>
      </c>
      <c r="L133" s="13" t="s">
        <v>461</v>
      </c>
      <c r="M133" s="77">
        <v>31815</v>
      </c>
      <c r="N133" s="14" t="s">
        <v>28</v>
      </c>
      <c r="O133" s="14">
        <v>0.7</v>
      </c>
      <c r="P133" s="63"/>
      <c r="Q133" s="14">
        <v>3.1</v>
      </c>
      <c r="R133" s="13">
        <v>36538</v>
      </c>
      <c r="S133" s="13">
        <v>1.1499999999999999</v>
      </c>
      <c r="T133" s="17">
        <v>18730</v>
      </c>
      <c r="U133" s="17">
        <v>17908</v>
      </c>
      <c r="V133" s="18">
        <v>55516</v>
      </c>
    </row>
    <row r="134" spans="1:22" x14ac:dyDescent="0.2">
      <c r="A134" s="12" t="s">
        <v>473</v>
      </c>
      <c r="B134" s="13" t="s">
        <v>474</v>
      </c>
      <c r="C134" s="13" t="s">
        <v>196</v>
      </c>
      <c r="D134" s="13" t="s">
        <v>475</v>
      </c>
      <c r="F134" s="14"/>
      <c r="G134" s="13" t="s">
        <v>205</v>
      </c>
      <c r="H134" s="13">
        <v>2</v>
      </c>
      <c r="I134" s="16">
        <v>3294700</v>
      </c>
      <c r="J134" s="94"/>
      <c r="K134" s="14">
        <v>2010</v>
      </c>
      <c r="L134" s="13" t="s">
        <v>461</v>
      </c>
      <c r="M134" s="77">
        <v>31815</v>
      </c>
      <c r="N134" s="14" t="s">
        <v>28</v>
      </c>
      <c r="O134" s="14">
        <v>0.8</v>
      </c>
      <c r="P134" s="63"/>
      <c r="Q134" s="14">
        <v>1.7</v>
      </c>
      <c r="R134" s="13">
        <v>36538</v>
      </c>
      <c r="S134" s="13">
        <v>1.1499999999999999</v>
      </c>
      <c r="T134" s="17">
        <v>3680519</v>
      </c>
      <c r="U134" s="17">
        <v>3519098</v>
      </c>
      <c r="V134" s="18">
        <v>5982467</v>
      </c>
    </row>
    <row r="135" spans="1:22" x14ac:dyDescent="0.2">
      <c r="A135" s="12" t="s">
        <v>470</v>
      </c>
      <c r="B135" s="13" t="s">
        <v>471</v>
      </c>
      <c r="C135" s="13" t="s">
        <v>459</v>
      </c>
      <c r="D135" s="13" t="s">
        <v>460</v>
      </c>
      <c r="E135" s="4" t="s">
        <v>472</v>
      </c>
      <c r="F135" s="14">
        <f>75*H135*0.7457</f>
        <v>55.927500000000002</v>
      </c>
      <c r="G135" s="13" t="s">
        <v>106</v>
      </c>
      <c r="H135" s="13">
        <v>1</v>
      </c>
      <c r="I135" s="16">
        <v>13040</v>
      </c>
      <c r="J135" s="94"/>
      <c r="K135" s="14">
        <v>2010</v>
      </c>
      <c r="L135" s="13" t="s">
        <v>461</v>
      </c>
      <c r="M135" s="77">
        <v>31815</v>
      </c>
      <c r="N135" s="14" t="s">
        <v>28</v>
      </c>
      <c r="O135" s="14">
        <v>0.8</v>
      </c>
      <c r="P135" s="63"/>
      <c r="Q135" s="14">
        <v>2.2999999999999998</v>
      </c>
      <c r="R135" s="13">
        <v>36538</v>
      </c>
      <c r="S135" s="13">
        <v>1.1499999999999999</v>
      </c>
      <c r="T135" s="17">
        <v>14567</v>
      </c>
      <c r="U135" s="17">
        <v>13928</v>
      </c>
      <c r="V135" s="18">
        <v>32035</v>
      </c>
    </row>
    <row r="136" spans="1:22" s="13" customFormat="1" x14ac:dyDescent="0.2">
      <c r="A136" s="12" t="s">
        <v>487</v>
      </c>
      <c r="B136" s="13" t="s">
        <v>488</v>
      </c>
      <c r="D136" s="13" t="s">
        <v>489</v>
      </c>
      <c r="F136" s="14"/>
      <c r="G136" s="13" t="s">
        <v>106</v>
      </c>
      <c r="H136" s="13">
        <v>1</v>
      </c>
      <c r="I136" s="16">
        <v>103000</v>
      </c>
      <c r="J136" s="94"/>
      <c r="K136" s="14">
        <v>2010</v>
      </c>
      <c r="L136" s="13" t="s">
        <v>461</v>
      </c>
      <c r="M136" s="77">
        <v>31815</v>
      </c>
      <c r="N136" s="14" t="s">
        <v>28</v>
      </c>
      <c r="O136" s="14">
        <v>0.7</v>
      </c>
      <c r="P136" s="63"/>
      <c r="Q136" s="14">
        <v>2</v>
      </c>
      <c r="R136" s="13">
        <v>36538</v>
      </c>
      <c r="S136" s="13">
        <v>1.1499999999999999</v>
      </c>
      <c r="T136" s="17">
        <v>113480</v>
      </c>
      <c r="U136" s="17">
        <v>108503</v>
      </c>
      <c r="V136" s="18">
        <v>217006</v>
      </c>
    </row>
    <row r="137" spans="1:22" x14ac:dyDescent="0.2">
      <c r="A137" s="12" t="s">
        <v>387</v>
      </c>
      <c r="B137" s="13" t="s">
        <v>388</v>
      </c>
      <c r="C137" s="13" t="s">
        <v>105</v>
      </c>
      <c r="D137" s="13"/>
      <c r="E137" s="4" t="s">
        <v>230</v>
      </c>
      <c r="F137" s="14">
        <f>7.5*H137*0.7457</f>
        <v>5.5927500000000006</v>
      </c>
      <c r="G137" s="13" t="s">
        <v>106</v>
      </c>
      <c r="H137" s="13">
        <v>1</v>
      </c>
      <c r="I137" s="16">
        <v>26000</v>
      </c>
      <c r="J137" s="94"/>
      <c r="K137" s="14">
        <v>2009</v>
      </c>
      <c r="L137" s="13" t="s">
        <v>389</v>
      </c>
      <c r="M137" s="77">
        <v>337439</v>
      </c>
      <c r="N137" s="14" t="s">
        <v>28</v>
      </c>
      <c r="O137" s="14">
        <v>0.5</v>
      </c>
      <c r="P137" s="63"/>
      <c r="Q137" s="14">
        <v>1.5</v>
      </c>
      <c r="R137" s="13">
        <v>355024</v>
      </c>
      <c r="S137" s="13">
        <v>1.05</v>
      </c>
      <c r="T137" s="17">
        <v>26669</v>
      </c>
      <c r="U137" s="17">
        <v>26848</v>
      </c>
      <c r="V137" s="18">
        <v>40272</v>
      </c>
    </row>
    <row r="138" spans="1:22" x14ac:dyDescent="0.2">
      <c r="A138" s="12" t="s">
        <v>457</v>
      </c>
      <c r="B138" s="13" t="s">
        <v>458</v>
      </c>
      <c r="C138" s="13" t="s">
        <v>459</v>
      </c>
      <c r="D138" s="13" t="s">
        <v>460</v>
      </c>
      <c r="F138" s="14"/>
      <c r="G138" s="13" t="s">
        <v>106</v>
      </c>
      <c r="H138" s="13">
        <v>1</v>
      </c>
      <c r="I138" s="16">
        <v>13040</v>
      </c>
      <c r="J138" s="94"/>
      <c r="K138" s="14">
        <v>2010</v>
      </c>
      <c r="L138" s="13" t="s">
        <v>461</v>
      </c>
      <c r="M138" s="77">
        <v>31815</v>
      </c>
      <c r="N138" s="14" t="s">
        <v>28</v>
      </c>
      <c r="O138" s="14">
        <v>0.8</v>
      </c>
      <c r="P138" s="63"/>
      <c r="Q138" s="14">
        <v>2.2999999999999998</v>
      </c>
      <c r="R138" s="13">
        <v>36538</v>
      </c>
      <c r="S138" s="13">
        <v>1.1499999999999999</v>
      </c>
      <c r="T138" s="17">
        <v>14567</v>
      </c>
      <c r="U138" s="17">
        <v>13928</v>
      </c>
      <c r="V138" s="18">
        <v>32035</v>
      </c>
    </row>
    <row r="139" spans="1:22" x14ac:dyDescent="0.2">
      <c r="A139" s="12" t="s">
        <v>390</v>
      </c>
      <c r="B139" s="13" t="s">
        <v>391</v>
      </c>
      <c r="C139" s="13" t="s">
        <v>392</v>
      </c>
      <c r="D139" s="13" t="s">
        <v>393</v>
      </c>
      <c r="E139" s="4">
        <v>10</v>
      </c>
      <c r="F139" s="14">
        <f>E139*H139*0.7457</f>
        <v>7.4570000000000007</v>
      </c>
      <c r="G139" s="13" t="s">
        <v>88</v>
      </c>
      <c r="H139" s="13">
        <v>1</v>
      </c>
      <c r="I139" s="16">
        <v>70000</v>
      </c>
      <c r="J139" s="94"/>
      <c r="K139" s="14">
        <v>2009</v>
      </c>
      <c r="L139" s="13" t="s">
        <v>394</v>
      </c>
      <c r="M139" s="77">
        <v>28630</v>
      </c>
      <c r="N139" s="14" t="s">
        <v>28</v>
      </c>
      <c r="O139" s="14">
        <v>0.8</v>
      </c>
      <c r="P139" s="63"/>
      <c r="Q139" s="14">
        <v>1.7</v>
      </c>
      <c r="R139" s="13">
        <v>36538</v>
      </c>
      <c r="S139" s="13">
        <v>1.28</v>
      </c>
      <c r="T139" s="17">
        <v>85082</v>
      </c>
      <c r="U139" s="17">
        <v>85653</v>
      </c>
      <c r="V139" s="18">
        <v>145610</v>
      </c>
    </row>
    <row r="140" spans="1:22" x14ac:dyDescent="0.2">
      <c r="A140" s="12" t="s">
        <v>395</v>
      </c>
      <c r="B140" s="13" t="s">
        <v>396</v>
      </c>
      <c r="C140" s="13" t="s">
        <v>392</v>
      </c>
      <c r="D140" s="13" t="s">
        <v>397</v>
      </c>
      <c r="E140" s="4">
        <v>15</v>
      </c>
      <c r="F140" s="14">
        <f>E140*H140*0.7457</f>
        <v>11.185500000000001</v>
      </c>
      <c r="G140" s="13" t="s">
        <v>88</v>
      </c>
      <c r="H140" s="13">
        <v>1</v>
      </c>
      <c r="I140" s="16">
        <v>20000</v>
      </c>
      <c r="J140" s="94"/>
      <c r="K140" s="14">
        <v>2009</v>
      </c>
      <c r="L140" s="13" t="s">
        <v>394</v>
      </c>
      <c r="M140" s="77">
        <v>28630</v>
      </c>
      <c r="N140" s="14" t="s">
        <v>28</v>
      </c>
      <c r="O140" s="14">
        <v>0.8</v>
      </c>
      <c r="P140" s="63"/>
      <c r="Q140" s="14">
        <v>1.7</v>
      </c>
      <c r="R140" s="13">
        <v>36538</v>
      </c>
      <c r="S140" s="13">
        <v>1.28</v>
      </c>
      <c r="T140" s="17">
        <v>24309</v>
      </c>
      <c r="U140" s="17">
        <v>24472</v>
      </c>
      <c r="V140" s="18">
        <v>41603</v>
      </c>
    </row>
    <row r="141" spans="1:22" x14ac:dyDescent="0.2">
      <c r="A141" s="12" t="s">
        <v>493</v>
      </c>
      <c r="B141" s="13" t="s">
        <v>494</v>
      </c>
      <c r="C141" s="13" t="s">
        <v>495</v>
      </c>
      <c r="D141" s="13" t="s">
        <v>496</v>
      </c>
      <c r="F141" s="14"/>
      <c r="G141" s="13" t="s">
        <v>382</v>
      </c>
      <c r="H141" s="13">
        <v>1</v>
      </c>
      <c r="I141" s="16">
        <v>1520</v>
      </c>
      <c r="J141" s="94"/>
      <c r="K141" s="14">
        <v>2010</v>
      </c>
      <c r="L141" s="13" t="s">
        <v>461</v>
      </c>
      <c r="M141" s="77">
        <v>31815</v>
      </c>
      <c r="N141" s="14" t="s">
        <v>28</v>
      </c>
      <c r="O141" s="14">
        <v>0.7</v>
      </c>
      <c r="P141" s="63"/>
      <c r="Q141" s="14">
        <v>3</v>
      </c>
      <c r="R141" s="13">
        <v>36538</v>
      </c>
      <c r="S141" s="13">
        <v>1.1499999999999999</v>
      </c>
      <c r="T141" s="17">
        <v>1675</v>
      </c>
      <c r="U141" s="17">
        <v>1601</v>
      </c>
      <c r="V141" s="18">
        <v>4804</v>
      </c>
    </row>
    <row r="142" spans="1:22" x14ac:dyDescent="0.2">
      <c r="A142" s="12" t="s">
        <v>466</v>
      </c>
      <c r="B142" s="13" t="s">
        <v>467</v>
      </c>
      <c r="C142" s="13" t="s">
        <v>464</v>
      </c>
      <c r="D142" s="13"/>
      <c r="E142" s="4" t="s">
        <v>240</v>
      </c>
      <c r="F142" s="14">
        <f>100*H142*0.7457</f>
        <v>74.570000000000007</v>
      </c>
      <c r="G142" s="13" t="s">
        <v>106</v>
      </c>
      <c r="H142" s="13">
        <v>1</v>
      </c>
      <c r="I142" s="16">
        <v>17057</v>
      </c>
      <c r="J142" s="94"/>
      <c r="K142" s="14">
        <v>2010</v>
      </c>
      <c r="L142" s="13" t="s">
        <v>461</v>
      </c>
      <c r="M142" s="77">
        <v>31815</v>
      </c>
      <c r="N142" s="14" t="s">
        <v>28</v>
      </c>
      <c r="O142" s="14">
        <v>0.8</v>
      </c>
      <c r="P142" s="63"/>
      <c r="Q142" s="14">
        <v>2.2999999999999998</v>
      </c>
      <c r="R142" s="13">
        <v>36538</v>
      </c>
      <c r="S142" s="13">
        <v>1.1499999999999999</v>
      </c>
      <c r="T142" s="17">
        <v>19054</v>
      </c>
      <c r="U142" s="17">
        <v>18219</v>
      </c>
      <c r="V142" s="18">
        <v>41903</v>
      </c>
    </row>
    <row r="143" spans="1:22" x14ac:dyDescent="0.2">
      <c r="A143" s="12" t="s">
        <v>468</v>
      </c>
      <c r="B143" s="13" t="s">
        <v>469</v>
      </c>
      <c r="C143" s="13" t="s">
        <v>464</v>
      </c>
      <c r="D143" s="13"/>
      <c r="E143" s="4" t="s">
        <v>431</v>
      </c>
      <c r="F143" s="14">
        <f>150*H143*0.7457</f>
        <v>111.855</v>
      </c>
      <c r="G143" s="13" t="s">
        <v>106</v>
      </c>
      <c r="H143" s="13">
        <v>1</v>
      </c>
      <c r="I143" s="16">
        <v>29154</v>
      </c>
      <c r="J143" s="94"/>
      <c r="K143" s="14">
        <v>2010</v>
      </c>
      <c r="L143" s="13" t="s">
        <v>461</v>
      </c>
      <c r="M143" s="77">
        <v>31815</v>
      </c>
      <c r="N143" s="14" t="s">
        <v>28</v>
      </c>
      <c r="O143" s="14">
        <v>0.8</v>
      </c>
      <c r="P143" s="63"/>
      <c r="Q143" s="14">
        <v>2.2999999999999998</v>
      </c>
      <c r="R143" s="13">
        <v>36538</v>
      </c>
      <c r="S143" s="13">
        <v>1.1499999999999999</v>
      </c>
      <c r="T143" s="17">
        <v>32568</v>
      </c>
      <c r="U143" s="17">
        <v>31140</v>
      </c>
      <c r="V143" s="18">
        <v>71621</v>
      </c>
    </row>
    <row r="144" spans="1:22" x14ac:dyDescent="0.2">
      <c r="A144" s="28" t="s">
        <v>398</v>
      </c>
      <c r="B144" s="29" t="s">
        <v>399</v>
      </c>
      <c r="C144" s="29" t="s">
        <v>400</v>
      </c>
      <c r="D144" s="29" t="s">
        <v>401</v>
      </c>
      <c r="E144" s="30"/>
      <c r="F144" s="31"/>
      <c r="G144" s="29" t="s">
        <v>176</v>
      </c>
      <c r="H144" s="29">
        <v>1</v>
      </c>
      <c r="I144" s="32">
        <v>3407000</v>
      </c>
      <c r="J144" s="33"/>
      <c r="K144" s="31">
        <v>2009</v>
      </c>
      <c r="L144" s="29" t="s">
        <v>402</v>
      </c>
      <c r="M144" s="81">
        <v>30379</v>
      </c>
      <c r="N144" s="31" t="s">
        <v>28</v>
      </c>
      <c r="O144" s="31">
        <v>0.6</v>
      </c>
      <c r="P144" s="67"/>
      <c r="Q144" s="31">
        <v>2.4</v>
      </c>
      <c r="R144" s="29">
        <v>29213</v>
      </c>
      <c r="S144" s="29">
        <v>0.96</v>
      </c>
      <c r="T144" s="33">
        <v>3327914</v>
      </c>
      <c r="U144" s="33">
        <v>3350232</v>
      </c>
      <c r="V144" s="34">
        <v>8040557</v>
      </c>
    </row>
    <row r="145" spans="1:22" x14ac:dyDescent="0.2">
      <c r="A145" s="28" t="s">
        <v>403</v>
      </c>
      <c r="B145" s="29" t="s">
        <v>404</v>
      </c>
      <c r="C145" s="29" t="s">
        <v>400</v>
      </c>
      <c r="D145" s="29" t="s">
        <v>405</v>
      </c>
      <c r="E145" s="30"/>
      <c r="F145" s="31"/>
      <c r="G145" s="29" t="s">
        <v>176</v>
      </c>
      <c r="H145" s="29">
        <v>1</v>
      </c>
      <c r="I145" s="31" t="s">
        <v>33</v>
      </c>
      <c r="J145" s="29"/>
      <c r="K145" s="31"/>
      <c r="L145" s="29"/>
      <c r="M145" s="81"/>
      <c r="N145" s="31"/>
      <c r="O145" s="31"/>
      <c r="P145" s="67"/>
      <c r="Q145" s="31"/>
      <c r="R145" s="29"/>
      <c r="S145" s="29"/>
      <c r="T145" s="29"/>
      <c r="U145" s="29"/>
      <c r="V145" s="41"/>
    </row>
    <row r="146" spans="1:22" x14ac:dyDescent="0.2">
      <c r="A146" s="28" t="s">
        <v>406</v>
      </c>
      <c r="B146" s="29" t="s">
        <v>407</v>
      </c>
      <c r="C146" s="29" t="s">
        <v>400</v>
      </c>
      <c r="D146" s="29" t="s">
        <v>408</v>
      </c>
      <c r="E146" s="30"/>
      <c r="F146" s="31"/>
      <c r="G146" s="29" t="s">
        <v>409</v>
      </c>
      <c r="H146" s="29">
        <v>1</v>
      </c>
      <c r="I146" s="31" t="s">
        <v>33</v>
      </c>
      <c r="J146" s="29"/>
      <c r="K146" s="31"/>
      <c r="L146" s="29"/>
      <c r="M146" s="81"/>
      <c r="N146" s="31"/>
      <c r="O146" s="31"/>
      <c r="P146" s="67"/>
      <c r="Q146" s="31"/>
      <c r="R146" s="29"/>
      <c r="S146" s="29"/>
      <c r="T146" s="29"/>
      <c r="U146" s="29"/>
      <c r="V146" s="41"/>
    </row>
    <row r="147" spans="1:22" x14ac:dyDescent="0.2">
      <c r="A147" s="28" t="s">
        <v>410</v>
      </c>
      <c r="B147" s="29" t="s">
        <v>411</v>
      </c>
      <c r="C147" s="29" t="s">
        <v>400</v>
      </c>
      <c r="D147" s="29" t="s">
        <v>408</v>
      </c>
      <c r="E147" s="30"/>
      <c r="F147" s="31"/>
      <c r="G147" s="29" t="s">
        <v>409</v>
      </c>
      <c r="H147" s="29">
        <v>1</v>
      </c>
      <c r="I147" s="31" t="s">
        <v>33</v>
      </c>
      <c r="J147" s="29"/>
      <c r="K147" s="31"/>
      <c r="L147" s="29"/>
      <c r="M147" s="81"/>
      <c r="N147" s="31"/>
      <c r="O147" s="31"/>
      <c r="P147" s="67"/>
      <c r="Q147" s="31"/>
      <c r="R147" s="29"/>
      <c r="S147" s="29"/>
      <c r="T147" s="29"/>
      <c r="U147" s="29"/>
      <c r="V147" s="41"/>
    </row>
    <row r="148" spans="1:22" x14ac:dyDescent="0.2">
      <c r="A148" s="28" t="s">
        <v>412</v>
      </c>
      <c r="B148" s="29" t="s">
        <v>413</v>
      </c>
      <c r="C148" s="29" t="s">
        <v>400</v>
      </c>
      <c r="D148" s="29" t="s">
        <v>408</v>
      </c>
      <c r="E148" s="30"/>
      <c r="F148" s="31"/>
      <c r="G148" s="29" t="s">
        <v>409</v>
      </c>
      <c r="H148" s="29">
        <v>1</v>
      </c>
      <c r="I148" s="31" t="s">
        <v>33</v>
      </c>
      <c r="J148" s="29"/>
      <c r="K148" s="31"/>
      <c r="L148" s="29"/>
      <c r="M148" s="81"/>
      <c r="N148" s="31"/>
      <c r="O148" s="31"/>
      <c r="P148" s="67"/>
      <c r="Q148" s="31"/>
      <c r="R148" s="29"/>
      <c r="S148" s="29"/>
      <c r="T148" s="29"/>
      <c r="U148" s="29"/>
      <c r="V148" s="41"/>
    </row>
    <row r="149" spans="1:22" x14ac:dyDescent="0.2">
      <c r="A149" s="28" t="s">
        <v>414</v>
      </c>
      <c r="B149" s="29" t="s">
        <v>415</v>
      </c>
      <c r="C149" s="29" t="s">
        <v>416</v>
      </c>
      <c r="D149" s="29" t="s">
        <v>417</v>
      </c>
      <c r="E149" s="30" t="s">
        <v>418</v>
      </c>
      <c r="F149" s="31"/>
      <c r="G149" s="29" t="s">
        <v>26</v>
      </c>
      <c r="H149" s="29">
        <v>1</v>
      </c>
      <c r="I149" s="32">
        <v>487000</v>
      </c>
      <c r="J149" s="33"/>
      <c r="K149" s="31">
        <v>2010</v>
      </c>
      <c r="L149" s="29" t="s">
        <v>419</v>
      </c>
      <c r="M149" s="81">
        <v>23</v>
      </c>
      <c r="N149" s="31" t="s">
        <v>145</v>
      </c>
      <c r="O149" s="31">
        <v>0.6</v>
      </c>
      <c r="P149" s="67"/>
      <c r="Q149" s="31">
        <v>2.8</v>
      </c>
      <c r="R149" s="29">
        <v>23</v>
      </c>
      <c r="S149" s="29">
        <v>1</v>
      </c>
      <c r="T149" s="33">
        <v>486746</v>
      </c>
      <c r="U149" s="33">
        <v>465399</v>
      </c>
      <c r="V149" s="34">
        <v>1303116</v>
      </c>
    </row>
    <row r="150" spans="1:22" x14ac:dyDescent="0.2">
      <c r="A150" s="28" t="s">
        <v>420</v>
      </c>
      <c r="B150" s="29" t="s">
        <v>421</v>
      </c>
      <c r="C150" s="29" t="s">
        <v>400</v>
      </c>
      <c r="D150" s="29" t="s">
        <v>422</v>
      </c>
      <c r="E150" s="30"/>
      <c r="F150" s="31"/>
      <c r="G150" s="29" t="s">
        <v>176</v>
      </c>
      <c r="H150" s="29">
        <v>1</v>
      </c>
      <c r="I150" s="31" t="s">
        <v>33</v>
      </c>
      <c r="J150" s="29"/>
      <c r="K150" s="31"/>
      <c r="L150" s="29"/>
      <c r="M150" s="81"/>
      <c r="N150" s="31"/>
      <c r="O150" s="31"/>
      <c r="P150" s="67"/>
      <c r="Q150" s="31"/>
      <c r="R150" s="29"/>
      <c r="S150" s="29"/>
      <c r="T150" s="29"/>
      <c r="U150" s="29"/>
      <c r="V150" s="41"/>
    </row>
    <row r="151" spans="1:22" x14ac:dyDescent="0.2">
      <c r="A151" s="28" t="s">
        <v>423</v>
      </c>
      <c r="B151" s="29" t="s">
        <v>424</v>
      </c>
      <c r="C151" s="29" t="s">
        <v>425</v>
      </c>
      <c r="D151" s="29"/>
      <c r="E151" s="30"/>
      <c r="F151" s="31"/>
      <c r="G151" s="29" t="s">
        <v>106</v>
      </c>
      <c r="H151" s="29">
        <v>1</v>
      </c>
      <c r="I151" s="32">
        <v>2601000</v>
      </c>
      <c r="J151" s="33"/>
      <c r="K151" s="31">
        <v>2009</v>
      </c>
      <c r="L151" s="29" t="s">
        <v>426</v>
      </c>
      <c r="M151" s="81">
        <v>22687</v>
      </c>
      <c r="N151" s="31" t="s">
        <v>28</v>
      </c>
      <c r="O151" s="31">
        <v>0.6</v>
      </c>
      <c r="P151" s="67"/>
      <c r="Q151" s="31">
        <v>1.8</v>
      </c>
      <c r="R151" s="29">
        <v>21808</v>
      </c>
      <c r="S151" s="29">
        <v>0.96</v>
      </c>
      <c r="T151" s="33">
        <v>2540057</v>
      </c>
      <c r="U151" s="33">
        <v>2557091</v>
      </c>
      <c r="V151" s="34">
        <v>4602764</v>
      </c>
    </row>
    <row r="152" spans="1:22" x14ac:dyDescent="0.2">
      <c r="A152" s="28" t="s">
        <v>438</v>
      </c>
      <c r="B152" s="29" t="s">
        <v>439</v>
      </c>
      <c r="C152" s="29" t="s">
        <v>400</v>
      </c>
      <c r="D152" s="29" t="s">
        <v>440</v>
      </c>
      <c r="E152" s="30">
        <v>200</v>
      </c>
      <c r="F152" s="31"/>
      <c r="G152" s="29" t="s">
        <v>176</v>
      </c>
      <c r="H152" s="29">
        <v>1</v>
      </c>
      <c r="I152" s="31" t="s">
        <v>33</v>
      </c>
      <c r="J152" s="29"/>
      <c r="K152" s="31"/>
      <c r="L152" s="29"/>
      <c r="M152" s="81"/>
      <c r="N152" s="31"/>
      <c r="O152" s="31"/>
      <c r="P152" s="67"/>
      <c r="Q152" s="31"/>
      <c r="R152" s="29"/>
      <c r="S152" s="29"/>
      <c r="T152" s="29"/>
      <c r="U152" s="29"/>
      <c r="V152" s="41"/>
    </row>
    <row r="153" spans="1:22" x14ac:dyDescent="0.2">
      <c r="A153" s="28" t="s">
        <v>441</v>
      </c>
      <c r="B153" s="29" t="s">
        <v>442</v>
      </c>
      <c r="C153" s="29" t="s">
        <v>400</v>
      </c>
      <c r="D153" s="29" t="s">
        <v>443</v>
      </c>
      <c r="E153" s="30">
        <v>2</v>
      </c>
      <c r="F153" s="31"/>
      <c r="G153" s="29" t="s">
        <v>176</v>
      </c>
      <c r="H153" s="29">
        <v>1</v>
      </c>
      <c r="I153" s="31" t="s">
        <v>33</v>
      </c>
      <c r="J153" s="29"/>
      <c r="K153" s="31"/>
      <c r="L153" s="29"/>
      <c r="M153" s="81"/>
      <c r="N153" s="31"/>
      <c r="O153" s="31"/>
      <c r="P153" s="67"/>
      <c r="Q153" s="31"/>
      <c r="R153" s="29"/>
      <c r="S153" s="29"/>
      <c r="T153" s="29"/>
      <c r="U153" s="29"/>
      <c r="V153" s="41"/>
    </row>
    <row r="154" spans="1:22" x14ac:dyDescent="0.2">
      <c r="A154" s="28" t="s">
        <v>444</v>
      </c>
      <c r="B154" s="29" t="s">
        <v>445</v>
      </c>
      <c r="C154" s="29" t="s">
        <v>400</v>
      </c>
      <c r="D154" s="29" t="s">
        <v>446</v>
      </c>
      <c r="E154" s="30">
        <v>15</v>
      </c>
      <c r="F154" s="31"/>
      <c r="G154" s="29" t="s">
        <v>176</v>
      </c>
      <c r="H154" s="29">
        <v>1</v>
      </c>
      <c r="I154" s="31" t="s">
        <v>33</v>
      </c>
      <c r="J154" s="29"/>
      <c r="K154" s="31"/>
      <c r="L154" s="29"/>
      <c r="M154" s="81"/>
      <c r="N154" s="31"/>
      <c r="O154" s="31"/>
      <c r="P154" s="67"/>
      <c r="Q154" s="31"/>
      <c r="R154" s="29"/>
      <c r="S154" s="29"/>
      <c r="T154" s="29"/>
      <c r="U154" s="29"/>
      <c r="V154" s="41"/>
    </row>
    <row r="155" spans="1:22" x14ac:dyDescent="0.2">
      <c r="A155" s="28" t="s">
        <v>447</v>
      </c>
      <c r="B155" s="29" t="s">
        <v>448</v>
      </c>
      <c r="C155" s="29" t="s">
        <v>400</v>
      </c>
      <c r="D155" s="29" t="s">
        <v>449</v>
      </c>
      <c r="E155" s="30">
        <v>50</v>
      </c>
      <c r="F155" s="31"/>
      <c r="G155" s="29" t="s">
        <v>176</v>
      </c>
      <c r="H155" s="29">
        <v>1</v>
      </c>
      <c r="I155" s="31" t="s">
        <v>33</v>
      </c>
      <c r="J155" s="29"/>
      <c r="K155" s="31"/>
      <c r="L155" s="29"/>
      <c r="M155" s="81"/>
      <c r="N155" s="31"/>
      <c r="O155" s="31"/>
      <c r="P155" s="67"/>
      <c r="Q155" s="31"/>
      <c r="R155" s="29"/>
      <c r="S155" s="29"/>
      <c r="T155" s="29"/>
      <c r="U155" s="29"/>
      <c r="V155" s="41"/>
    </row>
    <row r="156" spans="1:22" x14ac:dyDescent="0.2">
      <c r="A156" s="28" t="s">
        <v>450</v>
      </c>
      <c r="B156" s="29" t="s">
        <v>451</v>
      </c>
      <c r="C156" s="29" t="s">
        <v>400</v>
      </c>
      <c r="D156" s="29" t="s">
        <v>452</v>
      </c>
      <c r="E156" s="30">
        <v>75</v>
      </c>
      <c r="F156" s="31"/>
      <c r="G156" s="29" t="s">
        <v>176</v>
      </c>
      <c r="H156" s="29">
        <v>1</v>
      </c>
      <c r="I156" s="31" t="s">
        <v>33</v>
      </c>
      <c r="J156" s="29"/>
      <c r="K156" s="31"/>
      <c r="L156" s="29"/>
      <c r="M156" s="81"/>
      <c r="N156" s="31"/>
      <c r="O156" s="31"/>
      <c r="P156" s="67"/>
      <c r="Q156" s="31"/>
      <c r="R156" s="29"/>
      <c r="S156" s="29"/>
      <c r="T156" s="29"/>
      <c r="U156" s="29"/>
      <c r="V156" s="41"/>
    </row>
    <row r="157" spans="1:22" x14ac:dyDescent="0.2">
      <c r="A157" s="28" t="s">
        <v>476</v>
      </c>
      <c r="B157" s="29" t="s">
        <v>477</v>
      </c>
      <c r="C157" s="29" t="s">
        <v>400</v>
      </c>
      <c r="D157" s="29" t="s">
        <v>478</v>
      </c>
      <c r="E157" s="30"/>
      <c r="F157" s="31"/>
      <c r="G157" s="29" t="s">
        <v>176</v>
      </c>
      <c r="H157" s="29">
        <v>1</v>
      </c>
      <c r="I157" s="31" t="s">
        <v>33</v>
      </c>
      <c r="J157" s="29"/>
      <c r="K157" s="31"/>
      <c r="L157" s="29"/>
      <c r="M157" s="81"/>
      <c r="N157" s="31"/>
      <c r="O157" s="31"/>
      <c r="P157" s="67"/>
      <c r="Q157" s="31"/>
      <c r="R157" s="29"/>
      <c r="S157" s="29"/>
      <c r="T157" s="29"/>
      <c r="U157" s="29"/>
      <c r="V157" s="41"/>
    </row>
    <row r="158" spans="1:22" x14ac:dyDescent="0.2">
      <c r="A158" s="28" t="s">
        <v>479</v>
      </c>
      <c r="B158" s="29" t="s">
        <v>480</v>
      </c>
      <c r="C158" s="29" t="s">
        <v>400</v>
      </c>
      <c r="D158" s="29" t="s">
        <v>478</v>
      </c>
      <c r="E158" s="30"/>
      <c r="F158" s="31"/>
      <c r="G158" s="29" t="s">
        <v>176</v>
      </c>
      <c r="H158" s="29">
        <v>1</v>
      </c>
      <c r="I158" s="31" t="s">
        <v>33</v>
      </c>
      <c r="J158" s="29"/>
      <c r="K158" s="31"/>
      <c r="L158" s="29"/>
      <c r="M158" s="81"/>
      <c r="N158" s="31"/>
      <c r="O158" s="31"/>
      <c r="P158" s="67"/>
      <c r="Q158" s="31"/>
      <c r="R158" s="29"/>
      <c r="S158" s="29"/>
      <c r="T158" s="29"/>
      <c r="U158" s="29"/>
      <c r="V158" s="41"/>
    </row>
    <row r="159" spans="1:22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78"/>
      <c r="N159" s="20"/>
      <c r="O159" s="20"/>
      <c r="P159" s="64"/>
      <c r="Q159" s="20"/>
      <c r="R159" s="22"/>
      <c r="S159" s="5" t="s">
        <v>503</v>
      </c>
      <c r="T159" s="23">
        <v>11302300</v>
      </c>
      <c r="U159" s="23">
        <v>11145318</v>
      </c>
      <c r="V159" s="23">
        <v>22343314</v>
      </c>
    </row>
    <row r="160" spans="1:22" x14ac:dyDescent="0.2">
      <c r="S160" s="26" t="s">
        <v>736</v>
      </c>
      <c r="T160" s="27">
        <f>SUM(T126:T158)</f>
        <v>11302299</v>
      </c>
      <c r="U160" s="27">
        <f>SUM(U126:U158)</f>
        <v>11145318</v>
      </c>
      <c r="V160" s="27">
        <f>SUM(V126:V158)</f>
        <v>22343316</v>
      </c>
    </row>
    <row r="161" spans="1:22" x14ac:dyDescent="0.2">
      <c r="S161" s="26" t="s">
        <v>737</v>
      </c>
      <c r="T161" s="27">
        <f>T159-T160</f>
        <v>1</v>
      </c>
      <c r="U161" s="27">
        <f t="shared" ref="U161" si="12">U159-U160</f>
        <v>0</v>
      </c>
      <c r="V161" s="27">
        <f t="shared" ref="V161" si="13">V159-V160</f>
        <v>-2</v>
      </c>
    </row>
    <row r="163" spans="1:22" x14ac:dyDescent="0.2">
      <c r="A163" s="91" t="s">
        <v>850</v>
      </c>
      <c r="B163" s="91"/>
      <c r="C163" s="91"/>
      <c r="D163" s="91"/>
      <c r="E163" s="91"/>
      <c r="F163" s="91"/>
      <c r="G163" s="91"/>
      <c r="H163" s="91"/>
      <c r="I163" s="91"/>
      <c r="J163" s="52" t="s">
        <v>740</v>
      </c>
      <c r="K163" s="91" t="s">
        <v>1</v>
      </c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</row>
    <row r="164" spans="1:22" x14ac:dyDescent="0.2">
      <c r="A164" s="5" t="s">
        <v>2</v>
      </c>
      <c r="B164" s="5" t="s">
        <v>3</v>
      </c>
      <c r="C164" s="5" t="s">
        <v>4</v>
      </c>
      <c r="D164" s="5" t="s">
        <v>5</v>
      </c>
      <c r="E164" s="5" t="s">
        <v>6</v>
      </c>
      <c r="F164" s="5" t="s">
        <v>741</v>
      </c>
      <c r="G164" s="5" t="s">
        <v>7</v>
      </c>
      <c r="H164" s="5" t="s">
        <v>8</v>
      </c>
      <c r="I164" s="5" t="s">
        <v>9</v>
      </c>
      <c r="J164" s="5"/>
      <c r="K164" s="5" t="s">
        <v>10</v>
      </c>
      <c r="L164" s="5" t="s">
        <v>11</v>
      </c>
      <c r="M164" s="75" t="s">
        <v>12</v>
      </c>
      <c r="N164" s="5" t="s">
        <v>13</v>
      </c>
      <c r="O164" s="5" t="s">
        <v>14</v>
      </c>
      <c r="P164" s="61" t="s">
        <v>855</v>
      </c>
      <c r="Q164" s="5" t="s">
        <v>15</v>
      </c>
      <c r="R164" s="5" t="s">
        <v>16</v>
      </c>
      <c r="S164" s="5" t="s">
        <v>17</v>
      </c>
      <c r="T164" s="5" t="s">
        <v>18</v>
      </c>
      <c r="U164" s="5" t="s">
        <v>19</v>
      </c>
      <c r="V164" s="5" t="s">
        <v>20</v>
      </c>
    </row>
    <row r="165" spans="1:22" x14ac:dyDescent="0.2">
      <c r="A165" s="12" t="s">
        <v>529</v>
      </c>
      <c r="B165" s="13" t="s">
        <v>530</v>
      </c>
      <c r="C165" s="13" t="s">
        <v>506</v>
      </c>
      <c r="D165" s="13" t="s">
        <v>531</v>
      </c>
      <c r="E165" s="4">
        <v>50</v>
      </c>
      <c r="F165" s="14">
        <f>E165*H165*0.7457</f>
        <v>149.14000000000001</v>
      </c>
      <c r="G165" s="13" t="s">
        <v>26</v>
      </c>
      <c r="H165" s="13">
        <v>4</v>
      </c>
      <c r="I165" s="16">
        <v>231488</v>
      </c>
      <c r="J165" s="103" t="s">
        <v>862</v>
      </c>
      <c r="K165" s="14">
        <v>2010</v>
      </c>
      <c r="L165" s="13" t="s">
        <v>511</v>
      </c>
      <c r="M165" s="77">
        <v>393100</v>
      </c>
      <c r="N165" s="14" t="s">
        <v>28</v>
      </c>
      <c r="O165" s="14">
        <v>0.6</v>
      </c>
      <c r="P165" s="63"/>
      <c r="Q165" s="14">
        <v>1</v>
      </c>
      <c r="R165" s="13">
        <v>411178</v>
      </c>
      <c r="S165" s="13">
        <v>1.05</v>
      </c>
      <c r="T165" s="17">
        <v>237818</v>
      </c>
      <c r="U165" s="17">
        <v>227388</v>
      </c>
      <c r="V165" s="18">
        <v>227388</v>
      </c>
    </row>
    <row r="166" spans="1:22" x14ac:dyDescent="0.2">
      <c r="A166" s="12" t="s">
        <v>514</v>
      </c>
      <c r="B166" s="13" t="s">
        <v>515</v>
      </c>
      <c r="C166" s="13" t="s">
        <v>516</v>
      </c>
      <c r="D166" s="13" t="s">
        <v>517</v>
      </c>
      <c r="F166" s="14"/>
      <c r="G166" s="13" t="s">
        <v>518</v>
      </c>
      <c r="H166" s="13">
        <v>1</v>
      </c>
      <c r="I166" s="16">
        <v>83863</v>
      </c>
      <c r="J166" s="98"/>
      <c r="K166" s="14">
        <v>2010</v>
      </c>
      <c r="L166" s="13" t="s">
        <v>511</v>
      </c>
      <c r="M166" s="77">
        <v>393100</v>
      </c>
      <c r="N166" s="14" t="s">
        <v>28</v>
      </c>
      <c r="O166" s="14">
        <v>0.6</v>
      </c>
      <c r="P166" s="63">
        <f>M166/H166/3.785*24/(2.5*1000000)</f>
        <v>0.99703038309114933</v>
      </c>
      <c r="Q166" s="14">
        <v>1</v>
      </c>
      <c r="R166" s="13">
        <v>411178</v>
      </c>
      <c r="S166" s="13">
        <v>1.05</v>
      </c>
      <c r="T166" s="17">
        <v>86156</v>
      </c>
      <c r="U166" s="17">
        <v>82378</v>
      </c>
      <c r="V166" s="18">
        <v>82378</v>
      </c>
    </row>
    <row r="167" spans="1:22" s="13" customFormat="1" x14ac:dyDescent="0.2">
      <c r="A167" s="12" t="s">
        <v>558</v>
      </c>
      <c r="B167" s="13" t="s">
        <v>559</v>
      </c>
      <c r="C167" s="13" t="s">
        <v>506</v>
      </c>
      <c r="D167" s="13" t="s">
        <v>560</v>
      </c>
      <c r="F167" s="14"/>
      <c r="G167" s="13" t="s">
        <v>61</v>
      </c>
      <c r="H167" s="13">
        <v>4</v>
      </c>
      <c r="I167" s="16">
        <v>27000000</v>
      </c>
      <c r="J167" s="98"/>
      <c r="K167" s="14">
        <v>2010</v>
      </c>
      <c r="L167" s="13" t="s">
        <v>511</v>
      </c>
      <c r="M167" s="77">
        <v>393100</v>
      </c>
      <c r="N167" s="14" t="s">
        <v>28</v>
      </c>
      <c r="O167" s="14">
        <v>0.6</v>
      </c>
      <c r="P167" s="63"/>
      <c r="Q167" s="14">
        <v>1</v>
      </c>
      <c r="R167" s="13">
        <v>411178</v>
      </c>
      <c r="S167" s="13">
        <v>1.05</v>
      </c>
      <c r="T167" s="17">
        <v>27738302</v>
      </c>
      <c r="U167" s="17">
        <v>26521754</v>
      </c>
      <c r="V167" s="18">
        <v>26521754</v>
      </c>
    </row>
    <row r="168" spans="1:22" x14ac:dyDescent="0.2">
      <c r="A168" s="12" t="s">
        <v>532</v>
      </c>
      <c r="B168" s="13" t="s">
        <v>533</v>
      </c>
      <c r="C168" s="13" t="s">
        <v>506</v>
      </c>
      <c r="D168" s="13" t="s">
        <v>534</v>
      </c>
      <c r="E168" s="4">
        <v>7.5</v>
      </c>
      <c r="F168" s="14">
        <f>E168*H168*0.7457</f>
        <v>22.371000000000002</v>
      </c>
      <c r="G168" s="13"/>
      <c r="H168" s="13">
        <v>4</v>
      </c>
      <c r="I168" s="14" t="s">
        <v>33</v>
      </c>
      <c r="J168" s="98"/>
      <c r="K168" s="14"/>
      <c r="L168" s="13"/>
      <c r="M168" s="77"/>
      <c r="N168" s="14"/>
      <c r="O168" s="14"/>
      <c r="P168" s="63"/>
      <c r="Q168" s="14"/>
      <c r="R168" s="13"/>
      <c r="S168" s="13"/>
      <c r="T168" s="13"/>
      <c r="U168" s="13"/>
      <c r="V168" s="15"/>
    </row>
    <row r="169" spans="1:22" x14ac:dyDescent="0.2">
      <c r="A169" s="12" t="s">
        <v>519</v>
      </c>
      <c r="B169" s="13" t="s">
        <v>520</v>
      </c>
      <c r="C169" s="13" t="s">
        <v>506</v>
      </c>
      <c r="D169" s="13"/>
      <c r="F169" s="14"/>
      <c r="G169" s="13"/>
      <c r="H169" s="13">
        <v>4</v>
      </c>
      <c r="I169" s="16">
        <v>32955</v>
      </c>
      <c r="J169" s="98"/>
      <c r="K169" s="14">
        <v>2010</v>
      </c>
      <c r="L169" s="13" t="s">
        <v>511</v>
      </c>
      <c r="M169" s="77">
        <v>393100</v>
      </c>
      <c r="N169" s="14" t="s">
        <v>28</v>
      </c>
      <c r="O169" s="14">
        <v>0.6</v>
      </c>
      <c r="P169" s="63"/>
      <c r="Q169" s="14">
        <v>1</v>
      </c>
      <c r="R169" s="13">
        <v>411178</v>
      </c>
      <c r="S169" s="13">
        <v>1.05</v>
      </c>
      <c r="T169" s="17">
        <v>33856</v>
      </c>
      <c r="U169" s="17">
        <v>32371</v>
      </c>
      <c r="V169" s="18">
        <v>32371</v>
      </c>
    </row>
    <row r="170" spans="1:22" x14ac:dyDescent="0.2">
      <c r="A170" s="12" t="s">
        <v>504</v>
      </c>
      <c r="B170" s="13" t="s">
        <v>505</v>
      </c>
      <c r="C170" s="13" t="s">
        <v>506</v>
      </c>
      <c r="D170" s="13" t="s">
        <v>507</v>
      </c>
      <c r="E170" s="4">
        <v>200</v>
      </c>
      <c r="F170" s="14">
        <f>E170*H170*0.7457</f>
        <v>596.56000000000006</v>
      </c>
      <c r="G170" s="13"/>
      <c r="H170" s="13">
        <v>4</v>
      </c>
      <c r="I170" s="14" t="s">
        <v>33</v>
      </c>
      <c r="J170" s="98"/>
      <c r="K170" s="14"/>
      <c r="L170" s="13"/>
      <c r="M170" s="77"/>
      <c r="N170" s="14"/>
      <c r="O170" s="14"/>
      <c r="P170" s="63"/>
      <c r="Q170" s="14"/>
      <c r="R170" s="13"/>
      <c r="S170" s="13"/>
      <c r="T170" s="13"/>
      <c r="U170" s="13"/>
      <c r="V170" s="15"/>
    </row>
    <row r="171" spans="1:22" x14ac:dyDescent="0.2">
      <c r="A171" s="12" t="s">
        <v>535</v>
      </c>
      <c r="B171" s="13" t="s">
        <v>536</v>
      </c>
      <c r="C171" s="13" t="s">
        <v>506</v>
      </c>
      <c r="D171" s="13" t="s">
        <v>537</v>
      </c>
      <c r="E171" s="4">
        <v>3</v>
      </c>
      <c r="F171" s="14">
        <f>E171*H171*0.7457</f>
        <v>13.422600000000001</v>
      </c>
      <c r="G171" s="13"/>
      <c r="H171" s="13">
        <v>6</v>
      </c>
      <c r="I171" s="16">
        <v>93300</v>
      </c>
      <c r="J171" s="98"/>
      <c r="K171" s="14">
        <v>2010</v>
      </c>
      <c r="L171" s="13" t="s">
        <v>511</v>
      </c>
      <c r="M171" s="77">
        <v>393100</v>
      </c>
      <c r="N171" s="14" t="s">
        <v>28</v>
      </c>
      <c r="O171" s="14">
        <v>0.6</v>
      </c>
      <c r="P171" s="63"/>
      <c r="Q171" s="14">
        <v>1</v>
      </c>
      <c r="R171" s="13">
        <v>411178</v>
      </c>
      <c r="S171" s="13">
        <v>1.05</v>
      </c>
      <c r="T171" s="17">
        <v>95851</v>
      </c>
      <c r="U171" s="17">
        <v>91647</v>
      </c>
      <c r="V171" s="18">
        <v>91647</v>
      </c>
    </row>
    <row r="172" spans="1:22" x14ac:dyDescent="0.2">
      <c r="A172" s="12" t="s">
        <v>524</v>
      </c>
      <c r="B172" s="13" t="s">
        <v>525</v>
      </c>
      <c r="C172" s="13" t="s">
        <v>506</v>
      </c>
      <c r="D172" s="13" t="s">
        <v>526</v>
      </c>
      <c r="E172" s="4">
        <v>1.5</v>
      </c>
      <c r="F172" s="14">
        <f>E172*H172*0.7457</f>
        <v>3.3556500000000002</v>
      </c>
      <c r="G172" s="13"/>
      <c r="H172" s="13">
        <v>3</v>
      </c>
      <c r="I172" s="16">
        <v>22800</v>
      </c>
      <c r="J172" s="98" t="s">
        <v>861</v>
      </c>
      <c r="K172" s="14">
        <v>2010</v>
      </c>
      <c r="L172" s="13" t="s">
        <v>511</v>
      </c>
      <c r="M172" s="77">
        <v>393100</v>
      </c>
      <c r="N172" s="14" t="s">
        <v>28</v>
      </c>
      <c r="O172" s="14">
        <v>0.6</v>
      </c>
      <c r="P172" s="63"/>
      <c r="Q172" s="14">
        <v>1</v>
      </c>
      <c r="R172" s="13">
        <v>411178</v>
      </c>
      <c r="S172" s="13">
        <v>1.05</v>
      </c>
      <c r="T172" s="17">
        <v>23423</v>
      </c>
      <c r="U172" s="17">
        <v>22396</v>
      </c>
      <c r="V172" s="18">
        <v>22396</v>
      </c>
    </row>
    <row r="173" spans="1:22" x14ac:dyDescent="0.2">
      <c r="A173" s="12" t="s">
        <v>538</v>
      </c>
      <c r="B173" s="13" t="s">
        <v>539</v>
      </c>
      <c r="C173" s="13" t="s">
        <v>506</v>
      </c>
      <c r="D173" s="13"/>
      <c r="E173" s="4">
        <v>15</v>
      </c>
      <c r="F173" s="14">
        <f>E173*H173*0.7457</f>
        <v>44.742000000000004</v>
      </c>
      <c r="G173" s="13"/>
      <c r="H173" s="13">
        <v>4</v>
      </c>
      <c r="I173" s="16">
        <v>84000</v>
      </c>
      <c r="J173" s="98"/>
      <c r="K173" s="14">
        <v>2010</v>
      </c>
      <c r="L173" s="13" t="s">
        <v>511</v>
      </c>
      <c r="M173" s="77">
        <v>393100</v>
      </c>
      <c r="N173" s="14" t="s">
        <v>28</v>
      </c>
      <c r="O173" s="14">
        <v>0.6</v>
      </c>
      <c r="P173" s="63"/>
      <c r="Q173" s="14">
        <v>1</v>
      </c>
      <c r="R173" s="13">
        <v>411178</v>
      </c>
      <c r="S173" s="13">
        <v>1.05</v>
      </c>
      <c r="T173" s="17">
        <v>86297</v>
      </c>
      <c r="U173" s="17">
        <v>82512</v>
      </c>
      <c r="V173" s="18">
        <v>82512</v>
      </c>
    </row>
    <row r="174" spans="1:22" x14ac:dyDescent="0.2">
      <c r="A174" s="12" t="s">
        <v>508</v>
      </c>
      <c r="B174" s="13" t="s">
        <v>509</v>
      </c>
      <c r="C174" s="13" t="s">
        <v>506</v>
      </c>
      <c r="D174" s="13" t="s">
        <v>510</v>
      </c>
      <c r="E174" s="4">
        <v>1000</v>
      </c>
      <c r="F174" s="14">
        <f>E174*H174*0.7457</f>
        <v>5965.6</v>
      </c>
      <c r="G174" s="13"/>
      <c r="H174" s="13">
        <v>8</v>
      </c>
      <c r="I174" s="16">
        <v>1933750</v>
      </c>
      <c r="J174" s="98"/>
      <c r="K174" s="14">
        <v>2010</v>
      </c>
      <c r="L174" s="13" t="s">
        <v>511</v>
      </c>
      <c r="M174" s="77">
        <v>393100</v>
      </c>
      <c r="N174" s="14" t="s">
        <v>28</v>
      </c>
      <c r="O174" s="14">
        <v>0.6</v>
      </c>
      <c r="P174" s="63"/>
      <c r="Q174" s="14">
        <v>1</v>
      </c>
      <c r="R174" s="13">
        <v>411178</v>
      </c>
      <c r="S174" s="13">
        <v>1.05</v>
      </c>
      <c r="T174" s="17">
        <v>1986627</v>
      </c>
      <c r="U174" s="17">
        <v>1899498</v>
      </c>
      <c r="V174" s="18">
        <v>1899498</v>
      </c>
    </row>
    <row r="175" spans="1:22" x14ac:dyDescent="0.2">
      <c r="A175" s="12" t="s">
        <v>561</v>
      </c>
      <c r="B175" s="13" t="s">
        <v>562</v>
      </c>
      <c r="C175" s="13" t="s">
        <v>506</v>
      </c>
      <c r="D175" s="13" t="s">
        <v>563</v>
      </c>
      <c r="F175" s="14"/>
      <c r="G175" s="13" t="s">
        <v>61</v>
      </c>
      <c r="H175" s="13">
        <v>3</v>
      </c>
      <c r="I175" s="16">
        <v>2700000</v>
      </c>
      <c r="J175" s="98"/>
      <c r="K175" s="14">
        <v>2010</v>
      </c>
      <c r="L175" s="13" t="s">
        <v>511</v>
      </c>
      <c r="M175" s="77">
        <v>393100</v>
      </c>
      <c r="N175" s="14" t="s">
        <v>28</v>
      </c>
      <c r="O175" s="14">
        <v>0.6</v>
      </c>
      <c r="P175" s="63"/>
      <c r="Q175" s="14">
        <v>1</v>
      </c>
      <c r="R175" s="13">
        <v>411178</v>
      </c>
      <c r="S175" s="13">
        <v>1.05</v>
      </c>
      <c r="T175" s="17">
        <v>2773830</v>
      </c>
      <c r="U175" s="17">
        <v>2652175</v>
      </c>
      <c r="V175" s="18">
        <v>2652175</v>
      </c>
    </row>
    <row r="176" spans="1:22" x14ac:dyDescent="0.2">
      <c r="A176" s="12" t="s">
        <v>549</v>
      </c>
      <c r="B176" s="13" t="s">
        <v>550</v>
      </c>
      <c r="C176" s="13"/>
      <c r="D176" s="13"/>
      <c r="F176" s="14"/>
      <c r="G176" s="13" t="s">
        <v>26</v>
      </c>
      <c r="H176" s="13">
        <v>1</v>
      </c>
      <c r="I176" s="14" t="s">
        <v>33</v>
      </c>
      <c r="J176" s="98"/>
      <c r="K176" s="14"/>
      <c r="L176" s="13"/>
      <c r="M176" s="77"/>
      <c r="N176" s="14"/>
      <c r="O176" s="14"/>
      <c r="P176" s="63"/>
      <c r="Q176" s="14"/>
      <c r="R176" s="13"/>
      <c r="S176" s="13"/>
      <c r="T176" s="13"/>
      <c r="U176" s="13"/>
      <c r="V176" s="15"/>
    </row>
    <row r="177" spans="1:22" x14ac:dyDescent="0.2">
      <c r="A177" s="12" t="s">
        <v>551</v>
      </c>
      <c r="B177" s="13" t="s">
        <v>552</v>
      </c>
      <c r="C177" s="13" t="s">
        <v>506</v>
      </c>
      <c r="D177" s="13" t="s">
        <v>553</v>
      </c>
      <c r="F177" s="14"/>
      <c r="G177" s="13"/>
      <c r="H177" s="13">
        <v>3</v>
      </c>
      <c r="I177" s="16">
        <v>5248750</v>
      </c>
      <c r="J177" s="13" t="s">
        <v>863</v>
      </c>
      <c r="K177" s="14">
        <v>2010</v>
      </c>
      <c r="L177" s="13" t="s">
        <v>511</v>
      </c>
      <c r="M177" s="77">
        <v>393100</v>
      </c>
      <c r="N177" s="14" t="s">
        <v>28</v>
      </c>
      <c r="O177" s="14">
        <v>0.6</v>
      </c>
      <c r="P177" s="63"/>
      <c r="Q177" s="14">
        <v>1</v>
      </c>
      <c r="R177" s="13">
        <v>411178</v>
      </c>
      <c r="S177" s="13">
        <v>1.05</v>
      </c>
      <c r="T177" s="17">
        <v>5392274</v>
      </c>
      <c r="U177" s="17">
        <v>5155780</v>
      </c>
      <c r="V177" s="18">
        <v>5155780</v>
      </c>
    </row>
    <row r="178" spans="1:22" s="13" customFormat="1" x14ac:dyDescent="0.2">
      <c r="A178" s="12" t="s">
        <v>564</v>
      </c>
      <c r="B178" s="13" t="s">
        <v>565</v>
      </c>
      <c r="C178" s="13" t="s">
        <v>506</v>
      </c>
      <c r="F178" s="14"/>
      <c r="H178" s="13">
        <v>1</v>
      </c>
      <c r="I178" s="14" t="s">
        <v>33</v>
      </c>
      <c r="J178" s="98" t="s">
        <v>864</v>
      </c>
      <c r="K178" s="14"/>
      <c r="M178" s="77"/>
      <c r="N178" s="14"/>
      <c r="O178" s="14"/>
      <c r="P178" s="63"/>
      <c r="Q178" s="14"/>
      <c r="V178" s="15"/>
    </row>
    <row r="179" spans="1:22" x14ac:dyDescent="0.2">
      <c r="A179" s="12" t="s">
        <v>521</v>
      </c>
      <c r="B179" s="13" t="s">
        <v>522</v>
      </c>
      <c r="C179" s="13" t="s">
        <v>506</v>
      </c>
      <c r="D179" s="13" t="s">
        <v>523</v>
      </c>
      <c r="E179" s="4">
        <v>10</v>
      </c>
      <c r="F179" s="14">
        <f>E179*H179*0.7457</f>
        <v>7.4570000000000007</v>
      </c>
      <c r="G179" s="13"/>
      <c r="H179" s="13">
        <v>1</v>
      </c>
      <c r="I179" s="16">
        <v>9300</v>
      </c>
      <c r="J179" s="98"/>
      <c r="K179" s="14">
        <v>2010</v>
      </c>
      <c r="L179" s="13" t="s">
        <v>511</v>
      </c>
      <c r="M179" s="77">
        <v>393100</v>
      </c>
      <c r="N179" s="14" t="s">
        <v>28</v>
      </c>
      <c r="O179" s="14">
        <v>0.6</v>
      </c>
      <c r="P179" s="63"/>
      <c r="Q179" s="14">
        <v>1</v>
      </c>
      <c r="R179" s="13">
        <v>411178</v>
      </c>
      <c r="S179" s="13">
        <v>1.05</v>
      </c>
      <c r="T179" s="17">
        <v>9554</v>
      </c>
      <c r="U179" s="17">
        <v>9135</v>
      </c>
      <c r="V179" s="18">
        <v>9135</v>
      </c>
    </row>
    <row r="180" spans="1:22" x14ac:dyDescent="0.2">
      <c r="A180" s="12" t="s">
        <v>545</v>
      </c>
      <c r="B180" s="13" t="s">
        <v>546</v>
      </c>
      <c r="C180" s="13" t="s">
        <v>506</v>
      </c>
      <c r="D180" s="13"/>
      <c r="E180" s="4">
        <v>10</v>
      </c>
      <c r="F180" s="14">
        <f>E180*H180*0.7457</f>
        <v>14.914000000000001</v>
      </c>
      <c r="G180" s="13"/>
      <c r="H180" s="13">
        <v>2</v>
      </c>
      <c r="I180" s="16">
        <v>61200</v>
      </c>
      <c r="J180" s="98"/>
      <c r="K180" s="14">
        <v>2010</v>
      </c>
      <c r="L180" s="13" t="s">
        <v>511</v>
      </c>
      <c r="M180" s="77">
        <v>393100</v>
      </c>
      <c r="N180" s="14" t="s">
        <v>28</v>
      </c>
      <c r="O180" s="14">
        <v>0.6</v>
      </c>
      <c r="P180" s="63"/>
      <c r="Q180" s="14">
        <v>1</v>
      </c>
      <c r="R180" s="13">
        <v>411178</v>
      </c>
      <c r="S180" s="13">
        <v>1.05</v>
      </c>
      <c r="T180" s="17">
        <v>62873</v>
      </c>
      <c r="U180" s="17">
        <v>60116</v>
      </c>
      <c r="V180" s="18">
        <v>60116</v>
      </c>
    </row>
    <row r="181" spans="1:22" x14ac:dyDescent="0.2">
      <c r="A181" s="12" t="s">
        <v>556</v>
      </c>
      <c r="B181" s="13" t="s">
        <v>557</v>
      </c>
      <c r="C181" s="13"/>
      <c r="D181" s="13"/>
      <c r="F181" s="14"/>
      <c r="G181" s="13"/>
      <c r="H181" s="13">
        <v>3</v>
      </c>
      <c r="I181" s="16">
        <v>6493500</v>
      </c>
      <c r="J181" s="98"/>
      <c r="K181" s="14">
        <v>2010</v>
      </c>
      <c r="L181" s="13" t="s">
        <v>511</v>
      </c>
      <c r="M181" s="77">
        <v>393100</v>
      </c>
      <c r="N181" s="14" t="s">
        <v>28</v>
      </c>
      <c r="O181" s="14">
        <v>0.6</v>
      </c>
      <c r="P181" s="63"/>
      <c r="Q181" s="14">
        <v>1</v>
      </c>
      <c r="R181" s="13">
        <v>411178</v>
      </c>
      <c r="S181" s="13">
        <v>1.05</v>
      </c>
      <c r="T181" s="17">
        <v>6671062</v>
      </c>
      <c r="U181" s="17">
        <v>6378482</v>
      </c>
      <c r="V181" s="18">
        <v>6378482</v>
      </c>
    </row>
    <row r="182" spans="1:22" x14ac:dyDescent="0.2">
      <c r="A182" s="12" t="s">
        <v>547</v>
      </c>
      <c r="B182" s="13" t="s">
        <v>548</v>
      </c>
      <c r="C182" s="13" t="s">
        <v>506</v>
      </c>
      <c r="D182" s="13"/>
      <c r="E182" s="4">
        <v>15</v>
      </c>
      <c r="F182" s="14">
        <f>E182*H182*0.7457</f>
        <v>22.371000000000002</v>
      </c>
      <c r="G182" s="13"/>
      <c r="H182" s="13">
        <v>2</v>
      </c>
      <c r="I182" s="16">
        <v>70800</v>
      </c>
      <c r="J182" s="98"/>
      <c r="K182" s="14">
        <v>2010</v>
      </c>
      <c r="L182" s="13" t="s">
        <v>511</v>
      </c>
      <c r="M182" s="77">
        <v>393100</v>
      </c>
      <c r="N182" s="14" t="s">
        <v>28</v>
      </c>
      <c r="O182" s="14">
        <v>0.6</v>
      </c>
      <c r="P182" s="63"/>
      <c r="Q182" s="14">
        <v>1</v>
      </c>
      <c r="R182" s="13">
        <v>411178</v>
      </c>
      <c r="S182" s="13">
        <v>1.05</v>
      </c>
      <c r="T182" s="17">
        <v>72736</v>
      </c>
      <c r="U182" s="17">
        <v>69546</v>
      </c>
      <c r="V182" s="18">
        <v>69546</v>
      </c>
    </row>
    <row r="183" spans="1:22" x14ac:dyDescent="0.2">
      <c r="A183" s="12" t="s">
        <v>512</v>
      </c>
      <c r="B183" s="13" t="s">
        <v>513</v>
      </c>
      <c r="C183" s="13"/>
      <c r="D183" s="13"/>
      <c r="F183" s="14"/>
      <c r="G183" s="13" t="s">
        <v>26</v>
      </c>
      <c r="H183" s="13">
        <v>1</v>
      </c>
      <c r="I183" s="16">
        <v>25000</v>
      </c>
      <c r="J183" s="98"/>
      <c r="K183" s="14">
        <v>2010</v>
      </c>
      <c r="L183" s="13" t="s">
        <v>511</v>
      </c>
      <c r="M183" s="77">
        <v>393100</v>
      </c>
      <c r="N183" s="14" t="s">
        <v>28</v>
      </c>
      <c r="O183" s="14">
        <v>0.6</v>
      </c>
      <c r="P183" s="63"/>
      <c r="Q183" s="14">
        <v>1</v>
      </c>
      <c r="R183" s="13">
        <v>411178</v>
      </c>
      <c r="S183" s="13">
        <v>1.05</v>
      </c>
      <c r="T183" s="17">
        <v>25684</v>
      </c>
      <c r="U183" s="17">
        <v>24557</v>
      </c>
      <c r="V183" s="18">
        <v>24557</v>
      </c>
    </row>
    <row r="184" spans="1:22" x14ac:dyDescent="0.2">
      <c r="A184" s="12" t="s">
        <v>540</v>
      </c>
      <c r="B184" s="13" t="s">
        <v>541</v>
      </c>
      <c r="C184" s="13" t="s">
        <v>506</v>
      </c>
      <c r="D184" s="13"/>
      <c r="E184" s="4">
        <v>40</v>
      </c>
      <c r="F184" s="14">
        <f>E184*H184*0.7457</f>
        <v>178.96800000000002</v>
      </c>
      <c r="G184" s="13"/>
      <c r="H184" s="13">
        <v>6</v>
      </c>
      <c r="I184" s="16">
        <v>177300</v>
      </c>
      <c r="J184" s="98"/>
      <c r="K184" s="14">
        <v>2010</v>
      </c>
      <c r="L184" s="13" t="s">
        <v>511</v>
      </c>
      <c r="M184" s="77">
        <v>393100</v>
      </c>
      <c r="N184" s="14" t="s">
        <v>28</v>
      </c>
      <c r="O184" s="14">
        <v>0.6</v>
      </c>
      <c r="P184" s="63"/>
      <c r="Q184" s="14">
        <v>1</v>
      </c>
      <c r="R184" s="13">
        <v>411178</v>
      </c>
      <c r="S184" s="13">
        <v>1.05</v>
      </c>
      <c r="T184" s="17">
        <v>182148</v>
      </c>
      <c r="U184" s="17">
        <v>174160</v>
      </c>
      <c r="V184" s="18">
        <v>174160</v>
      </c>
    </row>
    <row r="185" spans="1:22" x14ac:dyDescent="0.2">
      <c r="A185" s="12" t="s">
        <v>542</v>
      </c>
      <c r="B185" s="13" t="s">
        <v>543</v>
      </c>
      <c r="C185" s="13" t="s">
        <v>506</v>
      </c>
      <c r="D185" s="13"/>
      <c r="E185" s="4" t="s">
        <v>544</v>
      </c>
      <c r="F185" s="14"/>
      <c r="G185" s="13"/>
      <c r="H185" s="13">
        <v>1</v>
      </c>
      <c r="I185" s="14" t="s">
        <v>33</v>
      </c>
      <c r="J185" s="98" t="s">
        <v>865</v>
      </c>
      <c r="K185" s="14"/>
      <c r="L185" s="13"/>
      <c r="M185" s="77"/>
      <c r="N185" s="14"/>
      <c r="O185" s="14"/>
      <c r="P185" s="63"/>
      <c r="Q185" s="14"/>
      <c r="R185" s="13"/>
      <c r="S185" s="13"/>
      <c r="T185" s="13"/>
      <c r="U185" s="13"/>
      <c r="V185" s="15"/>
    </row>
    <row r="186" spans="1:22" x14ac:dyDescent="0.2">
      <c r="A186" s="12" t="s">
        <v>554</v>
      </c>
      <c r="B186" s="13" t="s">
        <v>555</v>
      </c>
      <c r="C186" s="13" t="s">
        <v>506</v>
      </c>
      <c r="D186" s="13"/>
      <c r="F186" s="14"/>
      <c r="G186" s="13"/>
      <c r="H186" s="13">
        <v>1</v>
      </c>
      <c r="I186" s="16">
        <v>2210979</v>
      </c>
      <c r="J186" s="98"/>
      <c r="K186" s="14">
        <v>2010</v>
      </c>
      <c r="L186" s="13" t="s">
        <v>511</v>
      </c>
      <c r="M186" s="77">
        <v>393100</v>
      </c>
      <c r="N186" s="14" t="s">
        <v>28</v>
      </c>
      <c r="O186" s="14">
        <v>0.6</v>
      </c>
      <c r="P186" s="63"/>
      <c r="Q186" s="14">
        <v>1</v>
      </c>
      <c r="R186" s="13">
        <v>411178</v>
      </c>
      <c r="S186" s="13">
        <v>1.05</v>
      </c>
      <c r="T186" s="17">
        <v>2271437</v>
      </c>
      <c r="U186" s="17">
        <v>2171816</v>
      </c>
      <c r="V186" s="18">
        <v>2171816</v>
      </c>
    </row>
    <row r="187" spans="1:22" x14ac:dyDescent="0.2">
      <c r="A187" s="12" t="s">
        <v>527</v>
      </c>
      <c r="B187" s="13" t="s">
        <v>528</v>
      </c>
      <c r="C187" s="13"/>
      <c r="D187" s="13"/>
      <c r="F187" s="14"/>
      <c r="G187" s="13"/>
      <c r="H187" s="13"/>
      <c r="I187" s="16">
        <v>3801095</v>
      </c>
      <c r="J187" s="99"/>
      <c r="K187" s="14">
        <v>2010</v>
      </c>
      <c r="L187" s="13" t="s">
        <v>511</v>
      </c>
      <c r="M187" s="77">
        <v>393100</v>
      </c>
      <c r="N187" s="14" t="s">
        <v>28</v>
      </c>
      <c r="O187" s="14">
        <v>0.6</v>
      </c>
      <c r="P187" s="63"/>
      <c r="Q187" s="14">
        <v>1</v>
      </c>
      <c r="R187" s="13">
        <v>411178</v>
      </c>
      <c r="S187" s="13">
        <v>1.05</v>
      </c>
      <c r="T187" s="17">
        <v>3905034</v>
      </c>
      <c r="U187" s="17">
        <v>3733767</v>
      </c>
      <c r="V187" s="18">
        <v>3733767</v>
      </c>
    </row>
    <row r="188" spans="1:22" x14ac:dyDescent="0.2">
      <c r="A188" s="19"/>
      <c r="B188" s="20"/>
      <c r="C188" s="20"/>
      <c r="D188" s="20"/>
      <c r="E188" s="20"/>
      <c r="F188" s="20">
        <f>SUM(F170:F187)</f>
        <v>6847.3902500000004</v>
      </c>
      <c r="G188" s="20"/>
      <c r="H188" s="20"/>
      <c r="I188" s="20">
        <f>SUM(I170:I187)</f>
        <v>22931774</v>
      </c>
      <c r="J188" s="20"/>
      <c r="K188" s="20"/>
      <c r="L188" s="20"/>
      <c r="M188" s="78"/>
      <c r="N188" s="20"/>
      <c r="O188" s="20"/>
      <c r="P188" s="64"/>
      <c r="Q188" s="20"/>
      <c r="R188" s="22"/>
      <c r="S188" s="5" t="s">
        <v>566</v>
      </c>
      <c r="T188" s="23">
        <v>51654964</v>
      </c>
      <c r="U188" s="23">
        <v>49389478</v>
      </c>
      <c r="V188" s="23">
        <v>49389478</v>
      </c>
    </row>
    <row r="189" spans="1:22" x14ac:dyDescent="0.2">
      <c r="S189" s="26" t="s">
        <v>736</v>
      </c>
      <c r="T189" s="27">
        <f>SUM(T165:T187)</f>
        <v>51654962</v>
      </c>
      <c r="U189" s="27">
        <f>SUM(U165:U187)</f>
        <v>49389478</v>
      </c>
      <c r="V189" s="27">
        <f>SUM(V165:V187)</f>
        <v>49389478</v>
      </c>
    </row>
    <row r="190" spans="1:22" x14ac:dyDescent="0.2">
      <c r="S190" s="26" t="s">
        <v>737</v>
      </c>
      <c r="T190" s="27">
        <f>T188-T189</f>
        <v>2</v>
      </c>
      <c r="U190" s="27">
        <f t="shared" ref="U190" si="14">U188-U189</f>
        <v>0</v>
      </c>
      <c r="V190" s="27">
        <f t="shared" ref="V190" si="15">V188-V189</f>
        <v>0</v>
      </c>
    </row>
    <row r="192" spans="1:22" x14ac:dyDescent="0.2">
      <c r="A192" s="91" t="s">
        <v>851</v>
      </c>
      <c r="B192" s="91"/>
      <c r="C192" s="91"/>
      <c r="D192" s="91"/>
      <c r="E192" s="91"/>
      <c r="F192" s="91"/>
      <c r="G192" s="91"/>
      <c r="H192" s="91"/>
      <c r="I192" s="91"/>
      <c r="J192" s="52" t="s">
        <v>740</v>
      </c>
      <c r="K192" s="91" t="s">
        <v>1</v>
      </c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</row>
    <row r="193" spans="1:22" x14ac:dyDescent="0.2">
      <c r="A193" s="5" t="s">
        <v>2</v>
      </c>
      <c r="B193" s="5" t="s">
        <v>3</v>
      </c>
      <c r="C193" s="5" t="s">
        <v>4</v>
      </c>
      <c r="D193" s="5" t="s">
        <v>5</v>
      </c>
      <c r="E193" s="5" t="s">
        <v>6</v>
      </c>
      <c r="F193" s="5" t="s">
        <v>741</v>
      </c>
      <c r="G193" s="5" t="s">
        <v>7</v>
      </c>
      <c r="H193" s="5" t="s">
        <v>8</v>
      </c>
      <c r="I193" s="5" t="s">
        <v>9</v>
      </c>
      <c r="J193" s="5"/>
      <c r="K193" s="5" t="s">
        <v>10</v>
      </c>
      <c r="L193" s="5" t="s">
        <v>11</v>
      </c>
      <c r="M193" s="75" t="s">
        <v>12</v>
      </c>
      <c r="N193" s="5" t="s">
        <v>13</v>
      </c>
      <c r="O193" s="5" t="s">
        <v>14</v>
      </c>
      <c r="P193" s="61" t="s">
        <v>856</v>
      </c>
      <c r="Q193" s="5" t="s">
        <v>15</v>
      </c>
      <c r="R193" s="5" t="s">
        <v>16</v>
      </c>
      <c r="S193" s="5" t="s">
        <v>17</v>
      </c>
      <c r="T193" s="5" t="s">
        <v>18</v>
      </c>
      <c r="U193" s="5" t="s">
        <v>19</v>
      </c>
      <c r="V193" s="5" t="s">
        <v>20</v>
      </c>
    </row>
    <row r="194" spans="1:22" x14ac:dyDescent="0.2">
      <c r="A194" s="12" t="s">
        <v>604</v>
      </c>
      <c r="B194" s="13" t="s">
        <v>605</v>
      </c>
      <c r="C194" s="13"/>
      <c r="D194" s="13" t="s">
        <v>606</v>
      </c>
      <c r="F194" s="14"/>
      <c r="G194" s="13" t="s">
        <v>106</v>
      </c>
      <c r="H194" s="13">
        <v>1</v>
      </c>
      <c r="I194" s="16">
        <v>96000</v>
      </c>
      <c r="J194" s="101" t="s">
        <v>837</v>
      </c>
      <c r="K194" s="14">
        <v>2010</v>
      </c>
      <c r="L194" s="13" t="s">
        <v>177</v>
      </c>
      <c r="M194" s="77">
        <v>1981</v>
      </c>
      <c r="N194" s="14" t="s">
        <v>28</v>
      </c>
      <c r="O194" s="14">
        <v>0.7</v>
      </c>
      <c r="P194" s="63">
        <f>126000*H194*3.785/M194</f>
        <v>240.74204946996466</v>
      </c>
      <c r="Q194" s="14">
        <v>1.5</v>
      </c>
      <c r="R194" s="13">
        <v>1981</v>
      </c>
      <c r="S194" s="13">
        <v>1</v>
      </c>
      <c r="T194" s="17">
        <v>95987</v>
      </c>
      <c r="U194" s="17">
        <v>91777</v>
      </c>
      <c r="V194" s="18">
        <v>137666</v>
      </c>
    </row>
    <row r="195" spans="1:22" x14ac:dyDescent="0.2">
      <c r="A195" s="12" t="s">
        <v>585</v>
      </c>
      <c r="B195" s="13" t="s">
        <v>173</v>
      </c>
      <c r="C195" s="13" t="s">
        <v>174</v>
      </c>
      <c r="D195" s="13" t="s">
        <v>586</v>
      </c>
      <c r="E195" s="4">
        <v>0.5</v>
      </c>
      <c r="F195" s="14">
        <f>E195*H195*0.7457</f>
        <v>0.37285000000000001</v>
      </c>
      <c r="G195" s="13" t="s">
        <v>205</v>
      </c>
      <c r="H195" s="13">
        <v>1</v>
      </c>
      <c r="I195" s="16">
        <v>7493</v>
      </c>
      <c r="J195" s="94"/>
      <c r="K195" s="14">
        <v>2010</v>
      </c>
      <c r="L195" s="13" t="s">
        <v>177</v>
      </c>
      <c r="M195" s="77">
        <v>1981</v>
      </c>
      <c r="N195" s="14" t="s">
        <v>28</v>
      </c>
      <c r="O195" s="14">
        <v>0.8</v>
      </c>
      <c r="P195" s="63">
        <f>M195/H195/3.785/60/5</f>
        <v>1.7446059004843679</v>
      </c>
      <c r="Q195" s="14">
        <v>2.2999999999999998</v>
      </c>
      <c r="R195" s="13">
        <v>1981</v>
      </c>
      <c r="S195" s="13">
        <v>1</v>
      </c>
      <c r="T195" s="17">
        <v>7492</v>
      </c>
      <c r="U195" s="17">
        <v>7163</v>
      </c>
      <c r="V195" s="18">
        <v>16475</v>
      </c>
    </row>
    <row r="196" spans="1:22" x14ac:dyDescent="0.2">
      <c r="A196" s="12" t="s">
        <v>611</v>
      </c>
      <c r="B196" s="13" t="s">
        <v>612</v>
      </c>
      <c r="C196" s="13" t="s">
        <v>613</v>
      </c>
      <c r="D196" s="13" t="s">
        <v>614</v>
      </c>
      <c r="F196" s="14"/>
      <c r="G196" s="13" t="s">
        <v>615</v>
      </c>
      <c r="H196" s="13">
        <v>2</v>
      </c>
      <c r="I196" s="16">
        <v>196000</v>
      </c>
      <c r="J196" s="17" t="s">
        <v>838</v>
      </c>
      <c r="K196" s="14">
        <v>2010</v>
      </c>
      <c r="L196" s="13" t="s">
        <v>616</v>
      </c>
      <c r="M196" s="77">
        <v>1171</v>
      </c>
      <c r="N196" s="14" t="s">
        <v>28</v>
      </c>
      <c r="O196" s="14">
        <v>0.7</v>
      </c>
      <c r="P196" s="63">
        <f>28000*H196*3.785/M196</f>
        <v>181.0076857386849</v>
      </c>
      <c r="Q196" s="14">
        <v>2</v>
      </c>
      <c r="R196" s="13">
        <v>1166</v>
      </c>
      <c r="S196" s="13">
        <v>1</v>
      </c>
      <c r="T196" s="17">
        <v>195389</v>
      </c>
      <c r="U196" s="17">
        <v>186820</v>
      </c>
      <c r="V196" s="18">
        <v>373639</v>
      </c>
    </row>
    <row r="197" spans="1:22" x14ac:dyDescent="0.2">
      <c r="A197" s="12" t="s">
        <v>620</v>
      </c>
      <c r="B197" s="13" t="s">
        <v>621</v>
      </c>
      <c r="C197" s="13"/>
      <c r="D197" s="13" t="s">
        <v>622</v>
      </c>
      <c r="F197" s="14"/>
      <c r="G197" s="13" t="s">
        <v>623</v>
      </c>
      <c r="H197" s="13">
        <v>1</v>
      </c>
      <c r="I197" s="16">
        <v>70000</v>
      </c>
      <c r="J197" s="94" t="s">
        <v>841</v>
      </c>
      <c r="K197" s="14">
        <v>2009</v>
      </c>
      <c r="L197" s="13" t="s">
        <v>573</v>
      </c>
      <c r="M197" s="77">
        <v>1393</v>
      </c>
      <c r="N197" s="14" t="s">
        <v>28</v>
      </c>
      <c r="O197" s="14">
        <v>0.7</v>
      </c>
      <c r="P197" s="63">
        <f>70000*H197*3.785/M197</f>
        <v>190.20100502512562</v>
      </c>
      <c r="Q197" s="14">
        <v>2.6</v>
      </c>
      <c r="R197" s="13">
        <v>1323</v>
      </c>
      <c r="S197" s="13">
        <v>0.95</v>
      </c>
      <c r="T197" s="17">
        <v>67516</v>
      </c>
      <c r="U197" s="17">
        <v>67969</v>
      </c>
      <c r="V197" s="18">
        <v>176720</v>
      </c>
    </row>
    <row r="198" spans="1:22" x14ac:dyDescent="0.2">
      <c r="A198" s="12" t="s">
        <v>571</v>
      </c>
      <c r="B198" s="13" t="s">
        <v>572</v>
      </c>
      <c r="C198" s="13" t="s">
        <v>105</v>
      </c>
      <c r="D198" s="13"/>
      <c r="E198" s="4" t="s">
        <v>52</v>
      </c>
      <c r="F198" s="14">
        <f>10*H198*0.7457</f>
        <v>7.4570000000000007</v>
      </c>
      <c r="G198" s="13" t="s">
        <v>88</v>
      </c>
      <c r="H198" s="13">
        <v>1</v>
      </c>
      <c r="I198" s="16">
        <v>21200</v>
      </c>
      <c r="J198" s="94"/>
      <c r="K198" s="14">
        <v>2009</v>
      </c>
      <c r="L198" s="13" t="s">
        <v>573</v>
      </c>
      <c r="M198" s="77">
        <v>1393</v>
      </c>
      <c r="N198" s="14" t="s">
        <v>28</v>
      </c>
      <c r="O198" s="14">
        <v>0.5</v>
      </c>
      <c r="P198" s="63"/>
      <c r="Q198" s="14">
        <v>1.5</v>
      </c>
      <c r="R198" s="13">
        <v>1323</v>
      </c>
      <c r="S198" s="13">
        <v>0.95</v>
      </c>
      <c r="T198" s="17">
        <v>20660</v>
      </c>
      <c r="U198" s="17">
        <v>20798</v>
      </c>
      <c r="V198" s="18">
        <v>31198</v>
      </c>
    </row>
    <row r="199" spans="1:22" x14ac:dyDescent="0.2">
      <c r="A199" s="12" t="s">
        <v>595</v>
      </c>
      <c r="B199" s="13" t="s">
        <v>596</v>
      </c>
      <c r="C199" s="13" t="s">
        <v>174</v>
      </c>
      <c r="D199" s="13" t="s">
        <v>597</v>
      </c>
      <c r="E199" s="4">
        <v>0.5</v>
      </c>
      <c r="F199" s="14">
        <f>E199*H199*0.7457</f>
        <v>0.37285000000000001</v>
      </c>
      <c r="G199" s="13" t="s">
        <v>26</v>
      </c>
      <c r="H199" s="13">
        <v>1</v>
      </c>
      <c r="I199" s="16">
        <v>3000</v>
      </c>
      <c r="J199" s="94"/>
      <c r="K199" s="14">
        <v>2009</v>
      </c>
      <c r="L199" s="13" t="s">
        <v>573</v>
      </c>
      <c r="M199" s="77">
        <v>1393</v>
      </c>
      <c r="N199" s="14" t="s">
        <v>28</v>
      </c>
      <c r="O199" s="14">
        <v>0.8</v>
      </c>
      <c r="P199" s="63">
        <f>M199/H199/3.785/60/8</f>
        <v>0.76673271686481725</v>
      </c>
      <c r="Q199" s="14">
        <v>3.1</v>
      </c>
      <c r="R199" s="13">
        <v>1323</v>
      </c>
      <c r="S199" s="13">
        <v>0.95</v>
      </c>
      <c r="T199" s="17">
        <v>2879</v>
      </c>
      <c r="U199" s="17">
        <v>2898</v>
      </c>
      <c r="V199" s="18">
        <v>8984</v>
      </c>
    </row>
    <row r="200" spans="1:22" x14ac:dyDescent="0.2">
      <c r="A200" s="28" t="s">
        <v>601</v>
      </c>
      <c r="B200" s="29" t="s">
        <v>602</v>
      </c>
      <c r="C200" s="29" t="s">
        <v>141</v>
      </c>
      <c r="D200" s="29" t="s">
        <v>603</v>
      </c>
      <c r="E200" s="30"/>
      <c r="F200" s="31"/>
      <c r="G200" s="29" t="s">
        <v>318</v>
      </c>
      <c r="H200" s="29">
        <v>2</v>
      </c>
      <c r="I200" s="32">
        <v>1340000</v>
      </c>
      <c r="J200" s="93" t="s">
        <v>866</v>
      </c>
      <c r="K200" s="31">
        <v>2009</v>
      </c>
      <c r="L200" s="29" t="s">
        <v>426</v>
      </c>
      <c r="M200" s="81">
        <v>22681</v>
      </c>
      <c r="N200" s="31" t="s">
        <v>28</v>
      </c>
      <c r="O200" s="31">
        <v>0.7</v>
      </c>
      <c r="P200" s="67"/>
      <c r="Q200" s="31">
        <v>1.7</v>
      </c>
      <c r="R200" s="29">
        <v>21808</v>
      </c>
      <c r="S200" s="29">
        <v>0.96</v>
      </c>
      <c r="T200" s="33">
        <v>1303683</v>
      </c>
      <c r="U200" s="33">
        <v>1312426</v>
      </c>
      <c r="V200" s="34">
        <v>2231125</v>
      </c>
    </row>
    <row r="201" spans="1:22" x14ac:dyDescent="0.2">
      <c r="A201" s="28" t="s">
        <v>582</v>
      </c>
      <c r="B201" s="29" t="s">
        <v>583</v>
      </c>
      <c r="C201" s="29" t="s">
        <v>174</v>
      </c>
      <c r="D201" s="29" t="s">
        <v>584</v>
      </c>
      <c r="E201" s="30">
        <v>5</v>
      </c>
      <c r="F201" s="31">
        <f>E201*H201*0.7457</f>
        <v>7.4570000000000007</v>
      </c>
      <c r="G201" s="29" t="s">
        <v>26</v>
      </c>
      <c r="H201" s="29">
        <v>2</v>
      </c>
      <c r="I201" s="32">
        <v>9200</v>
      </c>
      <c r="J201" s="93"/>
      <c r="K201" s="31">
        <v>2009</v>
      </c>
      <c r="L201" s="29" t="s">
        <v>426</v>
      </c>
      <c r="M201" s="81">
        <v>22681</v>
      </c>
      <c r="N201" s="31" t="s">
        <v>28</v>
      </c>
      <c r="O201" s="31">
        <v>0.8</v>
      </c>
      <c r="P201" s="67"/>
      <c r="Q201" s="31">
        <v>3.1</v>
      </c>
      <c r="R201" s="29">
        <v>21808</v>
      </c>
      <c r="S201" s="29">
        <v>0.96</v>
      </c>
      <c r="T201" s="33">
        <v>8916</v>
      </c>
      <c r="U201" s="33">
        <v>8975</v>
      </c>
      <c r="V201" s="34">
        <v>27824</v>
      </c>
    </row>
    <row r="202" spans="1:22" x14ac:dyDescent="0.2">
      <c r="A202" s="12" t="s">
        <v>607</v>
      </c>
      <c r="B202" s="13" t="s">
        <v>608</v>
      </c>
      <c r="C202" s="13"/>
      <c r="D202" s="13" t="s">
        <v>609</v>
      </c>
      <c r="F202" s="14"/>
      <c r="G202" s="13" t="s">
        <v>610</v>
      </c>
      <c r="H202" s="13">
        <v>1</v>
      </c>
      <c r="I202" s="16">
        <v>803000</v>
      </c>
      <c r="J202" s="94" t="s">
        <v>839</v>
      </c>
      <c r="K202" s="14">
        <v>2009</v>
      </c>
      <c r="L202" s="13" t="s">
        <v>590</v>
      </c>
      <c r="M202" s="77">
        <v>8343</v>
      </c>
      <c r="N202" s="14" t="s">
        <v>28</v>
      </c>
      <c r="O202" s="14">
        <v>0.7</v>
      </c>
      <c r="P202" s="63">
        <f>M202/H202/3.785*4/600000</f>
        <v>1.4694848084544252E-2</v>
      </c>
      <c r="Q202" s="14">
        <v>1.7</v>
      </c>
      <c r="R202" s="13">
        <v>8021</v>
      </c>
      <c r="S202" s="13">
        <v>0.96</v>
      </c>
      <c r="T202" s="17">
        <v>781201</v>
      </c>
      <c r="U202" s="17">
        <v>786440</v>
      </c>
      <c r="V202" s="18">
        <v>1336948</v>
      </c>
    </row>
    <row r="203" spans="1:22" x14ac:dyDescent="0.2">
      <c r="A203" s="12" t="s">
        <v>587</v>
      </c>
      <c r="B203" s="13" t="s">
        <v>588</v>
      </c>
      <c r="C203" s="13" t="s">
        <v>174</v>
      </c>
      <c r="D203" s="13" t="s">
        <v>589</v>
      </c>
      <c r="E203" s="4">
        <v>125</v>
      </c>
      <c r="F203" s="14">
        <f>E203*H203*0.7457</f>
        <v>93.212500000000006</v>
      </c>
      <c r="G203" s="13" t="s">
        <v>26</v>
      </c>
      <c r="H203" s="13">
        <v>1</v>
      </c>
      <c r="I203" s="16">
        <v>15000</v>
      </c>
      <c r="J203" s="94"/>
      <c r="K203" s="14">
        <v>2009</v>
      </c>
      <c r="L203" s="13" t="s">
        <v>590</v>
      </c>
      <c r="M203" s="77">
        <v>8343</v>
      </c>
      <c r="N203" s="14" t="s">
        <v>28</v>
      </c>
      <c r="O203" s="14">
        <v>0.8</v>
      </c>
      <c r="P203" s="63">
        <f>M203/H203/3.785/60/2500</f>
        <v>1.4694848084544253E-2</v>
      </c>
      <c r="Q203" s="14">
        <v>3.1</v>
      </c>
      <c r="R203" s="13">
        <v>8021</v>
      </c>
      <c r="S203" s="13">
        <v>0.96</v>
      </c>
      <c r="T203" s="17">
        <v>14536</v>
      </c>
      <c r="U203" s="17">
        <v>14633</v>
      </c>
      <c r="V203" s="18">
        <v>45362</v>
      </c>
    </row>
    <row r="204" spans="1:22" s="13" customFormat="1" x14ac:dyDescent="0.2">
      <c r="A204" s="28" t="s">
        <v>578</v>
      </c>
      <c r="B204" s="29" t="s">
        <v>579</v>
      </c>
      <c r="C204" s="29" t="s">
        <v>580</v>
      </c>
      <c r="D204" s="29" t="s">
        <v>581</v>
      </c>
      <c r="E204" s="30"/>
      <c r="F204" s="31"/>
      <c r="G204" s="29"/>
      <c r="H204" s="29">
        <v>1</v>
      </c>
      <c r="I204" s="32">
        <v>30000</v>
      </c>
      <c r="J204" s="33"/>
      <c r="K204" s="31">
        <v>2009</v>
      </c>
      <c r="L204" s="29" t="s">
        <v>577</v>
      </c>
      <c r="M204" s="81">
        <v>163</v>
      </c>
      <c r="N204" s="31" t="s">
        <v>28</v>
      </c>
      <c r="O204" s="31">
        <v>0.6</v>
      </c>
      <c r="P204" s="67"/>
      <c r="Q204" s="31">
        <v>1.7</v>
      </c>
      <c r="R204" s="29">
        <v>142</v>
      </c>
      <c r="S204" s="29">
        <v>0.87</v>
      </c>
      <c r="T204" s="33">
        <v>27636</v>
      </c>
      <c r="U204" s="33">
        <v>27822</v>
      </c>
      <c r="V204" s="34">
        <v>47297</v>
      </c>
    </row>
    <row r="205" spans="1:22" x14ac:dyDescent="0.2">
      <c r="A205" s="28" t="s">
        <v>624</v>
      </c>
      <c r="B205" s="29" t="s">
        <v>625</v>
      </c>
      <c r="C205" s="29" t="s">
        <v>580</v>
      </c>
      <c r="D205" s="29" t="s">
        <v>626</v>
      </c>
      <c r="E205" s="30"/>
      <c r="F205" s="31"/>
      <c r="G205" s="29"/>
      <c r="H205" s="29">
        <v>1</v>
      </c>
      <c r="I205" s="31" t="s">
        <v>33</v>
      </c>
      <c r="J205" s="29"/>
      <c r="K205" s="31"/>
      <c r="L205" s="29"/>
      <c r="M205" s="81"/>
      <c r="N205" s="31"/>
      <c r="O205" s="31"/>
      <c r="P205" s="67"/>
      <c r="Q205" s="31"/>
      <c r="R205" s="29"/>
      <c r="S205" s="29"/>
      <c r="T205" s="29"/>
      <c r="U205" s="29"/>
      <c r="V205" s="41"/>
    </row>
    <row r="206" spans="1:22" x14ac:dyDescent="0.2">
      <c r="A206" s="28" t="s">
        <v>627</v>
      </c>
      <c r="B206" s="29" t="s">
        <v>628</v>
      </c>
      <c r="C206" s="29"/>
      <c r="D206" s="29" t="s">
        <v>629</v>
      </c>
      <c r="E206" s="29"/>
      <c r="F206" s="31"/>
      <c r="G206" s="29" t="s">
        <v>88</v>
      </c>
      <c r="H206" s="29">
        <v>1</v>
      </c>
      <c r="I206" s="32">
        <v>102000</v>
      </c>
      <c r="J206" s="33"/>
      <c r="K206" s="31">
        <v>2009</v>
      </c>
      <c r="L206" s="29" t="s">
        <v>616</v>
      </c>
      <c r="M206" s="81">
        <v>1615</v>
      </c>
      <c r="N206" s="31" t="s">
        <v>28</v>
      </c>
      <c r="O206" s="31">
        <v>0.7</v>
      </c>
      <c r="P206" s="67"/>
      <c r="Q206" s="31">
        <v>1.8</v>
      </c>
      <c r="R206" s="29">
        <v>1166</v>
      </c>
      <c r="S206" s="29">
        <v>0.72</v>
      </c>
      <c r="T206" s="33">
        <v>81192</v>
      </c>
      <c r="U206" s="33">
        <v>81737</v>
      </c>
      <c r="V206" s="34">
        <v>147126</v>
      </c>
    </row>
    <row r="207" spans="1:22" s="13" customFormat="1" x14ac:dyDescent="0.2">
      <c r="A207" s="28" t="s">
        <v>574</v>
      </c>
      <c r="B207" s="29" t="s">
        <v>575</v>
      </c>
      <c r="C207" s="29" t="s">
        <v>105</v>
      </c>
      <c r="D207" s="29"/>
      <c r="E207" s="30" t="s">
        <v>576</v>
      </c>
      <c r="F207" s="31"/>
      <c r="G207" s="29" t="s">
        <v>88</v>
      </c>
      <c r="H207" s="29">
        <v>1</v>
      </c>
      <c r="I207" s="32">
        <v>9800</v>
      </c>
      <c r="J207" s="33"/>
      <c r="K207" s="31">
        <v>2009</v>
      </c>
      <c r="L207" s="29" t="s">
        <v>577</v>
      </c>
      <c r="M207" s="81">
        <v>163</v>
      </c>
      <c r="N207" s="31" t="s">
        <v>28</v>
      </c>
      <c r="O207" s="31">
        <v>0.5</v>
      </c>
      <c r="P207" s="67"/>
      <c r="Q207" s="31">
        <v>1.5</v>
      </c>
      <c r="R207" s="29">
        <v>142</v>
      </c>
      <c r="S207" s="29">
        <v>0.87</v>
      </c>
      <c r="T207" s="33">
        <v>9152</v>
      </c>
      <c r="U207" s="33">
        <v>9214</v>
      </c>
      <c r="V207" s="34">
        <v>13820</v>
      </c>
    </row>
    <row r="208" spans="1:22" s="13" customFormat="1" x14ac:dyDescent="0.2">
      <c r="A208" s="28" t="s">
        <v>598</v>
      </c>
      <c r="B208" s="29" t="s">
        <v>599</v>
      </c>
      <c r="C208" s="29" t="s">
        <v>174</v>
      </c>
      <c r="D208" s="29" t="s">
        <v>600</v>
      </c>
      <c r="E208" s="30">
        <v>0.5</v>
      </c>
      <c r="F208" s="31"/>
      <c r="G208" s="29" t="s">
        <v>26</v>
      </c>
      <c r="H208" s="29">
        <v>1</v>
      </c>
      <c r="I208" s="32">
        <v>3000</v>
      </c>
      <c r="J208" s="33"/>
      <c r="K208" s="31">
        <v>2009</v>
      </c>
      <c r="L208" s="29" t="s">
        <v>577</v>
      </c>
      <c r="M208" s="81">
        <v>163</v>
      </c>
      <c r="N208" s="31" t="s">
        <v>28</v>
      </c>
      <c r="O208" s="31">
        <v>0.8</v>
      </c>
      <c r="P208" s="67"/>
      <c r="Q208" s="31">
        <v>3.1</v>
      </c>
      <c r="R208" s="29">
        <v>142</v>
      </c>
      <c r="S208" s="29">
        <v>0.87</v>
      </c>
      <c r="T208" s="33">
        <v>2689</v>
      </c>
      <c r="U208" s="33">
        <v>2707</v>
      </c>
      <c r="V208" s="34">
        <v>8392</v>
      </c>
    </row>
    <row r="209" spans="1:22" x14ac:dyDescent="0.2">
      <c r="A209" s="28" t="s">
        <v>617</v>
      </c>
      <c r="B209" s="29" t="s">
        <v>618</v>
      </c>
      <c r="C209" s="29"/>
      <c r="D209" s="29" t="s">
        <v>619</v>
      </c>
      <c r="E209" s="29"/>
      <c r="F209" s="31"/>
      <c r="G209" s="29" t="s">
        <v>26</v>
      </c>
      <c r="H209" s="29">
        <v>1</v>
      </c>
      <c r="I209" s="32">
        <v>200000</v>
      </c>
      <c r="J209" s="33"/>
      <c r="K209" s="31">
        <v>2009</v>
      </c>
      <c r="L209" s="29" t="s">
        <v>594</v>
      </c>
      <c r="M209" s="81">
        <v>473</v>
      </c>
      <c r="N209" s="31" t="s">
        <v>28</v>
      </c>
      <c r="O209" s="31">
        <v>0.7</v>
      </c>
      <c r="P209" s="67"/>
      <c r="Q209" s="31">
        <v>1.7</v>
      </c>
      <c r="R209" s="29">
        <v>465</v>
      </c>
      <c r="S209" s="29">
        <v>0.98</v>
      </c>
      <c r="T209" s="33">
        <v>197602</v>
      </c>
      <c r="U209" s="33">
        <v>198927</v>
      </c>
      <c r="V209" s="34">
        <v>338176</v>
      </c>
    </row>
    <row r="210" spans="1:22" x14ac:dyDescent="0.2">
      <c r="A210" s="28" t="s">
        <v>591</v>
      </c>
      <c r="B210" s="29" t="s">
        <v>592</v>
      </c>
      <c r="C210" s="29" t="s">
        <v>174</v>
      </c>
      <c r="D210" s="29" t="s">
        <v>593</v>
      </c>
      <c r="E210" s="29">
        <v>0.5</v>
      </c>
      <c r="F210" s="31"/>
      <c r="G210" s="29" t="s">
        <v>26</v>
      </c>
      <c r="H210" s="29">
        <v>1</v>
      </c>
      <c r="I210" s="32">
        <v>3000</v>
      </c>
      <c r="J210" s="33"/>
      <c r="K210" s="31">
        <v>2009</v>
      </c>
      <c r="L210" s="29" t="s">
        <v>594</v>
      </c>
      <c r="M210" s="81">
        <v>473</v>
      </c>
      <c r="N210" s="31" t="s">
        <v>28</v>
      </c>
      <c r="O210" s="31">
        <v>0.8</v>
      </c>
      <c r="P210" s="67"/>
      <c r="Q210" s="31">
        <v>3.1</v>
      </c>
      <c r="R210" s="29">
        <v>465</v>
      </c>
      <c r="S210" s="29">
        <v>0.98</v>
      </c>
      <c r="T210" s="33">
        <v>2959</v>
      </c>
      <c r="U210" s="33">
        <v>2979</v>
      </c>
      <c r="V210" s="34">
        <v>9234</v>
      </c>
    </row>
    <row r="211" spans="1:22" x14ac:dyDescent="0.2">
      <c r="A211" s="28" t="s">
        <v>567</v>
      </c>
      <c r="B211" s="29" t="s">
        <v>568</v>
      </c>
      <c r="C211" s="29"/>
      <c r="D211" s="29" t="s">
        <v>569</v>
      </c>
      <c r="E211" s="30"/>
      <c r="F211" s="31"/>
      <c r="G211" s="29" t="s">
        <v>88</v>
      </c>
      <c r="H211" s="29">
        <v>1</v>
      </c>
      <c r="I211" s="32">
        <v>3850</v>
      </c>
      <c r="J211" s="33"/>
      <c r="K211" s="31">
        <v>2009</v>
      </c>
      <c r="L211" s="29" t="s">
        <v>570</v>
      </c>
      <c r="M211" s="81">
        <v>23154</v>
      </c>
      <c r="N211" s="31" t="s">
        <v>28</v>
      </c>
      <c r="O211" s="31">
        <v>0.5</v>
      </c>
      <c r="P211" s="67"/>
      <c r="Q211" s="31">
        <v>1</v>
      </c>
      <c r="R211" s="29">
        <v>22273</v>
      </c>
      <c r="S211" s="29">
        <v>0.96</v>
      </c>
      <c r="T211" s="33">
        <v>3776</v>
      </c>
      <c r="U211" s="33">
        <v>3801</v>
      </c>
      <c r="V211" s="34">
        <v>3801</v>
      </c>
    </row>
    <row r="212" spans="1:22" x14ac:dyDescent="0.2">
      <c r="A212" s="19" t="s">
        <v>630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78"/>
      <c r="N212" s="20"/>
      <c r="O212" s="20"/>
      <c r="P212" s="64"/>
      <c r="Q212" s="20"/>
      <c r="R212" s="22"/>
      <c r="S212" s="5" t="s">
        <v>631</v>
      </c>
      <c r="T212" s="23">
        <v>2823265</v>
      </c>
      <c r="U212" s="23">
        <v>2827086</v>
      </c>
      <c r="V212" s="23">
        <v>4953786</v>
      </c>
    </row>
    <row r="213" spans="1:22" x14ac:dyDescent="0.2">
      <c r="S213" s="26" t="s">
        <v>736</v>
      </c>
      <c r="T213" s="27">
        <f>SUM(T194:T211)</f>
        <v>2823265</v>
      </c>
      <c r="U213" s="27">
        <f>SUM(U194:U211)</f>
        <v>2827086</v>
      </c>
      <c r="V213" s="27">
        <f>SUM(V194:V211)</f>
        <v>4953787</v>
      </c>
    </row>
    <row r="214" spans="1:22" x14ac:dyDescent="0.2">
      <c r="S214" s="26" t="s">
        <v>737</v>
      </c>
      <c r="T214" s="27">
        <f>T212-T213</f>
        <v>0</v>
      </c>
      <c r="U214" s="27">
        <f t="shared" ref="U214" si="16">U212-U213</f>
        <v>0</v>
      </c>
      <c r="V214" s="27">
        <f t="shared" ref="V214" si="17">V212-V213</f>
        <v>-1</v>
      </c>
    </row>
    <row r="216" spans="1:22" x14ac:dyDescent="0.2">
      <c r="A216" s="91" t="s">
        <v>842</v>
      </c>
      <c r="B216" s="91"/>
      <c r="C216" s="91"/>
      <c r="D216" s="91"/>
      <c r="E216" s="91"/>
      <c r="F216" s="91"/>
      <c r="G216" s="91"/>
      <c r="H216" s="91"/>
      <c r="I216" s="91"/>
      <c r="J216" s="52" t="s">
        <v>740</v>
      </c>
      <c r="K216" s="91" t="s">
        <v>1</v>
      </c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</row>
    <row r="217" spans="1:22" x14ac:dyDescent="0.2">
      <c r="A217" s="5" t="s">
        <v>2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741</v>
      </c>
      <c r="G217" s="5" t="s">
        <v>7</v>
      </c>
      <c r="H217" s="5" t="s">
        <v>8</v>
      </c>
      <c r="I217" s="5" t="s">
        <v>9</v>
      </c>
      <c r="J217" s="5"/>
      <c r="K217" s="5" t="s">
        <v>10</v>
      </c>
      <c r="L217" s="5" t="s">
        <v>11</v>
      </c>
      <c r="M217" s="75" t="s">
        <v>12</v>
      </c>
      <c r="N217" s="5" t="s">
        <v>13</v>
      </c>
      <c r="O217" s="5" t="s">
        <v>14</v>
      </c>
      <c r="P217" s="61" t="s">
        <v>855</v>
      </c>
      <c r="Q217" s="5" t="s">
        <v>15</v>
      </c>
      <c r="R217" s="5" t="s">
        <v>16</v>
      </c>
      <c r="S217" s="5" t="s">
        <v>17</v>
      </c>
      <c r="T217" s="5" t="s">
        <v>18</v>
      </c>
      <c r="U217" s="5" t="s">
        <v>19</v>
      </c>
      <c r="V217" s="5" t="s">
        <v>20</v>
      </c>
    </row>
    <row r="218" spans="1:22" s="13" customFormat="1" x14ac:dyDescent="0.2">
      <c r="A218" s="12" t="s">
        <v>643</v>
      </c>
      <c r="B218" s="13" t="s">
        <v>644</v>
      </c>
      <c r="C218" s="13" t="s">
        <v>634</v>
      </c>
      <c r="D218" s="13" t="s">
        <v>645</v>
      </c>
      <c r="E218" s="13" t="s">
        <v>646</v>
      </c>
      <c r="F218" s="14">
        <f>2752*H218</f>
        <v>2752</v>
      </c>
      <c r="G218" s="13" t="s">
        <v>26</v>
      </c>
      <c r="H218" s="13">
        <v>1</v>
      </c>
      <c r="I218" s="16">
        <v>28550000</v>
      </c>
      <c r="J218" s="101" t="s">
        <v>852</v>
      </c>
      <c r="K218" s="14">
        <v>2010</v>
      </c>
      <c r="L218" s="13" t="s">
        <v>647</v>
      </c>
      <c r="M218" s="77">
        <v>238686</v>
      </c>
      <c r="N218" s="14" t="s">
        <v>28</v>
      </c>
      <c r="O218" s="14">
        <v>0.6</v>
      </c>
      <c r="P218" s="63"/>
      <c r="Q218" s="14">
        <v>1.8</v>
      </c>
      <c r="R218" s="13">
        <v>234784</v>
      </c>
      <c r="S218" s="13">
        <v>0.98</v>
      </c>
      <c r="T218" s="17">
        <v>28269041</v>
      </c>
      <c r="U218" s="17">
        <v>27029216</v>
      </c>
      <c r="V218" s="18">
        <v>48652589</v>
      </c>
    </row>
    <row r="219" spans="1:22" x14ac:dyDescent="0.2">
      <c r="A219" s="12" t="s">
        <v>641</v>
      </c>
      <c r="B219" s="13" t="s">
        <v>642</v>
      </c>
      <c r="C219" s="13" t="s">
        <v>634</v>
      </c>
      <c r="D219" s="13"/>
      <c r="F219" s="14"/>
      <c r="G219" s="13"/>
      <c r="H219" s="13"/>
      <c r="I219" s="14" t="s">
        <v>33</v>
      </c>
      <c r="J219" s="94"/>
      <c r="K219" s="14"/>
      <c r="L219" s="13"/>
      <c r="M219" s="77"/>
      <c r="N219" s="14"/>
      <c r="O219" s="14"/>
      <c r="P219" s="63"/>
      <c r="Q219" s="14"/>
      <c r="R219" s="13"/>
      <c r="S219" s="13"/>
      <c r="T219" s="13"/>
      <c r="U219" s="13"/>
      <c r="V219" s="15"/>
    </row>
    <row r="220" spans="1:22" x14ac:dyDescent="0.2">
      <c r="A220" s="12" t="s">
        <v>632</v>
      </c>
      <c r="B220" s="13" t="s">
        <v>633</v>
      </c>
      <c r="C220" s="13" t="s">
        <v>634</v>
      </c>
      <c r="D220" s="13"/>
      <c r="F220" s="14"/>
      <c r="G220" s="13"/>
      <c r="H220" s="13">
        <v>1</v>
      </c>
      <c r="I220" s="14" t="s">
        <v>33</v>
      </c>
      <c r="J220" s="94"/>
      <c r="K220" s="14"/>
      <c r="L220" s="13"/>
      <c r="M220" s="77"/>
      <c r="N220" s="14"/>
      <c r="O220" s="14"/>
      <c r="P220" s="63"/>
      <c r="Q220" s="14"/>
      <c r="R220" s="13"/>
      <c r="S220" s="13"/>
      <c r="T220" s="13"/>
      <c r="U220" s="13"/>
      <c r="V220" s="15"/>
    </row>
    <row r="221" spans="1:22" x14ac:dyDescent="0.2">
      <c r="A221" s="12" t="s">
        <v>648</v>
      </c>
      <c r="B221" s="13" t="s">
        <v>649</v>
      </c>
      <c r="C221" s="13" t="s">
        <v>634</v>
      </c>
      <c r="D221" s="13" t="s">
        <v>650</v>
      </c>
      <c r="F221" s="14"/>
      <c r="G221" s="13"/>
      <c r="H221" s="13"/>
      <c r="I221" s="14" t="s">
        <v>33</v>
      </c>
      <c r="J221" s="94"/>
      <c r="K221" s="14"/>
      <c r="L221" s="13"/>
      <c r="M221" s="77"/>
      <c r="N221" s="14"/>
      <c r="O221" s="14"/>
      <c r="P221" s="63"/>
      <c r="Q221" s="14"/>
      <c r="R221" s="13"/>
      <c r="S221" s="13"/>
      <c r="T221" s="13"/>
      <c r="U221" s="13"/>
      <c r="V221" s="15"/>
    </row>
    <row r="222" spans="1:22" x14ac:dyDescent="0.2">
      <c r="A222" s="12" t="s">
        <v>635</v>
      </c>
      <c r="B222" s="13" t="s">
        <v>636</v>
      </c>
      <c r="C222" s="13" t="s">
        <v>634</v>
      </c>
      <c r="D222" s="13"/>
      <c r="F222" s="14"/>
      <c r="G222" s="13"/>
      <c r="H222" s="13">
        <v>1</v>
      </c>
      <c r="I222" s="14" t="s">
        <v>33</v>
      </c>
      <c r="J222" s="94"/>
      <c r="K222" s="14"/>
      <c r="L222" s="13"/>
      <c r="M222" s="77"/>
      <c r="N222" s="14"/>
      <c r="O222" s="14"/>
      <c r="P222" s="63"/>
      <c r="Q222" s="14"/>
      <c r="R222" s="13"/>
      <c r="S222" s="13"/>
      <c r="T222" s="13"/>
      <c r="U222" s="13"/>
      <c r="V222" s="15"/>
    </row>
    <row r="223" spans="1:22" x14ac:dyDescent="0.2">
      <c r="A223" s="12" t="s">
        <v>672</v>
      </c>
      <c r="B223" s="13" t="s">
        <v>673</v>
      </c>
      <c r="C223" s="13" t="s">
        <v>659</v>
      </c>
      <c r="D223" s="13"/>
      <c r="F223" s="14"/>
      <c r="G223" s="13" t="s">
        <v>205</v>
      </c>
      <c r="H223" s="13">
        <v>5</v>
      </c>
      <c r="I223" s="14" t="s">
        <v>33</v>
      </c>
      <c r="J223" s="94"/>
      <c r="K223" s="14"/>
      <c r="L223" s="13"/>
      <c r="M223" s="77"/>
      <c r="N223" s="14"/>
      <c r="O223" s="14"/>
      <c r="P223" s="63"/>
      <c r="Q223" s="14"/>
      <c r="R223" s="13"/>
      <c r="S223" s="13"/>
      <c r="T223" s="13"/>
      <c r="U223" s="13"/>
      <c r="V223" s="15"/>
    </row>
    <row r="224" spans="1:22" x14ac:dyDescent="0.2">
      <c r="A224" s="12" t="s">
        <v>686</v>
      </c>
      <c r="B224" s="13" t="s">
        <v>687</v>
      </c>
      <c r="C224" s="13" t="s">
        <v>659</v>
      </c>
      <c r="D224" s="13"/>
      <c r="F224" s="14"/>
      <c r="G224" s="13" t="s">
        <v>26</v>
      </c>
      <c r="H224" s="13">
        <v>1</v>
      </c>
      <c r="I224" s="14" t="s">
        <v>33</v>
      </c>
      <c r="J224" s="94"/>
      <c r="K224" s="14"/>
      <c r="L224" s="13"/>
      <c r="M224" s="77"/>
      <c r="N224" s="14"/>
      <c r="O224" s="14"/>
      <c r="P224" s="63"/>
      <c r="Q224" s="14"/>
      <c r="R224" s="13"/>
      <c r="S224" s="13"/>
      <c r="T224" s="13"/>
      <c r="U224" s="13"/>
      <c r="V224" s="15"/>
    </row>
    <row r="225" spans="1:22" x14ac:dyDescent="0.2">
      <c r="A225" s="12" t="s">
        <v>674</v>
      </c>
      <c r="B225" s="13" t="s">
        <v>675</v>
      </c>
      <c r="C225" s="13" t="s">
        <v>659</v>
      </c>
      <c r="D225" s="13"/>
      <c r="F225" s="14"/>
      <c r="G225" s="13" t="s">
        <v>26</v>
      </c>
      <c r="H225" s="13">
        <v>2</v>
      </c>
      <c r="I225" s="14" t="s">
        <v>33</v>
      </c>
      <c r="J225" s="94"/>
      <c r="K225" s="14"/>
      <c r="L225" s="13"/>
      <c r="M225" s="77"/>
      <c r="N225" s="14"/>
      <c r="O225" s="14"/>
      <c r="P225" s="63"/>
      <c r="Q225" s="14"/>
      <c r="R225" s="13"/>
      <c r="S225" s="13"/>
      <c r="T225" s="13"/>
      <c r="U225" s="13"/>
      <c r="V225" s="15"/>
    </row>
    <row r="226" spans="1:22" x14ac:dyDescent="0.2">
      <c r="A226" s="12" t="s">
        <v>651</v>
      </c>
      <c r="B226" s="13" t="s">
        <v>652</v>
      </c>
      <c r="C226" s="13" t="s">
        <v>653</v>
      </c>
      <c r="D226" s="13" t="s">
        <v>654</v>
      </c>
      <c r="F226" s="14"/>
      <c r="G226" s="13"/>
      <c r="H226" s="13">
        <v>1</v>
      </c>
      <c r="I226" s="16">
        <v>9500000</v>
      </c>
      <c r="J226" s="94"/>
      <c r="K226" s="14">
        <v>2010</v>
      </c>
      <c r="L226" s="13" t="s">
        <v>655</v>
      </c>
      <c r="M226" s="77">
        <v>-42200</v>
      </c>
      <c r="N226" s="14" t="s">
        <v>656</v>
      </c>
      <c r="O226" s="14">
        <v>0.6</v>
      </c>
      <c r="P226" s="63"/>
      <c r="Q226" s="14">
        <v>1.8</v>
      </c>
      <c r="R226" s="13">
        <v>-41324</v>
      </c>
      <c r="S226" s="13">
        <v>0.98</v>
      </c>
      <c r="T226" s="17">
        <v>9381215</v>
      </c>
      <c r="U226" s="17">
        <v>8969773</v>
      </c>
      <c r="V226" s="18">
        <v>16145591</v>
      </c>
    </row>
    <row r="227" spans="1:22" x14ac:dyDescent="0.2">
      <c r="A227" s="12" t="s">
        <v>668</v>
      </c>
      <c r="B227" s="13" t="s">
        <v>669</v>
      </c>
      <c r="C227" s="13" t="s">
        <v>659</v>
      </c>
      <c r="D227" s="13"/>
      <c r="F227" s="14"/>
      <c r="G227" s="13" t="s">
        <v>88</v>
      </c>
      <c r="H227" s="13">
        <v>2</v>
      </c>
      <c r="I227" s="14" t="s">
        <v>33</v>
      </c>
      <c r="J227" s="94"/>
      <c r="K227" s="14"/>
      <c r="L227" s="13"/>
      <c r="M227" s="77"/>
      <c r="N227" s="14"/>
      <c r="O227" s="14"/>
      <c r="P227" s="63"/>
      <c r="Q227" s="14"/>
      <c r="R227" s="13"/>
      <c r="S227" s="13"/>
      <c r="T227" s="13"/>
      <c r="U227" s="13"/>
      <c r="V227" s="15"/>
    </row>
    <row r="228" spans="1:22" x14ac:dyDescent="0.2">
      <c r="A228" s="12" t="s">
        <v>678</v>
      </c>
      <c r="B228" s="13" t="s">
        <v>679</v>
      </c>
      <c r="C228" s="13" t="s">
        <v>659</v>
      </c>
      <c r="D228" s="13"/>
      <c r="F228" s="14"/>
      <c r="G228" s="13" t="s">
        <v>318</v>
      </c>
      <c r="H228" s="13">
        <v>1</v>
      </c>
      <c r="I228" s="14" t="s">
        <v>33</v>
      </c>
      <c r="J228" s="94"/>
      <c r="K228" s="14"/>
      <c r="L228" s="13"/>
      <c r="M228" s="77"/>
      <c r="N228" s="14"/>
      <c r="O228" s="14"/>
      <c r="P228" s="63"/>
      <c r="Q228" s="14"/>
      <c r="R228" s="13"/>
      <c r="S228" s="13"/>
      <c r="T228" s="13"/>
      <c r="U228" s="13"/>
      <c r="V228" s="15"/>
    </row>
    <row r="229" spans="1:22" x14ac:dyDescent="0.2">
      <c r="A229" s="12" t="s">
        <v>666</v>
      </c>
      <c r="B229" s="13" t="s">
        <v>667</v>
      </c>
      <c r="C229" s="13" t="s">
        <v>659</v>
      </c>
      <c r="D229" s="13"/>
      <c r="F229" s="14"/>
      <c r="G229" s="13" t="s">
        <v>205</v>
      </c>
      <c r="H229" s="13">
        <v>2</v>
      </c>
      <c r="I229" s="14" t="s">
        <v>33</v>
      </c>
      <c r="J229" s="94"/>
      <c r="K229" s="14"/>
      <c r="L229" s="13"/>
      <c r="M229" s="77"/>
      <c r="N229" s="14"/>
      <c r="O229" s="14"/>
      <c r="P229" s="63"/>
      <c r="Q229" s="14"/>
      <c r="R229" s="13"/>
      <c r="S229" s="13"/>
      <c r="T229" s="13"/>
      <c r="U229" s="13"/>
      <c r="V229" s="15"/>
    </row>
    <row r="230" spans="1:22" x14ac:dyDescent="0.2">
      <c r="A230" s="12" t="s">
        <v>680</v>
      </c>
      <c r="B230" s="13" t="s">
        <v>681</v>
      </c>
      <c r="C230" s="13" t="s">
        <v>659</v>
      </c>
      <c r="D230" s="13"/>
      <c r="F230" s="14"/>
      <c r="G230" s="13" t="s">
        <v>88</v>
      </c>
      <c r="H230" s="13">
        <v>1</v>
      </c>
      <c r="I230" s="14" t="s">
        <v>33</v>
      </c>
      <c r="J230" s="94"/>
      <c r="K230" s="14"/>
      <c r="L230" s="13"/>
      <c r="M230" s="77"/>
      <c r="N230" s="14"/>
      <c r="O230" s="14"/>
      <c r="P230" s="63"/>
      <c r="Q230" s="14"/>
      <c r="R230" s="13"/>
      <c r="S230" s="13"/>
      <c r="T230" s="13"/>
      <c r="U230" s="13"/>
      <c r="V230" s="15"/>
    </row>
    <row r="231" spans="1:22" x14ac:dyDescent="0.2">
      <c r="A231" s="12" t="s">
        <v>657</v>
      </c>
      <c r="B231" s="13" t="s">
        <v>658</v>
      </c>
      <c r="C231" s="13" t="s">
        <v>659</v>
      </c>
      <c r="D231" s="13"/>
      <c r="F231" s="14"/>
      <c r="G231" s="13"/>
      <c r="H231" s="13">
        <v>1</v>
      </c>
      <c r="I231" s="16">
        <v>78000</v>
      </c>
      <c r="J231" s="94"/>
      <c r="K231" s="14">
        <v>2010</v>
      </c>
      <c r="L231" s="13" t="s">
        <v>647</v>
      </c>
      <c r="M231" s="77">
        <v>235803</v>
      </c>
      <c r="N231" s="14" t="s">
        <v>28</v>
      </c>
      <c r="O231" s="14">
        <v>0.6</v>
      </c>
      <c r="P231" s="63"/>
      <c r="Q231" s="14">
        <v>1.8</v>
      </c>
      <c r="R231" s="13">
        <v>234784</v>
      </c>
      <c r="S231" s="13">
        <v>1</v>
      </c>
      <c r="T231" s="17">
        <v>77798</v>
      </c>
      <c r="U231" s="17">
        <v>74386</v>
      </c>
      <c r="V231" s="18">
        <v>133894</v>
      </c>
    </row>
    <row r="232" spans="1:22" x14ac:dyDescent="0.2">
      <c r="A232" s="12" t="s">
        <v>682</v>
      </c>
      <c r="B232" s="13" t="s">
        <v>683</v>
      </c>
      <c r="C232" s="13" t="s">
        <v>659</v>
      </c>
      <c r="D232" s="13" t="s">
        <v>684</v>
      </c>
      <c r="F232" s="14"/>
      <c r="G232" s="13" t="s">
        <v>685</v>
      </c>
      <c r="H232" s="13">
        <v>1</v>
      </c>
      <c r="I232" s="16">
        <v>305000</v>
      </c>
      <c r="J232" s="94"/>
      <c r="K232" s="14">
        <v>2010</v>
      </c>
      <c r="L232" s="13" t="s">
        <v>647</v>
      </c>
      <c r="M232" s="77">
        <v>235803</v>
      </c>
      <c r="N232" s="14" t="s">
        <v>28</v>
      </c>
      <c r="O232" s="14">
        <v>0.6</v>
      </c>
      <c r="P232" s="63"/>
      <c r="Q232" s="14">
        <v>3</v>
      </c>
      <c r="R232" s="13">
        <v>234784</v>
      </c>
      <c r="S232" s="13">
        <v>1</v>
      </c>
      <c r="T232" s="17">
        <v>304209</v>
      </c>
      <c r="U232" s="17">
        <v>290867</v>
      </c>
      <c r="V232" s="18">
        <v>872600</v>
      </c>
    </row>
    <row r="233" spans="1:22" x14ac:dyDescent="0.2">
      <c r="A233" s="12" t="s">
        <v>670</v>
      </c>
      <c r="B233" s="13" t="s">
        <v>671</v>
      </c>
      <c r="C233" s="13" t="s">
        <v>659</v>
      </c>
      <c r="D233" s="13"/>
      <c r="F233" s="14"/>
      <c r="G233" s="13" t="s">
        <v>88</v>
      </c>
      <c r="H233" s="13">
        <v>2</v>
      </c>
      <c r="I233" s="14" t="s">
        <v>33</v>
      </c>
      <c r="J233" s="94"/>
      <c r="K233" s="14"/>
      <c r="L233" s="13"/>
      <c r="M233" s="77"/>
      <c r="N233" s="14"/>
      <c r="O233" s="14"/>
      <c r="P233" s="63"/>
      <c r="Q233" s="14"/>
      <c r="R233" s="13"/>
      <c r="S233" s="13"/>
      <c r="T233" s="13"/>
      <c r="U233" s="13"/>
      <c r="V233" s="15"/>
    </row>
    <row r="234" spans="1:22" x14ac:dyDescent="0.2">
      <c r="A234" s="12" t="s">
        <v>660</v>
      </c>
      <c r="B234" s="13" t="s">
        <v>661</v>
      </c>
      <c r="C234" s="13" t="s">
        <v>659</v>
      </c>
      <c r="D234" s="13"/>
      <c r="F234" s="14"/>
      <c r="G234" s="13"/>
      <c r="H234" s="13">
        <v>1</v>
      </c>
      <c r="I234" s="16">
        <v>40000</v>
      </c>
      <c r="J234" s="94"/>
      <c r="K234" s="14">
        <v>2010</v>
      </c>
      <c r="L234" s="13" t="s">
        <v>647</v>
      </c>
      <c r="M234" s="77">
        <v>235803</v>
      </c>
      <c r="N234" s="14" t="s">
        <v>28</v>
      </c>
      <c r="O234" s="14">
        <v>0</v>
      </c>
      <c r="P234" s="63"/>
      <c r="Q234" s="14">
        <v>1.8</v>
      </c>
      <c r="R234" s="13">
        <v>234784</v>
      </c>
      <c r="S234" s="13">
        <v>1</v>
      </c>
      <c r="T234" s="17">
        <v>40000</v>
      </c>
      <c r="U234" s="17">
        <v>38246</v>
      </c>
      <c r="V234" s="18">
        <v>68842</v>
      </c>
    </row>
    <row r="235" spans="1:22" s="13" customFormat="1" x14ac:dyDescent="0.2">
      <c r="A235" s="12" t="s">
        <v>688</v>
      </c>
      <c r="B235" s="13" t="s">
        <v>689</v>
      </c>
      <c r="C235" s="13" t="s">
        <v>659</v>
      </c>
      <c r="F235" s="14"/>
      <c r="G235" s="13" t="s">
        <v>205</v>
      </c>
      <c r="H235" s="13">
        <v>1</v>
      </c>
      <c r="I235" s="14" t="s">
        <v>33</v>
      </c>
      <c r="J235" s="94"/>
      <c r="K235" s="14"/>
      <c r="M235" s="77"/>
      <c r="N235" s="14"/>
      <c r="O235" s="14"/>
      <c r="P235" s="63"/>
      <c r="Q235" s="14"/>
      <c r="V235" s="15"/>
    </row>
    <row r="236" spans="1:22" x14ac:dyDescent="0.2">
      <c r="A236" s="12" t="s">
        <v>676</v>
      </c>
      <c r="B236" s="13" t="s">
        <v>677</v>
      </c>
      <c r="C236" s="13" t="s">
        <v>659</v>
      </c>
      <c r="D236" s="13"/>
      <c r="F236" s="14"/>
      <c r="G236" s="13" t="s">
        <v>26</v>
      </c>
      <c r="H236" s="13">
        <v>1</v>
      </c>
      <c r="I236" s="14" t="s">
        <v>33</v>
      </c>
      <c r="J236" s="94"/>
      <c r="K236" s="14"/>
      <c r="L236" s="13"/>
      <c r="M236" s="77"/>
      <c r="N236" s="14"/>
      <c r="O236" s="14"/>
      <c r="P236" s="63"/>
      <c r="Q236" s="14"/>
      <c r="R236" s="13"/>
      <c r="S236" s="13"/>
      <c r="T236" s="13"/>
      <c r="U236" s="13"/>
      <c r="V236" s="15"/>
    </row>
    <row r="237" spans="1:22" x14ac:dyDescent="0.2">
      <c r="A237" s="12" t="s">
        <v>662</v>
      </c>
      <c r="B237" s="13" t="s">
        <v>663</v>
      </c>
      <c r="C237" s="13" t="s">
        <v>659</v>
      </c>
      <c r="D237" s="13"/>
      <c r="F237" s="14"/>
      <c r="G237" s="13"/>
      <c r="H237" s="13">
        <v>1</v>
      </c>
      <c r="I237" s="14" t="s">
        <v>33</v>
      </c>
      <c r="J237" s="94"/>
      <c r="K237" s="14"/>
      <c r="L237" s="13"/>
      <c r="M237" s="77"/>
      <c r="N237" s="14"/>
      <c r="O237" s="14"/>
      <c r="P237" s="63"/>
      <c r="Q237" s="14"/>
      <c r="R237" s="13"/>
      <c r="S237" s="13"/>
      <c r="T237" s="13"/>
      <c r="U237" s="13"/>
      <c r="V237" s="15"/>
    </row>
    <row r="238" spans="1:22" x14ac:dyDescent="0.2">
      <c r="A238" s="12" t="s">
        <v>664</v>
      </c>
      <c r="B238" s="13" t="s">
        <v>665</v>
      </c>
      <c r="C238" s="13" t="s">
        <v>659</v>
      </c>
      <c r="D238" s="13"/>
      <c r="F238" s="14"/>
      <c r="G238" s="13"/>
      <c r="H238" s="13">
        <v>1</v>
      </c>
      <c r="I238" s="14" t="s">
        <v>33</v>
      </c>
      <c r="J238" s="94"/>
      <c r="K238" s="14"/>
      <c r="L238" s="13"/>
      <c r="M238" s="77"/>
      <c r="N238" s="14"/>
      <c r="O238" s="14"/>
      <c r="P238" s="63"/>
      <c r="Q238" s="14"/>
      <c r="R238" s="13"/>
      <c r="S238" s="13"/>
      <c r="T238" s="13"/>
      <c r="U238" s="13"/>
      <c r="V238" s="15"/>
    </row>
    <row r="239" spans="1:22" x14ac:dyDescent="0.2">
      <c r="A239" s="28" t="s">
        <v>637</v>
      </c>
      <c r="B239" s="29" t="s">
        <v>638</v>
      </c>
      <c r="C239" s="29" t="s">
        <v>141</v>
      </c>
      <c r="D239" s="29" t="s">
        <v>639</v>
      </c>
      <c r="E239" s="30"/>
      <c r="F239" s="31"/>
      <c r="G239" s="29" t="s">
        <v>88</v>
      </c>
      <c r="H239" s="29">
        <v>1</v>
      </c>
      <c r="I239" s="32">
        <v>41000</v>
      </c>
      <c r="J239" s="33" t="s">
        <v>853</v>
      </c>
      <c r="K239" s="31">
        <v>2009</v>
      </c>
      <c r="L239" s="29" t="s">
        <v>640</v>
      </c>
      <c r="M239" s="81">
        <v>-2</v>
      </c>
      <c r="N239" s="31" t="s">
        <v>145</v>
      </c>
      <c r="O239" s="31">
        <v>0.7</v>
      </c>
      <c r="P239" s="67"/>
      <c r="Q239" s="31">
        <v>2.2000000000000002</v>
      </c>
      <c r="R239" s="29">
        <v>-2</v>
      </c>
      <c r="S239" s="29">
        <v>0.93</v>
      </c>
      <c r="T239" s="33">
        <v>38856</v>
      </c>
      <c r="U239" s="33">
        <v>39117</v>
      </c>
      <c r="V239" s="34">
        <v>86057</v>
      </c>
    </row>
    <row r="240" spans="1:22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78"/>
      <c r="N240" s="20"/>
      <c r="O240" s="20"/>
      <c r="P240" s="64"/>
      <c r="Q240" s="20"/>
      <c r="R240" s="22"/>
      <c r="S240" s="5" t="s">
        <v>690</v>
      </c>
      <c r="T240" s="23">
        <v>38111118</v>
      </c>
      <c r="U240" s="23">
        <v>36441604</v>
      </c>
      <c r="V240" s="23">
        <v>65959573</v>
      </c>
    </row>
    <row r="241" spans="1:22" x14ac:dyDescent="0.2">
      <c r="S241" s="26" t="s">
        <v>736</v>
      </c>
      <c r="T241" s="27">
        <f>SUM(T218:T239)</f>
        <v>38111119</v>
      </c>
      <c r="U241" s="27">
        <f t="shared" ref="U241:V241" si="18">SUM(U218:U239)</f>
        <v>36441605</v>
      </c>
      <c r="V241" s="27">
        <f t="shared" si="18"/>
        <v>65959573</v>
      </c>
    </row>
    <row r="242" spans="1:22" x14ac:dyDescent="0.2">
      <c r="S242" s="26" t="s">
        <v>737</v>
      </c>
      <c r="T242" s="27">
        <f>T240-T241</f>
        <v>-1</v>
      </c>
      <c r="U242" s="27">
        <f t="shared" ref="U242" si="19">U240-U241</f>
        <v>-1</v>
      </c>
      <c r="V242" s="27">
        <f t="shared" ref="V242" si="20">V240-V241</f>
        <v>0</v>
      </c>
    </row>
    <row r="244" spans="1:22" x14ac:dyDescent="0.2">
      <c r="A244" s="91" t="s">
        <v>843</v>
      </c>
      <c r="B244" s="91"/>
      <c r="C244" s="91"/>
      <c r="D244" s="91"/>
      <c r="E244" s="91"/>
      <c r="F244" s="91"/>
      <c r="G244" s="91"/>
      <c r="H244" s="91"/>
      <c r="I244" s="91"/>
      <c r="J244" s="52" t="s">
        <v>740</v>
      </c>
      <c r="K244" s="91" t="s">
        <v>1</v>
      </c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</row>
    <row r="245" spans="1:22" x14ac:dyDescent="0.2">
      <c r="A245" s="5" t="s">
        <v>2</v>
      </c>
      <c r="B245" s="5" t="s">
        <v>3</v>
      </c>
      <c r="C245" s="5" t="s">
        <v>4</v>
      </c>
      <c r="D245" s="5" t="s">
        <v>5</v>
      </c>
      <c r="E245" s="5" t="s">
        <v>6</v>
      </c>
      <c r="F245" s="5" t="s">
        <v>741</v>
      </c>
      <c r="G245" s="5" t="s">
        <v>7</v>
      </c>
      <c r="H245" s="5" t="s">
        <v>8</v>
      </c>
      <c r="I245" s="5" t="s">
        <v>9</v>
      </c>
      <c r="J245" s="5"/>
      <c r="K245" s="5" t="s">
        <v>10</v>
      </c>
      <c r="L245" s="5" t="s">
        <v>11</v>
      </c>
      <c r="M245" s="75" t="s">
        <v>12</v>
      </c>
      <c r="N245" s="5" t="s">
        <v>13</v>
      </c>
      <c r="O245" s="5" t="s">
        <v>14</v>
      </c>
      <c r="P245" s="61" t="s">
        <v>855</v>
      </c>
      <c r="Q245" s="5" t="s">
        <v>15</v>
      </c>
      <c r="R245" s="5" t="s">
        <v>16</v>
      </c>
      <c r="S245" s="5" t="s">
        <v>17</v>
      </c>
      <c r="T245" s="5" t="s">
        <v>18</v>
      </c>
      <c r="U245" s="5" t="s">
        <v>19</v>
      </c>
      <c r="V245" s="5" t="s">
        <v>20</v>
      </c>
    </row>
    <row r="246" spans="1:22" x14ac:dyDescent="0.2">
      <c r="A246" s="6" t="s">
        <v>691</v>
      </c>
      <c r="B246" s="7" t="s">
        <v>692</v>
      </c>
      <c r="C246" s="7" t="s">
        <v>693</v>
      </c>
      <c r="D246" s="7" t="s">
        <v>694</v>
      </c>
      <c r="E246" s="4" t="s">
        <v>695</v>
      </c>
      <c r="F246" s="14">
        <f>750*H246*0.7457</f>
        <v>559.27499999999998</v>
      </c>
      <c r="G246" s="7" t="s">
        <v>696</v>
      </c>
      <c r="H246" s="7">
        <v>1</v>
      </c>
      <c r="I246" s="9">
        <v>1375000</v>
      </c>
      <c r="J246" s="101" t="s">
        <v>857</v>
      </c>
      <c r="K246" s="8">
        <v>2010</v>
      </c>
      <c r="L246" s="7" t="s">
        <v>697</v>
      </c>
      <c r="M246" s="76">
        <v>10037820</v>
      </c>
      <c r="N246" s="8" t="s">
        <v>28</v>
      </c>
      <c r="O246" s="8">
        <v>0.6</v>
      </c>
      <c r="P246" s="62">
        <f>M246/H246/3.785/60/44200</f>
        <v>1</v>
      </c>
      <c r="Q246" s="8">
        <v>1.5</v>
      </c>
      <c r="R246" s="7">
        <v>11923904</v>
      </c>
      <c r="S246" s="7">
        <v>1.19</v>
      </c>
      <c r="T246" s="10">
        <v>1524650</v>
      </c>
      <c r="U246" s="10">
        <v>1457782</v>
      </c>
      <c r="V246" s="11">
        <v>2186673</v>
      </c>
    </row>
    <row r="247" spans="1:22" x14ac:dyDescent="0.2">
      <c r="A247" s="12" t="s">
        <v>713</v>
      </c>
      <c r="B247" s="13" t="s">
        <v>714</v>
      </c>
      <c r="C247" s="13" t="s">
        <v>174</v>
      </c>
      <c r="D247" s="13" t="s">
        <v>715</v>
      </c>
      <c r="E247" s="4">
        <v>500</v>
      </c>
      <c r="F247" s="14">
        <f>E247*H247*0.7457</f>
        <v>1118.55</v>
      </c>
      <c r="G247" s="13" t="s">
        <v>26</v>
      </c>
      <c r="H247" s="13">
        <v>3</v>
      </c>
      <c r="I247" s="16">
        <v>283671</v>
      </c>
      <c r="J247" s="94"/>
      <c r="K247" s="14">
        <v>2010</v>
      </c>
      <c r="L247" s="13" t="s">
        <v>697</v>
      </c>
      <c r="M247" s="77">
        <v>10982556</v>
      </c>
      <c r="N247" s="14" t="s">
        <v>28</v>
      </c>
      <c r="O247" s="14">
        <v>0.8</v>
      </c>
      <c r="P247" s="63">
        <f>M247/H247/60/3.785/16120</f>
        <v>0.99999999999999989</v>
      </c>
      <c r="Q247" s="14">
        <v>3.1</v>
      </c>
      <c r="R247" s="13">
        <v>11923904</v>
      </c>
      <c r="S247" s="13">
        <v>1.0900000000000001</v>
      </c>
      <c r="T247" s="17">
        <v>302961</v>
      </c>
      <c r="U247" s="17">
        <v>289674</v>
      </c>
      <c r="V247" s="18">
        <v>897989</v>
      </c>
    </row>
    <row r="248" spans="1:22" x14ac:dyDescent="0.2">
      <c r="A248" s="12" t="s">
        <v>698</v>
      </c>
      <c r="B248" s="13" t="s">
        <v>699</v>
      </c>
      <c r="C248" s="13" t="s">
        <v>700</v>
      </c>
      <c r="D248" s="13" t="s">
        <v>701</v>
      </c>
      <c r="E248" s="4" t="s">
        <v>431</v>
      </c>
      <c r="F248" s="14">
        <f>150*H248*0.7457</f>
        <v>111.855</v>
      </c>
      <c r="G248" s="13"/>
      <c r="H248" s="13">
        <v>1</v>
      </c>
      <c r="I248" s="16">
        <v>28000</v>
      </c>
      <c r="J248" s="94" t="s">
        <v>840</v>
      </c>
      <c r="K248" s="14">
        <v>2010</v>
      </c>
      <c r="L248" s="13" t="s">
        <v>171</v>
      </c>
      <c r="M248" s="77">
        <v>83333</v>
      </c>
      <c r="N248" s="14" t="s">
        <v>28</v>
      </c>
      <c r="O248" s="14">
        <v>0.6</v>
      </c>
      <c r="P248" s="63"/>
      <c r="Q248" s="14">
        <v>1.6</v>
      </c>
      <c r="R248" s="13">
        <v>83333</v>
      </c>
      <c r="S248" s="13">
        <v>1</v>
      </c>
      <c r="T248" s="17">
        <v>28000</v>
      </c>
      <c r="U248" s="17">
        <v>26772</v>
      </c>
      <c r="V248" s="18">
        <v>42835</v>
      </c>
    </row>
    <row r="249" spans="1:22" x14ac:dyDescent="0.2">
      <c r="A249" s="12" t="s">
        <v>728</v>
      </c>
      <c r="B249" s="13" t="s">
        <v>729</v>
      </c>
      <c r="C249" s="13" t="s">
        <v>700</v>
      </c>
      <c r="D249" s="13" t="s">
        <v>730</v>
      </c>
      <c r="F249" s="14"/>
      <c r="G249" s="13" t="s">
        <v>26</v>
      </c>
      <c r="H249" s="13">
        <v>1</v>
      </c>
      <c r="I249" s="16">
        <v>16000</v>
      </c>
      <c r="J249" s="94"/>
      <c r="K249" s="14">
        <v>2009</v>
      </c>
      <c r="L249" s="13" t="s">
        <v>171</v>
      </c>
      <c r="M249" s="77">
        <v>83333</v>
      </c>
      <c r="N249" s="14" t="s">
        <v>28</v>
      </c>
      <c r="O249" s="14">
        <v>0.6</v>
      </c>
      <c r="P249" s="63"/>
      <c r="Q249" s="14">
        <v>3.1</v>
      </c>
      <c r="R249" s="13">
        <v>83333</v>
      </c>
      <c r="S249" s="13">
        <v>1</v>
      </c>
      <c r="T249" s="17">
        <v>16000</v>
      </c>
      <c r="U249" s="17">
        <v>16107</v>
      </c>
      <c r="V249" s="18">
        <v>49933</v>
      </c>
    </row>
    <row r="250" spans="1:22" x14ac:dyDescent="0.2">
      <c r="A250" s="12" t="s">
        <v>724</v>
      </c>
      <c r="B250" s="13" t="s">
        <v>725</v>
      </c>
      <c r="C250" s="13" t="s">
        <v>726</v>
      </c>
      <c r="D250" s="13" t="s">
        <v>727</v>
      </c>
      <c r="F250" s="14"/>
      <c r="G250" s="13" t="s">
        <v>26</v>
      </c>
      <c r="H250" s="13">
        <v>1</v>
      </c>
      <c r="I250" s="16">
        <v>15000</v>
      </c>
      <c r="J250" s="94"/>
      <c r="K250" s="14">
        <v>2009</v>
      </c>
      <c r="L250" s="13" t="s">
        <v>171</v>
      </c>
      <c r="M250" s="77">
        <v>83333</v>
      </c>
      <c r="N250" s="14" t="s">
        <v>28</v>
      </c>
      <c r="O250" s="14">
        <v>0.6</v>
      </c>
      <c r="P250" s="63"/>
      <c r="Q250" s="14">
        <v>1.8</v>
      </c>
      <c r="R250" s="13">
        <v>83333</v>
      </c>
      <c r="S250" s="13">
        <v>1</v>
      </c>
      <c r="T250" s="17">
        <v>15000</v>
      </c>
      <c r="U250" s="17">
        <v>15101</v>
      </c>
      <c r="V250" s="18">
        <v>27181</v>
      </c>
    </row>
    <row r="251" spans="1:22" x14ac:dyDescent="0.2">
      <c r="A251" s="12" t="s">
        <v>708</v>
      </c>
      <c r="B251" s="13" t="s">
        <v>709</v>
      </c>
      <c r="C251" s="13"/>
      <c r="D251" s="13" t="s">
        <v>710</v>
      </c>
      <c r="F251" s="14"/>
      <c r="G251" s="13" t="s">
        <v>711</v>
      </c>
      <c r="H251" s="13">
        <v>1</v>
      </c>
      <c r="I251" s="16">
        <v>421000</v>
      </c>
      <c r="J251" s="17" t="s">
        <v>859</v>
      </c>
      <c r="K251" s="14">
        <v>2009</v>
      </c>
      <c r="L251" s="13" t="s">
        <v>712</v>
      </c>
      <c r="M251" s="77">
        <v>63</v>
      </c>
      <c r="N251" s="14" t="s">
        <v>28</v>
      </c>
      <c r="O251" s="14">
        <v>0.6</v>
      </c>
      <c r="P251" s="63"/>
      <c r="Q251" s="14">
        <v>1.8</v>
      </c>
      <c r="R251" s="13">
        <v>145</v>
      </c>
      <c r="S251" s="13">
        <v>2.2999999999999998</v>
      </c>
      <c r="T251" s="17">
        <v>694222</v>
      </c>
      <c r="U251" s="17">
        <v>698878</v>
      </c>
      <c r="V251" s="18">
        <v>1257980</v>
      </c>
    </row>
    <row r="252" spans="1:22" x14ac:dyDescent="0.2">
      <c r="A252" s="12" t="s">
        <v>731</v>
      </c>
      <c r="B252" s="13" t="s">
        <v>732</v>
      </c>
      <c r="C252" s="13"/>
      <c r="D252" s="13" t="s">
        <v>733</v>
      </c>
      <c r="F252" s="14"/>
      <c r="G252" s="13" t="s">
        <v>26</v>
      </c>
      <c r="H252" s="13">
        <v>1</v>
      </c>
      <c r="I252" s="16">
        <v>250000</v>
      </c>
      <c r="J252" s="94" t="s">
        <v>858</v>
      </c>
      <c r="K252" s="14">
        <v>2009</v>
      </c>
      <c r="L252" s="13" t="s">
        <v>723</v>
      </c>
      <c r="M252" s="80">
        <f>250000*0.9*3.785/8</f>
        <v>106453.125</v>
      </c>
      <c r="N252" s="14" t="s">
        <v>28</v>
      </c>
      <c r="O252" s="14">
        <v>0.7</v>
      </c>
      <c r="P252" s="63">
        <f>M252/H252/3.785*8/250000</f>
        <v>0.9</v>
      </c>
      <c r="Q252" s="14">
        <v>1.7</v>
      </c>
      <c r="R252" s="13">
        <v>523463</v>
      </c>
      <c r="S252" s="13">
        <v>1.1599999999999999</v>
      </c>
      <c r="T252" s="17">
        <v>277245</v>
      </c>
      <c r="U252" s="17">
        <v>279104</v>
      </c>
      <c r="V252" s="18">
        <v>474476</v>
      </c>
    </row>
    <row r="253" spans="1:22" s="13" customFormat="1" x14ac:dyDescent="0.2">
      <c r="A253" s="12" t="s">
        <v>720</v>
      </c>
      <c r="B253" s="13" t="s">
        <v>721</v>
      </c>
      <c r="C253" s="13" t="s">
        <v>174</v>
      </c>
      <c r="D253" s="13" t="s">
        <v>722</v>
      </c>
      <c r="E253" s="13">
        <v>75</v>
      </c>
      <c r="F253" s="14">
        <f>E253*H253*0.7457</f>
        <v>55.927500000000002</v>
      </c>
      <c r="G253" s="13" t="s">
        <v>26</v>
      </c>
      <c r="H253" s="13">
        <v>1</v>
      </c>
      <c r="I253" s="16">
        <v>15292</v>
      </c>
      <c r="J253" s="94"/>
      <c r="K253" s="14">
        <v>2010</v>
      </c>
      <c r="L253" s="13" t="s">
        <v>723</v>
      </c>
      <c r="M253" s="77">
        <v>518924</v>
      </c>
      <c r="N253" s="14" t="s">
        <v>28</v>
      </c>
      <c r="O253" s="14">
        <v>0.8</v>
      </c>
      <c r="P253" s="63">
        <f>M253/H253/3.785/60/2285</f>
        <v>1.0000009635331604</v>
      </c>
      <c r="Q253" s="14">
        <v>3.1</v>
      </c>
      <c r="R253" s="13">
        <v>523463</v>
      </c>
      <c r="S253" s="13">
        <v>1.01</v>
      </c>
      <c r="T253" s="17">
        <v>15399</v>
      </c>
      <c r="U253" s="17">
        <v>14724</v>
      </c>
      <c r="V253" s="18">
        <v>45643</v>
      </c>
    </row>
    <row r="254" spans="1:22" x14ac:dyDescent="0.2">
      <c r="A254" s="12" t="s">
        <v>716</v>
      </c>
      <c r="B254" s="13" t="s">
        <v>717</v>
      </c>
      <c r="C254" s="13" t="s">
        <v>174</v>
      </c>
      <c r="D254" s="13" t="s">
        <v>718</v>
      </c>
      <c r="E254" s="4">
        <v>20</v>
      </c>
      <c r="F254" s="14">
        <f>E254*H254*0.7457</f>
        <v>14.914000000000001</v>
      </c>
      <c r="G254" s="13" t="s">
        <v>26</v>
      </c>
      <c r="H254" s="13">
        <v>1</v>
      </c>
      <c r="I254" s="16">
        <v>6864</v>
      </c>
      <c r="J254" s="94"/>
      <c r="K254" s="14">
        <v>2010</v>
      </c>
      <c r="L254" s="13" t="s">
        <v>719</v>
      </c>
      <c r="M254" s="77">
        <v>155564</v>
      </c>
      <c r="N254" s="14" t="s">
        <v>28</v>
      </c>
      <c r="O254" s="14">
        <v>0.8</v>
      </c>
      <c r="P254" s="63">
        <f>M254/H254/3.785/60/685</f>
        <v>1.0000032141215645</v>
      </c>
      <c r="Q254" s="14">
        <v>3.1</v>
      </c>
      <c r="R254" s="13">
        <v>147140</v>
      </c>
      <c r="S254" s="13">
        <v>0.95</v>
      </c>
      <c r="T254" s="17">
        <v>6565</v>
      </c>
      <c r="U254" s="17">
        <v>6277</v>
      </c>
      <c r="V254" s="18">
        <v>19459</v>
      </c>
    </row>
    <row r="255" spans="1:22" x14ac:dyDescent="0.2">
      <c r="A255" s="12" t="s">
        <v>702</v>
      </c>
      <c r="B255" s="13" t="s">
        <v>703</v>
      </c>
      <c r="C255" s="13" t="s">
        <v>704</v>
      </c>
      <c r="D255" s="13" t="s">
        <v>705</v>
      </c>
      <c r="E255" s="4" t="s">
        <v>706</v>
      </c>
      <c r="F255" s="14">
        <f>3400*H246*0.7457</f>
        <v>2535.38</v>
      </c>
      <c r="G255" s="13"/>
      <c r="H255" s="13">
        <v>1</v>
      </c>
      <c r="I255" s="16">
        <v>1275750</v>
      </c>
      <c r="J255" s="33"/>
      <c r="K255" s="14">
        <v>2010</v>
      </c>
      <c r="L255" s="13" t="s">
        <v>707</v>
      </c>
      <c r="M255" s="77">
        <v>14</v>
      </c>
      <c r="N255" s="14" t="s">
        <v>145</v>
      </c>
      <c r="O255" s="14">
        <v>0.6</v>
      </c>
      <c r="P255" s="63"/>
      <c r="Q255" s="14">
        <v>1.6</v>
      </c>
      <c r="R255" s="13">
        <v>13</v>
      </c>
      <c r="S255" s="13">
        <v>0.95</v>
      </c>
      <c r="T255" s="17">
        <v>1234354</v>
      </c>
      <c r="U255" s="17">
        <v>1180217</v>
      </c>
      <c r="V255" s="18">
        <v>1888348</v>
      </c>
    </row>
    <row r="256" spans="1:22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78"/>
      <c r="N256" s="20"/>
      <c r="O256" s="20"/>
      <c r="P256" s="64"/>
      <c r="Q256" s="20"/>
      <c r="R256" s="22"/>
      <c r="S256" s="5" t="s">
        <v>734</v>
      </c>
      <c r="T256" s="23">
        <v>4114396</v>
      </c>
      <c r="U256" s="23">
        <v>3984635</v>
      </c>
      <c r="V256" s="23">
        <v>6890517</v>
      </c>
    </row>
    <row r="257" spans="1:22" x14ac:dyDescent="0.2">
      <c r="S257" s="26" t="s">
        <v>736</v>
      </c>
      <c r="T257" s="27">
        <f>SUM(T246:T255)</f>
        <v>4114396</v>
      </c>
      <c r="U257" s="27">
        <f>SUM(U246:U255)</f>
        <v>3984636</v>
      </c>
      <c r="V257" s="27">
        <f>SUM(V246:V255)</f>
        <v>6890517</v>
      </c>
    </row>
    <row r="258" spans="1:22" x14ac:dyDescent="0.2">
      <c r="S258" s="26" t="s">
        <v>737</v>
      </c>
      <c r="T258" s="27">
        <f>T256-T257</f>
        <v>0</v>
      </c>
      <c r="U258" s="27">
        <f t="shared" ref="U258" si="21">U256-U257</f>
        <v>-1</v>
      </c>
      <c r="V258" s="27">
        <f t="shared" ref="V258" si="22">V256-V257</f>
        <v>0</v>
      </c>
    </row>
    <row r="260" spans="1:22" x14ac:dyDescent="0.2">
      <c r="S260" s="5" t="s">
        <v>735</v>
      </c>
      <c r="T260" s="23">
        <v>158381833</v>
      </c>
      <c r="U260" s="23">
        <v>154486458</v>
      </c>
      <c r="V260" s="23">
        <v>232035959</v>
      </c>
    </row>
    <row r="261" spans="1:22" x14ac:dyDescent="0.2">
      <c r="S261" s="24" t="s">
        <v>736</v>
      </c>
      <c r="T261" s="25">
        <f>T60+T91+T121+T160+T189+T213+T241+T257</f>
        <v>158381830</v>
      </c>
      <c r="U261" s="25">
        <f>U60+U91+U121+U160+U189+U213+U241+U257</f>
        <v>154486462</v>
      </c>
      <c r="V261" s="25">
        <f>V60+V91+V121+V160+V189+V213+V241+V257</f>
        <v>232035960</v>
      </c>
    </row>
    <row r="262" spans="1:22" x14ac:dyDescent="0.2">
      <c r="S262" s="26" t="s">
        <v>737</v>
      </c>
      <c r="T262" s="27">
        <f>T260-T261</f>
        <v>3</v>
      </c>
      <c r="U262" s="27">
        <f t="shared" ref="U262" si="23">U260-U261</f>
        <v>-4</v>
      </c>
      <c r="V262" s="27">
        <f t="shared" ref="V262" si="24">V260-V261</f>
        <v>-1</v>
      </c>
    </row>
    <row r="264" spans="1:22" x14ac:dyDescent="0.2">
      <c r="A264" s="91" t="s">
        <v>844</v>
      </c>
      <c r="B264" s="91"/>
      <c r="C264" s="91"/>
      <c r="D264" s="91"/>
      <c r="E264" s="91"/>
      <c r="F264" s="91"/>
      <c r="G264" s="91"/>
      <c r="H264" s="91"/>
      <c r="I264" s="91"/>
      <c r="J264" s="52" t="s">
        <v>740</v>
      </c>
      <c r="K264" s="91" t="s">
        <v>1</v>
      </c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</row>
    <row r="265" spans="1:22" x14ac:dyDescent="0.2">
      <c r="A265" s="5" t="s">
        <v>2</v>
      </c>
      <c r="B265" s="5" t="s">
        <v>3</v>
      </c>
      <c r="C265" s="5" t="s">
        <v>4</v>
      </c>
      <c r="D265" s="5" t="s">
        <v>5</v>
      </c>
      <c r="E265" s="5" t="s">
        <v>6</v>
      </c>
      <c r="F265" s="5" t="s">
        <v>741</v>
      </c>
      <c r="G265" s="5" t="s">
        <v>7</v>
      </c>
      <c r="H265" s="5" t="s">
        <v>8</v>
      </c>
      <c r="I265" s="5" t="s">
        <v>9</v>
      </c>
      <c r="J265" s="5"/>
      <c r="K265" s="5" t="s">
        <v>10</v>
      </c>
      <c r="L265" s="5" t="s">
        <v>11</v>
      </c>
      <c r="M265" s="75" t="s">
        <v>12</v>
      </c>
      <c r="N265" s="5" t="s">
        <v>13</v>
      </c>
      <c r="O265" s="5" t="s">
        <v>14</v>
      </c>
      <c r="P265" s="61" t="s">
        <v>855</v>
      </c>
      <c r="Q265" s="5" t="s">
        <v>15</v>
      </c>
      <c r="R265" s="5" t="s">
        <v>16</v>
      </c>
      <c r="S265" s="5" t="s">
        <v>17</v>
      </c>
      <c r="T265" s="5" t="s">
        <v>18</v>
      </c>
      <c r="U265" s="5" t="s">
        <v>19</v>
      </c>
      <c r="V265" s="5" t="s">
        <v>20</v>
      </c>
    </row>
    <row r="266" spans="1:22" x14ac:dyDescent="0.2">
      <c r="A266" s="12" t="s">
        <v>826</v>
      </c>
      <c r="B266" s="13" t="s">
        <v>827</v>
      </c>
      <c r="C266" s="13"/>
      <c r="D266" s="13"/>
      <c r="E266" s="13"/>
      <c r="F266" s="14"/>
      <c r="G266" s="13"/>
      <c r="H266" s="13">
        <v>1</v>
      </c>
      <c r="I266" s="13">
        <v>69200</v>
      </c>
      <c r="J266" s="98" t="s">
        <v>834</v>
      </c>
      <c r="K266" s="14">
        <v>1997</v>
      </c>
      <c r="L266" s="13"/>
      <c r="M266" s="88" t="s">
        <v>768</v>
      </c>
      <c r="N266" s="13"/>
      <c r="O266" s="14">
        <v>0.46</v>
      </c>
      <c r="P266" s="63"/>
      <c r="Q266" s="14">
        <v>1.3</v>
      </c>
      <c r="R266" s="13"/>
      <c r="S266" s="13">
        <v>4.37</v>
      </c>
      <c r="T266" s="14">
        <v>136370</v>
      </c>
      <c r="U266" s="13"/>
      <c r="V266" s="15">
        <v>180767</v>
      </c>
    </row>
    <row r="267" spans="1:22" x14ac:dyDescent="0.2">
      <c r="A267" s="12" t="s">
        <v>780</v>
      </c>
      <c r="B267" s="13" t="s">
        <v>781</v>
      </c>
      <c r="C267" s="13"/>
      <c r="D267" s="13"/>
      <c r="E267" s="13"/>
      <c r="F267" s="14">
        <f>F5/H5*H267</f>
        <v>37.285000000000004</v>
      </c>
      <c r="G267" s="13"/>
      <c r="H267" s="13">
        <v>1</v>
      </c>
      <c r="I267" s="13">
        <v>3900</v>
      </c>
      <c r="J267" s="98"/>
      <c r="K267" s="14">
        <v>1997</v>
      </c>
      <c r="L267" s="13"/>
      <c r="M267" s="88" t="s">
        <v>782</v>
      </c>
      <c r="N267" s="13"/>
      <c r="O267" s="14"/>
      <c r="P267" s="63"/>
      <c r="Q267" s="14">
        <v>1.3</v>
      </c>
      <c r="R267" s="13"/>
      <c r="S267" s="13"/>
      <c r="T267" s="14">
        <v>3900</v>
      </c>
      <c r="U267" s="13"/>
      <c r="V267" s="15">
        <v>5170</v>
      </c>
    </row>
    <row r="268" spans="1:22" x14ac:dyDescent="0.2">
      <c r="A268" s="12" t="s">
        <v>804</v>
      </c>
      <c r="B268" s="13" t="s">
        <v>805</v>
      </c>
      <c r="C268" s="13"/>
      <c r="D268" s="13"/>
      <c r="E268" s="13"/>
      <c r="F268" s="14">
        <f>F7/H7*H268</f>
        <v>18.642500000000002</v>
      </c>
      <c r="G268" s="13"/>
      <c r="H268" s="13">
        <v>1</v>
      </c>
      <c r="I268" s="13">
        <v>47600</v>
      </c>
      <c r="J268" s="98"/>
      <c r="K268" s="14">
        <v>1998</v>
      </c>
      <c r="L268" s="13"/>
      <c r="M268" s="88" t="s">
        <v>768</v>
      </c>
      <c r="N268" s="13"/>
      <c r="O268" s="14">
        <v>0.5</v>
      </c>
      <c r="P268" s="63"/>
      <c r="Q268" s="14">
        <v>1.4</v>
      </c>
      <c r="R268" s="13"/>
      <c r="S268" s="13">
        <v>4.38</v>
      </c>
      <c r="T268" s="14">
        <v>99594</v>
      </c>
      <c r="U268" s="13"/>
      <c r="V268" s="15">
        <v>141078</v>
      </c>
    </row>
    <row r="269" spans="1:22" x14ac:dyDescent="0.2">
      <c r="A269" s="12" t="s">
        <v>814</v>
      </c>
      <c r="B269" s="13" t="s">
        <v>815</v>
      </c>
      <c r="C269" s="13"/>
      <c r="D269" s="13"/>
      <c r="E269" s="13"/>
      <c r="F269" s="14"/>
      <c r="G269" s="13"/>
      <c r="H269" s="13">
        <v>1</v>
      </c>
      <c r="I269" s="13">
        <v>32200</v>
      </c>
      <c r="J269" s="98"/>
      <c r="K269" s="14">
        <v>1997</v>
      </c>
      <c r="L269" s="13"/>
      <c r="M269" s="88" t="s">
        <v>768</v>
      </c>
      <c r="N269" s="13"/>
      <c r="O269" s="14">
        <v>1</v>
      </c>
      <c r="P269" s="63"/>
      <c r="Q269" s="14">
        <v>1.5</v>
      </c>
      <c r="R269" s="13"/>
      <c r="S269" s="13">
        <v>4.37</v>
      </c>
      <c r="T269" s="14">
        <v>140707</v>
      </c>
      <c r="U269" s="13"/>
      <c r="V269" s="15">
        <v>215211</v>
      </c>
    </row>
    <row r="270" spans="1:22" s="13" customFormat="1" x14ac:dyDescent="0.2">
      <c r="A270" s="12" t="s">
        <v>812</v>
      </c>
      <c r="B270" s="13" t="s">
        <v>813</v>
      </c>
      <c r="F270" s="14"/>
      <c r="H270" s="13">
        <v>1</v>
      </c>
      <c r="I270" s="13">
        <v>165000</v>
      </c>
      <c r="J270" s="98" t="s">
        <v>835</v>
      </c>
      <c r="K270" s="14">
        <v>1998</v>
      </c>
      <c r="M270" s="88" t="s">
        <v>768</v>
      </c>
      <c r="O270" s="14">
        <v>0.39</v>
      </c>
      <c r="P270" s="63"/>
      <c r="Q270" s="14">
        <v>1.4</v>
      </c>
      <c r="S270" s="13">
        <v>1.39</v>
      </c>
      <c r="T270" s="14">
        <v>187567</v>
      </c>
      <c r="V270" s="15">
        <v>265695</v>
      </c>
    </row>
    <row r="271" spans="1:22" s="13" customFormat="1" x14ac:dyDescent="0.2">
      <c r="A271" s="12" t="s">
        <v>802</v>
      </c>
      <c r="B271" s="13" t="s">
        <v>803</v>
      </c>
      <c r="F271" s="14">
        <f>F68</f>
        <v>74.570000000000007</v>
      </c>
      <c r="H271" s="13">
        <v>2</v>
      </c>
      <c r="I271" s="13">
        <v>21600</v>
      </c>
      <c r="J271" s="98"/>
      <c r="K271" s="14">
        <v>1997</v>
      </c>
      <c r="M271" s="88" t="s">
        <v>768</v>
      </c>
      <c r="O271" s="14">
        <v>0.79</v>
      </c>
      <c r="P271" s="63"/>
      <c r="Q271" s="14">
        <v>2.8</v>
      </c>
      <c r="S271" s="13">
        <v>1.64</v>
      </c>
      <c r="T271" s="14">
        <v>31862</v>
      </c>
      <c r="V271" s="15">
        <v>90968</v>
      </c>
    </row>
    <row r="272" spans="1:22" x14ac:dyDescent="0.2">
      <c r="A272" s="28" t="s">
        <v>767</v>
      </c>
      <c r="B272" s="29" t="s">
        <v>85</v>
      </c>
      <c r="C272" s="29"/>
      <c r="D272" s="29"/>
      <c r="E272" s="29"/>
      <c r="F272" s="31"/>
      <c r="G272" s="29"/>
      <c r="H272" s="29">
        <v>1</v>
      </c>
      <c r="I272" s="29">
        <v>1900</v>
      </c>
      <c r="J272" s="29"/>
      <c r="K272" s="31">
        <v>1997</v>
      </c>
      <c r="L272" s="29"/>
      <c r="M272" s="84" t="s">
        <v>768</v>
      </c>
      <c r="N272" s="29"/>
      <c r="O272" s="31">
        <v>0.48</v>
      </c>
      <c r="P272" s="67"/>
      <c r="Q272" s="31">
        <v>1</v>
      </c>
      <c r="R272" s="29"/>
      <c r="S272" s="29">
        <v>1.83</v>
      </c>
      <c r="T272" s="31">
        <v>2542</v>
      </c>
      <c r="U272" s="29"/>
      <c r="V272" s="41">
        <v>2592</v>
      </c>
    </row>
    <row r="273" spans="1:22" x14ac:dyDescent="0.2">
      <c r="A273" s="28" t="s">
        <v>816</v>
      </c>
      <c r="B273" s="29" t="s">
        <v>199</v>
      </c>
      <c r="C273" s="29"/>
      <c r="D273" s="29"/>
      <c r="E273" s="29"/>
      <c r="F273" s="31"/>
      <c r="G273" s="29"/>
      <c r="H273" s="29">
        <v>1</v>
      </c>
      <c r="I273" s="29">
        <v>5760</v>
      </c>
      <c r="J273" s="29"/>
      <c r="K273" s="31">
        <v>1996</v>
      </c>
      <c r="L273" s="29"/>
      <c r="M273" s="84" t="s">
        <v>768</v>
      </c>
      <c r="N273" s="29"/>
      <c r="O273" s="31">
        <v>0.71</v>
      </c>
      <c r="P273" s="67"/>
      <c r="Q273" s="31">
        <v>1.4</v>
      </c>
      <c r="R273" s="29"/>
      <c r="S273" s="29">
        <v>2</v>
      </c>
      <c r="T273" s="31">
        <v>9411</v>
      </c>
      <c r="U273" s="29"/>
      <c r="V273" s="41">
        <v>13603</v>
      </c>
    </row>
    <row r="274" spans="1:22" x14ac:dyDescent="0.2">
      <c r="A274" s="28" t="s">
        <v>792</v>
      </c>
      <c r="B274" s="29" t="s">
        <v>173</v>
      </c>
      <c r="C274" s="29"/>
      <c r="D274" s="29"/>
      <c r="E274" s="29"/>
      <c r="F274" s="31"/>
      <c r="G274" s="29"/>
      <c r="H274" s="29">
        <v>2</v>
      </c>
      <c r="I274" s="29">
        <v>9600</v>
      </c>
      <c r="J274" s="29"/>
      <c r="K274" s="31">
        <v>1997</v>
      </c>
      <c r="L274" s="29"/>
      <c r="M274" s="84" t="s">
        <v>768</v>
      </c>
      <c r="N274" s="29"/>
      <c r="O274" s="31">
        <v>0.79</v>
      </c>
      <c r="P274" s="67"/>
      <c r="Q274" s="31">
        <v>2.8</v>
      </c>
      <c r="R274" s="29"/>
      <c r="S274" s="29">
        <v>2</v>
      </c>
      <c r="T274" s="31">
        <v>16577</v>
      </c>
      <c r="U274" s="29"/>
      <c r="V274" s="41">
        <v>47328</v>
      </c>
    </row>
    <row r="275" spans="1:22" x14ac:dyDescent="0.2">
      <c r="A275" s="28" t="s">
        <v>785</v>
      </c>
      <c r="B275" s="29" t="s">
        <v>786</v>
      </c>
      <c r="C275" s="29"/>
      <c r="D275" s="29"/>
      <c r="E275" s="29"/>
      <c r="F275" s="31"/>
      <c r="G275" s="29"/>
      <c r="H275" s="29">
        <v>3</v>
      </c>
      <c r="I275" s="29">
        <v>398400</v>
      </c>
      <c r="J275" s="29"/>
      <c r="K275" s="31">
        <v>1997</v>
      </c>
      <c r="L275" s="29"/>
      <c r="M275" s="84" t="s">
        <v>784</v>
      </c>
      <c r="N275" s="29"/>
      <c r="O275" s="31">
        <v>0.68</v>
      </c>
      <c r="P275" s="67"/>
      <c r="Q275" s="31">
        <v>2.1</v>
      </c>
      <c r="R275" s="29"/>
      <c r="S275" s="29">
        <v>1.1599999999999999</v>
      </c>
      <c r="T275" s="31">
        <v>441162</v>
      </c>
      <c r="U275" s="29"/>
      <c r="V275" s="41">
        <v>944658</v>
      </c>
    </row>
    <row r="276" spans="1:22" x14ac:dyDescent="0.2">
      <c r="A276" s="28" t="s">
        <v>154</v>
      </c>
      <c r="B276" s="29" t="s">
        <v>791</v>
      </c>
      <c r="C276" s="29"/>
      <c r="D276" s="29"/>
      <c r="E276" s="29"/>
      <c r="F276" s="31"/>
      <c r="G276" s="29"/>
      <c r="H276" s="29">
        <v>3</v>
      </c>
      <c r="I276" s="29">
        <v>7372462</v>
      </c>
      <c r="J276" s="29"/>
      <c r="K276" s="31">
        <v>2000</v>
      </c>
      <c r="L276" s="29"/>
      <c r="M276" s="84" t="s">
        <v>768</v>
      </c>
      <c r="N276" s="29"/>
      <c r="O276" s="31">
        <v>0.6</v>
      </c>
      <c r="P276" s="67"/>
      <c r="Q276" s="31">
        <v>2.29</v>
      </c>
      <c r="R276" s="29"/>
      <c r="S276" s="29">
        <v>1.03</v>
      </c>
      <c r="T276" s="31">
        <v>7494911</v>
      </c>
      <c r="U276" s="29"/>
      <c r="V276" s="41">
        <v>17163347</v>
      </c>
    </row>
    <row r="277" spans="1:22" x14ac:dyDescent="0.2">
      <c r="A277" s="28" t="s">
        <v>776</v>
      </c>
      <c r="B277" s="29" t="s">
        <v>777</v>
      </c>
      <c r="C277" s="29"/>
      <c r="D277" s="29"/>
      <c r="E277" s="29"/>
      <c r="F277" s="31"/>
      <c r="G277" s="29"/>
      <c r="H277" s="29">
        <v>1</v>
      </c>
      <c r="I277" s="29">
        <v>59400</v>
      </c>
      <c r="J277" s="29"/>
      <c r="K277" s="31">
        <v>1997</v>
      </c>
      <c r="L277" s="29"/>
      <c r="M277" s="84" t="s">
        <v>768</v>
      </c>
      <c r="N277" s="29"/>
      <c r="O277" s="31">
        <v>0.78</v>
      </c>
      <c r="P277" s="67"/>
      <c r="Q277" s="31">
        <v>1.3</v>
      </c>
      <c r="R277" s="29"/>
      <c r="S277" s="29">
        <v>1</v>
      </c>
      <c r="T277" s="31">
        <v>59518</v>
      </c>
      <c r="U277" s="29"/>
      <c r="V277" s="41">
        <v>78895</v>
      </c>
    </row>
    <row r="278" spans="1:22" x14ac:dyDescent="0.2">
      <c r="A278" s="28" t="s">
        <v>817</v>
      </c>
      <c r="B278" s="29" t="s">
        <v>203</v>
      </c>
      <c r="C278" s="29"/>
      <c r="D278" s="29"/>
      <c r="E278" s="29"/>
      <c r="F278" s="31"/>
      <c r="G278" s="29"/>
      <c r="H278" s="29">
        <v>1</v>
      </c>
      <c r="I278" s="29">
        <v>64100</v>
      </c>
      <c r="J278" s="29"/>
      <c r="K278" s="31">
        <v>1997</v>
      </c>
      <c r="L278" s="29"/>
      <c r="M278" s="84" t="s">
        <v>768</v>
      </c>
      <c r="N278" s="29"/>
      <c r="O278" s="31">
        <v>0.93</v>
      </c>
      <c r="P278" s="67"/>
      <c r="Q278" s="31">
        <v>1.2</v>
      </c>
      <c r="R278" s="29"/>
      <c r="S278" s="29">
        <v>1.03</v>
      </c>
      <c r="T278" s="31">
        <v>65987</v>
      </c>
      <c r="U278" s="29"/>
      <c r="V278" s="41">
        <v>80741</v>
      </c>
    </row>
    <row r="279" spans="1:22" x14ac:dyDescent="0.2">
      <c r="A279" s="28" t="s">
        <v>789</v>
      </c>
      <c r="B279" s="29" t="s">
        <v>790</v>
      </c>
      <c r="C279" s="29"/>
      <c r="D279" s="29"/>
      <c r="E279" s="29"/>
      <c r="F279" s="31"/>
      <c r="G279" s="29"/>
      <c r="H279" s="29">
        <v>3</v>
      </c>
      <c r="I279" s="29">
        <v>398400</v>
      </c>
      <c r="J279" s="29"/>
      <c r="K279" s="31">
        <v>1997</v>
      </c>
      <c r="L279" s="29"/>
      <c r="M279" s="84" t="s">
        <v>784</v>
      </c>
      <c r="N279" s="29"/>
      <c r="O279" s="31">
        <v>0.68</v>
      </c>
      <c r="P279" s="67"/>
      <c r="Q279" s="31">
        <v>2.1</v>
      </c>
      <c r="R279" s="29"/>
      <c r="S279" s="29">
        <v>0.24</v>
      </c>
      <c r="T279" s="31">
        <v>152180</v>
      </c>
      <c r="U279" s="29"/>
      <c r="V279" s="41">
        <v>325863</v>
      </c>
    </row>
    <row r="280" spans="1:22" x14ac:dyDescent="0.2">
      <c r="A280" s="28" t="s">
        <v>818</v>
      </c>
      <c r="B280" s="29" t="s">
        <v>819</v>
      </c>
      <c r="C280" s="29"/>
      <c r="D280" s="29"/>
      <c r="E280" s="29"/>
      <c r="F280" s="31"/>
      <c r="G280" s="29"/>
      <c r="H280" s="29">
        <v>1</v>
      </c>
      <c r="I280" s="29">
        <v>44800</v>
      </c>
      <c r="J280" s="29"/>
      <c r="K280" s="31">
        <v>1997</v>
      </c>
      <c r="L280" s="29"/>
      <c r="M280" s="84" t="s">
        <v>768</v>
      </c>
      <c r="N280" s="29"/>
      <c r="O280" s="31">
        <v>0.71</v>
      </c>
      <c r="P280" s="67"/>
      <c r="Q280" s="31">
        <v>1.2</v>
      </c>
      <c r="R280" s="29"/>
      <c r="S280" s="29">
        <v>0.63</v>
      </c>
      <c r="T280" s="31">
        <v>32237</v>
      </c>
      <c r="U280" s="29"/>
      <c r="V280" s="41">
        <v>39445</v>
      </c>
    </row>
    <row r="281" spans="1:22" x14ac:dyDescent="0.2">
      <c r="A281" s="28" t="s">
        <v>769</v>
      </c>
      <c r="B281" s="29" t="s">
        <v>770</v>
      </c>
      <c r="C281" s="29"/>
      <c r="D281" s="29"/>
      <c r="E281" s="29"/>
      <c r="F281" s="31"/>
      <c r="G281" s="29"/>
      <c r="H281" s="29">
        <v>1</v>
      </c>
      <c r="I281" s="29">
        <v>36000</v>
      </c>
      <c r="J281" s="29"/>
      <c r="K281" s="31">
        <v>1997</v>
      </c>
      <c r="L281" s="29"/>
      <c r="M281" s="84" t="s">
        <v>768</v>
      </c>
      <c r="N281" s="29"/>
      <c r="O281" s="31">
        <v>0.51</v>
      </c>
      <c r="P281" s="67"/>
      <c r="Q281" s="31">
        <v>1.2</v>
      </c>
      <c r="R281" s="29"/>
      <c r="S281" s="29">
        <v>0.63</v>
      </c>
      <c r="T281" s="31">
        <v>28421</v>
      </c>
      <c r="U281" s="29"/>
      <c r="V281" s="41">
        <v>34775</v>
      </c>
    </row>
    <row r="282" spans="1:22" x14ac:dyDescent="0.2">
      <c r="A282" s="28" t="s">
        <v>793</v>
      </c>
      <c r="B282" s="29" t="s">
        <v>794</v>
      </c>
      <c r="C282" s="29"/>
      <c r="D282" s="29"/>
      <c r="E282" s="29"/>
      <c r="F282" s="31"/>
      <c r="G282" s="29"/>
      <c r="H282" s="29">
        <v>3</v>
      </c>
      <c r="I282" s="29">
        <v>46248</v>
      </c>
      <c r="J282" s="29"/>
      <c r="K282" s="31">
        <v>2000</v>
      </c>
      <c r="L282" s="29"/>
      <c r="M282" s="84" t="s">
        <v>795</v>
      </c>
      <c r="N282" s="29"/>
      <c r="O282" s="31">
        <v>0.79</v>
      </c>
      <c r="P282" s="67"/>
      <c r="Q282" s="31">
        <v>3.34</v>
      </c>
      <c r="R282" s="29"/>
      <c r="S282" s="29">
        <v>0.95</v>
      </c>
      <c r="T282" s="31">
        <v>44579</v>
      </c>
      <c r="U282" s="29"/>
      <c r="V282" s="41">
        <v>148893</v>
      </c>
    </row>
    <row r="283" spans="1:22" x14ac:dyDescent="0.2">
      <c r="A283" s="28" t="s">
        <v>810</v>
      </c>
      <c r="B283" s="29" t="s">
        <v>811</v>
      </c>
      <c r="C283" s="29"/>
      <c r="D283" s="29"/>
      <c r="E283" s="29"/>
      <c r="F283" s="31"/>
      <c r="G283" s="29"/>
      <c r="H283" s="29">
        <v>3</v>
      </c>
      <c r="I283" s="29">
        <v>4725000</v>
      </c>
      <c r="J283" s="29"/>
      <c r="K283" s="31">
        <v>2000</v>
      </c>
      <c r="L283" s="29"/>
      <c r="M283" s="84" t="s">
        <v>795</v>
      </c>
      <c r="N283" s="29"/>
      <c r="O283" s="31">
        <v>0.6</v>
      </c>
      <c r="P283" s="67"/>
      <c r="Q283" s="31">
        <v>1.05</v>
      </c>
      <c r="R283" s="29"/>
      <c r="S283" s="29">
        <v>0.95</v>
      </c>
      <c r="T283" s="31">
        <v>4594911</v>
      </c>
      <c r="U283" s="29"/>
      <c r="V283" s="41">
        <v>4824657</v>
      </c>
    </row>
    <row r="284" spans="1:22" x14ac:dyDescent="0.2">
      <c r="A284" s="28" t="s">
        <v>787</v>
      </c>
      <c r="B284" s="29" t="s">
        <v>788</v>
      </c>
      <c r="C284" s="29"/>
      <c r="D284" s="29"/>
      <c r="E284" s="29"/>
      <c r="F284" s="31"/>
      <c r="G284" s="29"/>
      <c r="H284" s="29">
        <v>1</v>
      </c>
      <c r="I284" s="29">
        <v>15385</v>
      </c>
      <c r="J284" s="29"/>
      <c r="K284" s="31">
        <v>2000</v>
      </c>
      <c r="L284" s="29"/>
      <c r="M284" s="84" t="s">
        <v>784</v>
      </c>
      <c r="N284" s="29"/>
      <c r="O284" s="31">
        <v>0.68</v>
      </c>
      <c r="P284" s="67"/>
      <c r="Q284" s="31">
        <v>2.1</v>
      </c>
      <c r="R284" s="29"/>
      <c r="S284" s="29">
        <v>0.84</v>
      </c>
      <c r="T284" s="31">
        <v>13620</v>
      </c>
      <c r="U284" s="29"/>
      <c r="V284" s="41">
        <v>28603</v>
      </c>
    </row>
    <row r="285" spans="1:22" x14ac:dyDescent="0.2">
      <c r="A285" s="28" t="s">
        <v>822</v>
      </c>
      <c r="B285" s="29" t="s">
        <v>823</v>
      </c>
      <c r="C285" s="29"/>
      <c r="D285" s="29"/>
      <c r="E285" s="29"/>
      <c r="F285" s="31"/>
      <c r="G285" s="29"/>
      <c r="H285" s="29">
        <v>1</v>
      </c>
      <c r="I285" s="29">
        <v>36000</v>
      </c>
      <c r="J285" s="29"/>
      <c r="K285" s="31">
        <v>2000</v>
      </c>
      <c r="L285" s="29"/>
      <c r="M285" s="84" t="s">
        <v>768</v>
      </c>
      <c r="N285" s="29"/>
      <c r="O285" s="31">
        <v>0.71</v>
      </c>
      <c r="P285" s="67"/>
      <c r="Q285" s="31">
        <v>2.4500000000000002</v>
      </c>
      <c r="R285" s="29"/>
      <c r="S285" s="29">
        <v>1.02</v>
      </c>
      <c r="T285" s="31">
        <v>36414</v>
      </c>
      <c r="U285" s="29"/>
      <c r="V285" s="41">
        <v>89214</v>
      </c>
    </row>
    <row r="286" spans="1:22" x14ac:dyDescent="0.2">
      <c r="A286" s="28" t="s">
        <v>798</v>
      </c>
      <c r="B286" s="29" t="s">
        <v>799</v>
      </c>
      <c r="C286" s="29"/>
      <c r="D286" s="29"/>
      <c r="E286" s="29"/>
      <c r="F286" s="31"/>
      <c r="G286" s="29"/>
      <c r="H286" s="29">
        <v>2</v>
      </c>
      <c r="I286" s="29">
        <v>65098</v>
      </c>
      <c r="J286" s="29"/>
      <c r="K286" s="31">
        <v>2000</v>
      </c>
      <c r="L286" s="29"/>
      <c r="M286" s="84" t="s">
        <v>768</v>
      </c>
      <c r="N286" s="29"/>
      <c r="O286" s="31">
        <v>0.79</v>
      </c>
      <c r="P286" s="67"/>
      <c r="Q286" s="31">
        <v>3.56</v>
      </c>
      <c r="R286" s="29"/>
      <c r="S286" s="29">
        <v>1.02</v>
      </c>
      <c r="T286" s="31">
        <v>65931</v>
      </c>
      <c r="U286" s="29"/>
      <c r="V286" s="41">
        <v>234716</v>
      </c>
    </row>
    <row r="287" spans="1:22" x14ac:dyDescent="0.2">
      <c r="A287" s="28" t="s">
        <v>824</v>
      </c>
      <c r="B287" s="29" t="s">
        <v>825</v>
      </c>
      <c r="C287" s="29"/>
      <c r="D287" s="29"/>
      <c r="E287" s="29"/>
      <c r="F287" s="31"/>
      <c r="G287" s="29"/>
      <c r="H287" s="29">
        <v>1</v>
      </c>
      <c r="I287" s="29">
        <v>18000</v>
      </c>
      <c r="J287" s="29"/>
      <c r="K287" s="31">
        <v>2000</v>
      </c>
      <c r="L287" s="29"/>
      <c r="M287" s="84" t="s">
        <v>768</v>
      </c>
      <c r="N287" s="29"/>
      <c r="O287" s="31">
        <v>0.71</v>
      </c>
      <c r="P287" s="67"/>
      <c r="Q287" s="31">
        <v>3.68</v>
      </c>
      <c r="R287" s="29"/>
      <c r="S287" s="29">
        <v>0.99</v>
      </c>
      <c r="T287" s="31">
        <v>17870</v>
      </c>
      <c r="U287" s="29"/>
      <c r="V287" s="41">
        <v>65763</v>
      </c>
    </row>
    <row r="288" spans="1:22" x14ac:dyDescent="0.2">
      <c r="A288" s="28" t="s">
        <v>800</v>
      </c>
      <c r="B288" s="29" t="s">
        <v>801</v>
      </c>
      <c r="C288" s="29"/>
      <c r="D288" s="29"/>
      <c r="E288" s="29"/>
      <c r="F288" s="31"/>
      <c r="G288" s="29"/>
      <c r="H288" s="29">
        <v>2</v>
      </c>
      <c r="I288" s="29">
        <v>99606</v>
      </c>
      <c r="J288" s="29"/>
      <c r="K288" s="31">
        <v>2000</v>
      </c>
      <c r="L288" s="29"/>
      <c r="M288" s="84" t="s">
        <v>768</v>
      </c>
      <c r="N288" s="29"/>
      <c r="O288" s="31">
        <v>0.79</v>
      </c>
      <c r="P288" s="67"/>
      <c r="Q288" s="31">
        <v>2.71</v>
      </c>
      <c r="R288" s="29"/>
      <c r="S288" s="29">
        <v>0.99</v>
      </c>
      <c r="T288" s="31">
        <v>98809</v>
      </c>
      <c r="U288" s="29"/>
      <c r="V288" s="41">
        <v>267772</v>
      </c>
    </row>
    <row r="289" spans="1:22" x14ac:dyDescent="0.2">
      <c r="A289" s="28" t="s">
        <v>783</v>
      </c>
      <c r="B289" s="29" t="s">
        <v>266</v>
      </c>
      <c r="C289" s="29"/>
      <c r="D289" s="29"/>
      <c r="E289" s="29"/>
      <c r="F289" s="31"/>
      <c r="G289" s="29"/>
      <c r="H289" s="29">
        <v>1</v>
      </c>
      <c r="I289" s="29">
        <v>45000</v>
      </c>
      <c r="J289" s="29"/>
      <c r="K289" s="31">
        <v>1997</v>
      </c>
      <c r="L289" s="29"/>
      <c r="M289" s="84" t="s">
        <v>784</v>
      </c>
      <c r="N289" s="29"/>
      <c r="O289" s="31">
        <v>0.51</v>
      </c>
      <c r="P289" s="67"/>
      <c r="Q289" s="31">
        <v>2.1</v>
      </c>
      <c r="R289" s="29"/>
      <c r="S289" s="29">
        <v>0.27</v>
      </c>
      <c r="T289" s="31">
        <v>23266</v>
      </c>
      <c r="U289" s="29"/>
      <c r="V289" s="41">
        <v>49820</v>
      </c>
    </row>
    <row r="290" spans="1:22" x14ac:dyDescent="0.2">
      <c r="A290" s="28" t="s">
        <v>820</v>
      </c>
      <c r="B290" s="29" t="s">
        <v>821</v>
      </c>
      <c r="C290" s="29"/>
      <c r="D290" s="29"/>
      <c r="E290" s="29"/>
      <c r="F290" s="31"/>
      <c r="G290" s="29"/>
      <c r="H290" s="29">
        <v>1</v>
      </c>
      <c r="I290" s="29">
        <v>71000</v>
      </c>
      <c r="J290" s="29"/>
      <c r="K290" s="31">
        <v>1997</v>
      </c>
      <c r="L290" s="29"/>
      <c r="M290" s="84" t="s">
        <v>768</v>
      </c>
      <c r="N290" s="29"/>
      <c r="O290" s="31">
        <v>0.71</v>
      </c>
      <c r="P290" s="67"/>
      <c r="Q290" s="31">
        <v>1.4</v>
      </c>
      <c r="R290" s="29"/>
      <c r="S290" s="29">
        <v>1.62</v>
      </c>
      <c r="T290" s="31">
        <v>100144</v>
      </c>
      <c r="U290" s="29"/>
      <c r="V290" s="41">
        <v>142958</v>
      </c>
    </row>
    <row r="291" spans="1:22" x14ac:dyDescent="0.2">
      <c r="A291" s="28" t="s">
        <v>771</v>
      </c>
      <c r="B291" s="29" t="s">
        <v>772</v>
      </c>
      <c r="C291" s="29"/>
      <c r="D291" s="29"/>
      <c r="E291" s="29"/>
      <c r="F291" s="31"/>
      <c r="G291" s="29"/>
      <c r="H291" s="29">
        <v>1</v>
      </c>
      <c r="I291" s="29">
        <v>19800</v>
      </c>
      <c r="J291" s="29"/>
      <c r="K291" s="31">
        <v>1997</v>
      </c>
      <c r="L291" s="29"/>
      <c r="M291" s="84" t="s">
        <v>768</v>
      </c>
      <c r="N291" s="29"/>
      <c r="O291" s="31">
        <v>0.51</v>
      </c>
      <c r="P291" s="67"/>
      <c r="Q291" s="31">
        <v>1.3</v>
      </c>
      <c r="R291" s="29"/>
      <c r="S291" s="29">
        <v>1.62</v>
      </c>
      <c r="T291" s="31">
        <v>25349</v>
      </c>
      <c r="U291" s="29"/>
      <c r="V291" s="41">
        <v>33601</v>
      </c>
    </row>
    <row r="292" spans="1:22" x14ac:dyDescent="0.2">
      <c r="A292" s="28" t="s">
        <v>796</v>
      </c>
      <c r="B292" s="29" t="s">
        <v>797</v>
      </c>
      <c r="C292" s="29"/>
      <c r="D292" s="29"/>
      <c r="E292" s="29"/>
      <c r="F292" s="31"/>
      <c r="G292" s="29"/>
      <c r="H292" s="29">
        <v>2</v>
      </c>
      <c r="I292" s="29">
        <v>21400</v>
      </c>
      <c r="J292" s="29"/>
      <c r="K292" s="31">
        <v>1997</v>
      </c>
      <c r="L292" s="29"/>
      <c r="M292" s="84" t="s">
        <v>768</v>
      </c>
      <c r="N292" s="29"/>
      <c r="O292" s="31">
        <v>0.79</v>
      </c>
      <c r="P292" s="67"/>
      <c r="Q292" s="31">
        <v>2.8</v>
      </c>
      <c r="R292" s="29"/>
      <c r="S292" s="29">
        <v>1.62</v>
      </c>
      <c r="T292" s="31">
        <v>31377</v>
      </c>
      <c r="U292" s="29"/>
      <c r="V292" s="41">
        <v>89583</v>
      </c>
    </row>
    <row r="293" spans="1:22" x14ac:dyDescent="0.2">
      <c r="A293" s="28" t="s">
        <v>828</v>
      </c>
      <c r="B293" s="29" t="s">
        <v>216</v>
      </c>
      <c r="C293" s="29"/>
      <c r="D293" s="29"/>
      <c r="E293" s="29"/>
      <c r="F293" s="31"/>
      <c r="G293" s="29"/>
      <c r="H293" s="29">
        <v>1</v>
      </c>
      <c r="I293" s="29">
        <v>147800</v>
      </c>
      <c r="J293" s="29"/>
      <c r="K293" s="31">
        <v>1997</v>
      </c>
      <c r="L293" s="29"/>
      <c r="M293" s="84" t="s">
        <v>768</v>
      </c>
      <c r="N293" s="29"/>
      <c r="O293" s="31">
        <v>0.51</v>
      </c>
      <c r="P293" s="67"/>
      <c r="Q293" s="31">
        <v>1.2</v>
      </c>
      <c r="R293" s="29"/>
      <c r="S293" s="29">
        <v>1.63</v>
      </c>
      <c r="T293" s="31">
        <v>189507</v>
      </c>
      <c r="U293" s="29"/>
      <c r="V293" s="41">
        <v>231881</v>
      </c>
    </row>
    <row r="294" spans="1:22" x14ac:dyDescent="0.2">
      <c r="A294" s="28" t="s">
        <v>773</v>
      </c>
      <c r="B294" s="29" t="s">
        <v>112</v>
      </c>
      <c r="C294" s="29"/>
      <c r="D294" s="29"/>
      <c r="E294" s="29"/>
      <c r="F294" s="31"/>
      <c r="G294" s="29"/>
      <c r="H294" s="29">
        <v>1</v>
      </c>
      <c r="I294" s="29">
        <v>65200</v>
      </c>
      <c r="J294" s="29"/>
      <c r="K294" s="31">
        <v>1997</v>
      </c>
      <c r="L294" s="29"/>
      <c r="M294" s="84" t="s">
        <v>768</v>
      </c>
      <c r="N294" s="29"/>
      <c r="O294" s="31">
        <v>0.51</v>
      </c>
      <c r="P294" s="67"/>
      <c r="Q294" s="31">
        <v>1.2</v>
      </c>
      <c r="R294" s="29"/>
      <c r="S294" s="29">
        <v>1.63</v>
      </c>
      <c r="T294" s="31">
        <v>83599</v>
      </c>
      <c r="U294" s="29"/>
      <c r="V294" s="41">
        <v>102291</v>
      </c>
    </row>
    <row r="295" spans="1:22" x14ac:dyDescent="0.2">
      <c r="A295" s="28" t="s">
        <v>808</v>
      </c>
      <c r="B295" s="29" t="s">
        <v>809</v>
      </c>
      <c r="C295" s="29"/>
      <c r="D295" s="29"/>
      <c r="E295" s="29"/>
      <c r="F295" s="31"/>
      <c r="G295" s="29"/>
      <c r="H295" s="29">
        <v>2</v>
      </c>
      <c r="I295" s="29">
        <v>21600</v>
      </c>
      <c r="J295" s="29"/>
      <c r="K295" s="31">
        <v>1997</v>
      </c>
      <c r="L295" s="29"/>
      <c r="M295" s="84" t="s">
        <v>768</v>
      </c>
      <c r="N295" s="29"/>
      <c r="O295" s="31">
        <v>0.79</v>
      </c>
      <c r="P295" s="67"/>
      <c r="Q295" s="31">
        <v>2.8</v>
      </c>
      <c r="R295" s="29"/>
      <c r="S295" s="29">
        <v>1.63</v>
      </c>
      <c r="T295" s="31">
        <v>31745</v>
      </c>
      <c r="U295" s="29"/>
      <c r="V295" s="41">
        <v>90633</v>
      </c>
    </row>
    <row r="296" spans="1:22" x14ac:dyDescent="0.2">
      <c r="A296" s="28" t="s">
        <v>778</v>
      </c>
      <c r="B296" s="29" t="s">
        <v>779</v>
      </c>
      <c r="C296" s="29"/>
      <c r="D296" s="29"/>
      <c r="E296" s="29"/>
      <c r="F296" s="31"/>
      <c r="G296" s="29"/>
      <c r="H296" s="29">
        <v>1</v>
      </c>
      <c r="I296" s="29">
        <v>80000</v>
      </c>
      <c r="J296" s="29"/>
      <c r="K296" s="31">
        <v>2000</v>
      </c>
      <c r="L296" s="29"/>
      <c r="M296" s="84" t="s">
        <v>768</v>
      </c>
      <c r="N296" s="29"/>
      <c r="O296" s="31">
        <v>0.76</v>
      </c>
      <c r="P296" s="67"/>
      <c r="Q296" s="31">
        <v>1.45</v>
      </c>
      <c r="R296" s="29"/>
      <c r="S296" s="29">
        <v>0.95</v>
      </c>
      <c r="T296" s="31">
        <v>77213</v>
      </c>
      <c r="U296" s="29"/>
      <c r="V296" s="41">
        <v>111959</v>
      </c>
    </row>
    <row r="297" spans="1:22" x14ac:dyDescent="0.2">
      <c r="A297" s="28" t="s">
        <v>829</v>
      </c>
      <c r="B297" s="29" t="s">
        <v>830</v>
      </c>
      <c r="C297" s="29"/>
      <c r="D297" s="29"/>
      <c r="E297" s="29"/>
      <c r="F297" s="31"/>
      <c r="G297" s="29"/>
      <c r="H297" s="29">
        <v>1</v>
      </c>
      <c r="I297" s="29">
        <v>44800</v>
      </c>
      <c r="J297" s="29"/>
      <c r="K297" s="31">
        <v>1997</v>
      </c>
      <c r="L297" s="29"/>
      <c r="M297" s="84" t="s">
        <v>768</v>
      </c>
      <c r="N297" s="29"/>
      <c r="O297" s="31">
        <v>0.71</v>
      </c>
      <c r="P297" s="67"/>
      <c r="Q297" s="31">
        <v>1.2</v>
      </c>
      <c r="R297" s="29"/>
      <c r="S297" s="29">
        <v>1.19</v>
      </c>
      <c r="T297" s="31">
        <v>50839</v>
      </c>
      <c r="U297" s="29"/>
      <c r="V297" s="41">
        <v>62207</v>
      </c>
    </row>
    <row r="298" spans="1:22" x14ac:dyDescent="0.2">
      <c r="A298" s="28" t="s">
        <v>774</v>
      </c>
      <c r="B298" s="29" t="s">
        <v>775</v>
      </c>
      <c r="C298" s="29"/>
      <c r="D298" s="29"/>
      <c r="E298" s="29"/>
      <c r="F298" s="31"/>
      <c r="G298" s="29"/>
      <c r="H298" s="29">
        <v>1</v>
      </c>
      <c r="I298" s="29">
        <v>36000</v>
      </c>
      <c r="J298" s="29"/>
      <c r="K298" s="31">
        <v>1997</v>
      </c>
      <c r="L298" s="29"/>
      <c r="M298" s="84" t="s">
        <v>768</v>
      </c>
      <c r="N298" s="29"/>
      <c r="O298" s="31">
        <v>0.51</v>
      </c>
      <c r="P298" s="67"/>
      <c r="Q298" s="31">
        <v>1.2</v>
      </c>
      <c r="R298" s="29"/>
      <c r="S298" s="29">
        <v>1.19</v>
      </c>
      <c r="T298" s="31">
        <v>39423</v>
      </c>
      <c r="U298" s="29"/>
      <c r="V298" s="41">
        <v>48238</v>
      </c>
    </row>
    <row r="299" spans="1:22" x14ac:dyDescent="0.2">
      <c r="A299" s="42" t="s">
        <v>806</v>
      </c>
      <c r="B299" s="43" t="s">
        <v>807</v>
      </c>
      <c r="C299" s="43"/>
      <c r="D299" s="43"/>
      <c r="E299" s="43"/>
      <c r="F299" s="53"/>
      <c r="G299" s="43"/>
      <c r="H299" s="43">
        <v>3</v>
      </c>
      <c r="I299" s="43">
        <v>184104</v>
      </c>
      <c r="J299" s="43"/>
      <c r="K299" s="53">
        <v>1998</v>
      </c>
      <c r="L299" s="43"/>
      <c r="M299" s="85" t="s">
        <v>768</v>
      </c>
      <c r="N299" s="43"/>
      <c r="O299" s="53">
        <v>0.7</v>
      </c>
      <c r="P299" s="74"/>
      <c r="Q299" s="53">
        <v>2.8</v>
      </c>
      <c r="R299" s="43"/>
      <c r="S299" s="43">
        <v>1.19</v>
      </c>
      <c r="T299" s="53">
        <v>208550</v>
      </c>
      <c r="U299" s="43"/>
      <c r="V299" s="55">
        <v>590837</v>
      </c>
    </row>
    <row r="300" spans="1:22" x14ac:dyDescent="0.2">
      <c r="A300" s="19" t="s">
        <v>831</v>
      </c>
      <c r="B300" s="20"/>
      <c r="C300" s="20"/>
      <c r="D300" s="20"/>
      <c r="E300" s="20"/>
      <c r="F300" s="20"/>
      <c r="G300" s="20"/>
      <c r="H300" s="20" t="s">
        <v>832</v>
      </c>
      <c r="I300" s="21">
        <v>14472363</v>
      </c>
      <c r="J300" s="20"/>
      <c r="K300" s="20"/>
      <c r="L300" s="20"/>
      <c r="M300" s="78"/>
      <c r="N300" s="20"/>
      <c r="O300" s="20"/>
      <c r="P300" s="64"/>
      <c r="Q300" s="20"/>
      <c r="R300" s="20"/>
      <c r="S300" s="20"/>
      <c r="T300" s="20"/>
      <c r="U300" s="20"/>
      <c r="V300" s="54">
        <v>26843763</v>
      </c>
    </row>
    <row r="301" spans="1:22" x14ac:dyDescent="0.2">
      <c r="H301" s="24" t="s">
        <v>736</v>
      </c>
      <c r="I301" s="25">
        <f>SUM(I266:I299)</f>
        <v>14472363</v>
      </c>
      <c r="V301" s="25">
        <f>SUM(V266:V299)</f>
        <v>26843762</v>
      </c>
    </row>
    <row r="302" spans="1:22" x14ac:dyDescent="0.2">
      <c r="H302" s="26" t="s">
        <v>737</v>
      </c>
      <c r="I302" s="27">
        <f>I300-I301</f>
        <v>0</v>
      </c>
      <c r="V302" s="27">
        <f>V300-V301</f>
        <v>1</v>
      </c>
    </row>
  </sheetData>
  <mergeCells count="46">
    <mergeCell ref="J270:J271"/>
    <mergeCell ref="J194:J195"/>
    <mergeCell ref="J128:J143"/>
    <mergeCell ref="J252:J254"/>
    <mergeCell ref="J26:J39"/>
    <mergeCell ref="J197:J199"/>
    <mergeCell ref="J202:J203"/>
    <mergeCell ref="J248:J250"/>
    <mergeCell ref="J246:J247"/>
    <mergeCell ref="J74:J83"/>
    <mergeCell ref="J84:J86"/>
    <mergeCell ref="J126:J127"/>
    <mergeCell ref="J165:J171"/>
    <mergeCell ref="J172:J176"/>
    <mergeCell ref="J178:J184"/>
    <mergeCell ref="J218:J238"/>
    <mergeCell ref="A264:I264"/>
    <mergeCell ref="K264:V264"/>
    <mergeCell ref="J266:J269"/>
    <mergeCell ref="J40:J42"/>
    <mergeCell ref="J50:J51"/>
    <mergeCell ref="J67:J73"/>
    <mergeCell ref="A124:I124"/>
    <mergeCell ref="K124:V124"/>
    <mergeCell ref="A163:I163"/>
    <mergeCell ref="K163:V163"/>
    <mergeCell ref="A63:I63"/>
    <mergeCell ref="K63:V63"/>
    <mergeCell ref="A94:I94"/>
    <mergeCell ref="K94:V94"/>
    <mergeCell ref="A244:I244"/>
    <mergeCell ref="K244:V244"/>
    <mergeCell ref="K1:V1"/>
    <mergeCell ref="A1:I1"/>
    <mergeCell ref="A21:I21"/>
    <mergeCell ref="K21:V21"/>
    <mergeCell ref="J23:J24"/>
    <mergeCell ref="J3:J16"/>
    <mergeCell ref="A216:I216"/>
    <mergeCell ref="K216:V216"/>
    <mergeCell ref="J43:J45"/>
    <mergeCell ref="J46:J48"/>
    <mergeCell ref="J200:J201"/>
    <mergeCell ref="J185:J187"/>
    <mergeCell ref="A192:I192"/>
    <mergeCell ref="K192:V192"/>
  </mergeCells>
  <conditionalFormatting sqref="P126 P128:P158 P3:P16 P165:P187 P23:P45 P194:P211 P49:P58">
    <cfRule type="cellIs" dxfId="10" priority="16" operator="greaterThan">
      <formula>1</formula>
    </cfRule>
  </conditionalFormatting>
  <conditionalFormatting sqref="P65:P89">
    <cfRule type="cellIs" dxfId="9" priority="14" operator="greaterThan">
      <formula>1</formula>
    </cfRule>
  </conditionalFormatting>
  <conditionalFormatting sqref="P96:P119">
    <cfRule type="cellIs" dxfId="8" priority="13" operator="greaterThan">
      <formula>1</formula>
    </cfRule>
  </conditionalFormatting>
  <conditionalFormatting sqref="P218:P239">
    <cfRule type="cellIs" dxfId="7" priority="8" operator="greaterThan">
      <formula>1</formula>
    </cfRule>
  </conditionalFormatting>
  <conditionalFormatting sqref="P246:P254">
    <cfRule type="cellIs" dxfId="6" priority="7" operator="greaterThan">
      <formula>1</formula>
    </cfRule>
  </conditionalFormatting>
  <conditionalFormatting sqref="P266:P299">
    <cfRule type="cellIs" dxfId="5" priority="6" operator="greaterThan">
      <formula>1</formula>
    </cfRule>
  </conditionalFormatting>
  <conditionalFormatting sqref="P127">
    <cfRule type="cellIs" dxfId="4" priority="5" operator="greaterThan">
      <formula>1</formula>
    </cfRule>
  </conditionalFormatting>
  <conditionalFormatting sqref="P200">
    <cfRule type="cellIs" dxfId="3" priority="4" operator="greaterThan">
      <formula>1</formula>
    </cfRule>
  </conditionalFormatting>
  <conditionalFormatting sqref="P201">
    <cfRule type="cellIs" dxfId="2" priority="3" operator="greaterThan">
      <formula>1</formula>
    </cfRule>
  </conditionalFormatting>
  <conditionalFormatting sqref="P46:P48">
    <cfRule type="cellIs" dxfId="1" priority="2" operator="greaterThan">
      <formula>1</formula>
    </cfRule>
  </conditionalFormatting>
  <conditionalFormatting sqref="P255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AC77-6524-4440-ACA9-1C449B774B75}">
  <dimension ref="A1:Y39"/>
  <sheetViews>
    <sheetView topLeftCell="A14" workbookViewId="0">
      <selection activeCell="A6" sqref="A6"/>
    </sheetView>
  </sheetViews>
  <sheetFormatPr baseColWidth="10" defaultRowHeight="16" x14ac:dyDescent="0.2"/>
  <cols>
    <col min="1" max="1" width="17.33203125" bestFit="1" customWidth="1"/>
    <col min="2" max="2" width="35.5" bestFit="1" customWidth="1"/>
    <col min="3" max="3" width="8.5" hidden="1" customWidth="1"/>
    <col min="4" max="4" width="12.33203125" hidden="1" customWidth="1"/>
    <col min="5" max="5" width="10.5" hidden="1" customWidth="1"/>
    <col min="6" max="6" width="11" hidden="1" customWidth="1"/>
    <col min="7" max="7" width="22.83203125" hidden="1" customWidth="1"/>
    <col min="8" max="8" width="10.83203125" bestFit="1" customWidth="1"/>
    <col min="9" max="10" width="46.5" bestFit="1" customWidth="1"/>
    <col min="11" max="11" width="15" bestFit="1" customWidth="1"/>
    <col min="12" max="12" width="21.5" bestFit="1" customWidth="1"/>
    <col min="13" max="13" width="16" bestFit="1" customWidth="1"/>
    <col min="14" max="14" width="5.5" bestFit="1" customWidth="1"/>
    <col min="15" max="15" width="19.83203125" bestFit="1" customWidth="1"/>
    <col min="16" max="16" width="9.83203125" bestFit="1" customWidth="1"/>
    <col min="17" max="17" width="8.1640625" bestFit="1" customWidth="1"/>
    <col min="18" max="18" width="22.83203125" bestFit="1" customWidth="1"/>
    <col min="19" max="19" width="21.5" bestFit="1" customWidth="1"/>
    <col min="20" max="20" width="19.6640625" bestFit="1" customWidth="1"/>
    <col min="21" max="21" width="18.1640625" bestFit="1" customWidth="1"/>
    <col min="22" max="22" width="15.6640625" bestFit="1" customWidth="1"/>
    <col min="23" max="23" width="13.83203125" bestFit="1" customWidth="1"/>
    <col min="24" max="24" width="25.1640625" bestFit="1" customWidth="1"/>
    <col min="25" max="25" width="23.1640625" bestFit="1" customWidth="1"/>
  </cols>
  <sheetData>
    <row r="1" spans="1:25" s="4" customFormat="1" x14ac:dyDescent="0.2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5" t="s">
        <v>740</v>
      </c>
      <c r="K1" s="91" t="s">
        <v>1</v>
      </c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5" s="4" customFormat="1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741</v>
      </c>
      <c r="G2" s="5" t="s">
        <v>7</v>
      </c>
      <c r="H2" s="5" t="s">
        <v>8</v>
      </c>
      <c r="I2" s="5" t="s">
        <v>9</v>
      </c>
      <c r="J2" s="5"/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</row>
    <row r="3" spans="1:25" x14ac:dyDescent="0.2">
      <c r="A3" t="s">
        <v>753</v>
      </c>
      <c r="B3" t="s">
        <v>756</v>
      </c>
      <c r="H3" t="s">
        <v>833</v>
      </c>
      <c r="I3" t="s">
        <v>761</v>
      </c>
      <c r="K3" t="s">
        <v>760</v>
      </c>
      <c r="M3" t="s">
        <v>757</v>
      </c>
      <c r="O3" t="s">
        <v>762</v>
      </c>
      <c r="P3" t="s">
        <v>764</v>
      </c>
      <c r="R3" t="s">
        <v>758</v>
      </c>
      <c r="S3" t="s">
        <v>763</v>
      </c>
      <c r="U3" t="s">
        <v>766</v>
      </c>
      <c r="V3" t="s">
        <v>754</v>
      </c>
      <c r="W3" t="s">
        <v>755</v>
      </c>
      <c r="X3" t="s">
        <v>759</v>
      </c>
      <c r="Y3" t="s">
        <v>765</v>
      </c>
    </row>
    <row r="4" spans="1:25" x14ac:dyDescent="0.2">
      <c r="A4" t="s">
        <v>767</v>
      </c>
      <c r="B4" t="s">
        <v>85</v>
      </c>
      <c r="H4">
        <f t="shared" ref="H4:H37" si="0">V4+W4</f>
        <v>1</v>
      </c>
      <c r="I4" s="1">
        <v>1900</v>
      </c>
      <c r="K4">
        <v>1997</v>
      </c>
      <c r="M4" t="s">
        <v>768</v>
      </c>
      <c r="O4">
        <v>0.48</v>
      </c>
      <c r="P4">
        <v>1</v>
      </c>
      <c r="R4">
        <v>1.83</v>
      </c>
      <c r="S4" s="1">
        <v>2542</v>
      </c>
      <c r="U4" s="1">
        <v>2592</v>
      </c>
      <c r="V4">
        <v>1</v>
      </c>
      <c r="X4" s="1">
        <v>1900</v>
      </c>
      <c r="Y4" s="1">
        <v>2542</v>
      </c>
    </row>
    <row r="5" spans="1:25" x14ac:dyDescent="0.2">
      <c r="A5" t="s">
        <v>769</v>
      </c>
      <c r="B5" t="s">
        <v>770</v>
      </c>
      <c r="H5">
        <f t="shared" si="0"/>
        <v>1</v>
      </c>
      <c r="I5" s="1">
        <v>36000</v>
      </c>
      <c r="K5">
        <v>1997</v>
      </c>
      <c r="M5" t="s">
        <v>768</v>
      </c>
      <c r="O5">
        <v>0.51</v>
      </c>
      <c r="P5">
        <v>1.2</v>
      </c>
      <c r="R5">
        <v>0.63</v>
      </c>
      <c r="S5" s="1">
        <v>28421</v>
      </c>
      <c r="U5" s="1">
        <v>34775</v>
      </c>
      <c r="V5">
        <v>1</v>
      </c>
      <c r="X5" s="1">
        <v>36000</v>
      </c>
      <c r="Y5" s="1">
        <v>34105</v>
      </c>
    </row>
    <row r="6" spans="1:25" x14ac:dyDescent="0.2">
      <c r="A6" t="s">
        <v>771</v>
      </c>
      <c r="B6" t="s">
        <v>772</v>
      </c>
      <c r="H6">
        <f t="shared" si="0"/>
        <v>1</v>
      </c>
      <c r="I6" s="1">
        <v>19800</v>
      </c>
      <c r="K6">
        <v>1997</v>
      </c>
      <c r="M6" t="s">
        <v>768</v>
      </c>
      <c r="O6">
        <v>0.51</v>
      </c>
      <c r="P6">
        <v>1.3</v>
      </c>
      <c r="R6">
        <v>1.62</v>
      </c>
      <c r="S6" s="1">
        <v>25349</v>
      </c>
      <c r="U6" s="1">
        <v>33601</v>
      </c>
      <c r="V6">
        <v>1</v>
      </c>
      <c r="X6" s="1">
        <v>19800</v>
      </c>
      <c r="Y6" s="1">
        <v>32953</v>
      </c>
    </row>
    <row r="7" spans="1:25" x14ac:dyDescent="0.2">
      <c r="A7" t="s">
        <v>773</v>
      </c>
      <c r="B7" t="s">
        <v>112</v>
      </c>
      <c r="H7">
        <f t="shared" si="0"/>
        <v>1</v>
      </c>
      <c r="I7" s="1">
        <v>65200</v>
      </c>
      <c r="K7">
        <v>1997</v>
      </c>
      <c r="M7" t="s">
        <v>768</v>
      </c>
      <c r="O7">
        <v>0.51</v>
      </c>
      <c r="P7">
        <v>1.2</v>
      </c>
      <c r="R7">
        <v>1.63</v>
      </c>
      <c r="S7" s="1">
        <v>83599</v>
      </c>
      <c r="U7" s="1">
        <v>102291</v>
      </c>
      <c r="V7">
        <v>1</v>
      </c>
      <c r="X7" s="1">
        <v>65200</v>
      </c>
      <c r="Y7" s="1">
        <v>100318</v>
      </c>
    </row>
    <row r="8" spans="1:25" x14ac:dyDescent="0.2">
      <c r="A8" t="s">
        <v>774</v>
      </c>
      <c r="B8" t="s">
        <v>775</v>
      </c>
      <c r="H8">
        <f t="shared" si="0"/>
        <v>1</v>
      </c>
      <c r="I8" s="1">
        <v>36000</v>
      </c>
      <c r="K8">
        <v>1997</v>
      </c>
      <c r="M8" t="s">
        <v>768</v>
      </c>
      <c r="O8">
        <v>0.51</v>
      </c>
      <c r="P8">
        <v>1.2</v>
      </c>
      <c r="R8">
        <v>1.19</v>
      </c>
      <c r="S8" s="1">
        <v>39423</v>
      </c>
      <c r="U8" s="1">
        <v>48238</v>
      </c>
      <c r="V8">
        <v>1</v>
      </c>
      <c r="X8" s="1">
        <v>36000</v>
      </c>
      <c r="Y8" s="1">
        <v>47308</v>
      </c>
    </row>
    <row r="9" spans="1:25" x14ac:dyDescent="0.2">
      <c r="A9" t="s">
        <v>776</v>
      </c>
      <c r="B9" t="s">
        <v>777</v>
      </c>
      <c r="H9">
        <f t="shared" si="0"/>
        <v>1</v>
      </c>
      <c r="I9" s="1">
        <v>59400</v>
      </c>
      <c r="K9">
        <v>1997</v>
      </c>
      <c r="M9" t="s">
        <v>768</v>
      </c>
      <c r="O9">
        <v>0.78</v>
      </c>
      <c r="P9">
        <v>1.3</v>
      </c>
      <c r="R9">
        <v>1</v>
      </c>
      <c r="S9" s="1">
        <v>59518</v>
      </c>
      <c r="U9" s="1">
        <v>78895</v>
      </c>
      <c r="V9">
        <v>1</v>
      </c>
      <c r="X9" s="1">
        <v>59400</v>
      </c>
      <c r="Y9" s="1">
        <v>77373</v>
      </c>
    </row>
    <row r="10" spans="1:25" x14ac:dyDescent="0.2">
      <c r="A10" t="s">
        <v>778</v>
      </c>
      <c r="B10" t="s">
        <v>779</v>
      </c>
      <c r="H10">
        <f t="shared" si="0"/>
        <v>1</v>
      </c>
      <c r="I10" s="1">
        <v>80000</v>
      </c>
      <c r="K10">
        <v>2000</v>
      </c>
      <c r="M10" t="s">
        <v>768</v>
      </c>
      <c r="O10">
        <v>0.76</v>
      </c>
      <c r="P10">
        <v>1.45</v>
      </c>
      <c r="R10">
        <v>0.95</v>
      </c>
      <c r="S10" s="1">
        <v>77213</v>
      </c>
      <c r="U10" s="1">
        <v>111959</v>
      </c>
      <c r="V10">
        <v>1</v>
      </c>
      <c r="X10" s="1">
        <v>80000</v>
      </c>
      <c r="Y10" s="1">
        <v>111959</v>
      </c>
    </row>
    <row r="11" spans="1:25" x14ac:dyDescent="0.2">
      <c r="A11" t="s">
        <v>780</v>
      </c>
      <c r="B11" t="s">
        <v>781</v>
      </c>
      <c r="H11">
        <f t="shared" si="0"/>
        <v>1</v>
      </c>
      <c r="I11" s="1">
        <v>3900</v>
      </c>
      <c r="K11">
        <v>1997</v>
      </c>
      <c r="M11" t="s">
        <v>782</v>
      </c>
      <c r="P11">
        <v>1.3</v>
      </c>
      <c r="S11" s="1">
        <v>3900</v>
      </c>
      <c r="U11" s="1">
        <v>5170</v>
      </c>
      <c r="V11">
        <v>1</v>
      </c>
      <c r="X11" s="1">
        <v>3900</v>
      </c>
      <c r="Y11" s="1">
        <v>5070</v>
      </c>
    </row>
    <row r="12" spans="1:25" x14ac:dyDescent="0.2">
      <c r="A12" t="s">
        <v>783</v>
      </c>
      <c r="B12" t="s">
        <v>266</v>
      </c>
      <c r="H12">
        <f t="shared" si="0"/>
        <v>1</v>
      </c>
      <c r="I12" s="1">
        <v>45000</v>
      </c>
      <c r="K12">
        <v>1997</v>
      </c>
      <c r="M12" t="s">
        <v>784</v>
      </c>
      <c r="O12">
        <v>0.51</v>
      </c>
      <c r="P12">
        <v>2.1</v>
      </c>
      <c r="R12">
        <v>0.27</v>
      </c>
      <c r="S12" s="1">
        <v>23266</v>
      </c>
      <c r="U12" s="1">
        <v>49820</v>
      </c>
      <c r="V12">
        <v>1</v>
      </c>
      <c r="X12" s="1">
        <v>45000</v>
      </c>
      <c r="Y12" s="1">
        <v>48859</v>
      </c>
    </row>
    <row r="13" spans="1:25" x14ac:dyDescent="0.2">
      <c r="A13" t="s">
        <v>785</v>
      </c>
      <c r="B13" t="s">
        <v>786</v>
      </c>
      <c r="H13">
        <f t="shared" si="0"/>
        <v>3</v>
      </c>
      <c r="I13" s="1">
        <v>398400</v>
      </c>
      <c r="K13">
        <v>1997</v>
      </c>
      <c r="M13" t="s">
        <v>784</v>
      </c>
      <c r="O13">
        <v>0.68</v>
      </c>
      <c r="P13">
        <v>2.1</v>
      </c>
      <c r="R13">
        <v>1.1599999999999999</v>
      </c>
      <c r="S13" s="1">
        <v>441162</v>
      </c>
      <c r="U13" s="1">
        <v>944658</v>
      </c>
      <c r="V13">
        <v>2</v>
      </c>
      <c r="W13">
        <v>1</v>
      </c>
      <c r="X13" s="1">
        <v>132800</v>
      </c>
      <c r="Y13" s="1">
        <v>926441</v>
      </c>
    </row>
    <row r="14" spans="1:25" x14ac:dyDescent="0.2">
      <c r="A14" t="s">
        <v>787</v>
      </c>
      <c r="B14" t="s">
        <v>788</v>
      </c>
      <c r="H14">
        <f t="shared" si="0"/>
        <v>1</v>
      </c>
      <c r="I14" s="1">
        <v>15385</v>
      </c>
      <c r="K14">
        <v>2000</v>
      </c>
      <c r="M14" t="s">
        <v>784</v>
      </c>
      <c r="O14">
        <v>0.68</v>
      </c>
      <c r="P14">
        <v>2.1</v>
      </c>
      <c r="R14">
        <v>0.84</v>
      </c>
      <c r="S14" s="1">
        <v>13620</v>
      </c>
      <c r="U14" s="1">
        <v>28603</v>
      </c>
      <c r="V14">
        <v>1</v>
      </c>
      <c r="X14" s="1">
        <v>15385</v>
      </c>
      <c r="Y14" s="1">
        <v>28603</v>
      </c>
    </row>
    <row r="15" spans="1:25" x14ac:dyDescent="0.2">
      <c r="A15" t="s">
        <v>789</v>
      </c>
      <c r="B15" t="s">
        <v>790</v>
      </c>
      <c r="H15">
        <f t="shared" si="0"/>
        <v>3</v>
      </c>
      <c r="I15" s="1">
        <v>398400</v>
      </c>
      <c r="K15">
        <v>1997</v>
      </c>
      <c r="M15" t="s">
        <v>784</v>
      </c>
      <c r="O15">
        <v>0.68</v>
      </c>
      <c r="P15">
        <v>2.1</v>
      </c>
      <c r="R15">
        <v>0.24</v>
      </c>
      <c r="S15" s="1">
        <v>152180</v>
      </c>
      <c r="U15" s="1">
        <v>325863</v>
      </c>
      <c r="V15">
        <v>2</v>
      </c>
      <c r="W15">
        <v>1</v>
      </c>
      <c r="X15" s="1">
        <v>132800</v>
      </c>
      <c r="Y15" s="1">
        <v>319578</v>
      </c>
    </row>
    <row r="16" spans="1:25" x14ac:dyDescent="0.2">
      <c r="A16" t="s">
        <v>154</v>
      </c>
      <c r="B16" t="s">
        <v>791</v>
      </c>
      <c r="H16">
        <f t="shared" si="0"/>
        <v>3</v>
      </c>
      <c r="I16" s="1">
        <v>7372462</v>
      </c>
      <c r="K16">
        <v>2000</v>
      </c>
      <c r="M16" t="s">
        <v>768</v>
      </c>
      <c r="O16">
        <v>0.6</v>
      </c>
      <c r="P16">
        <v>2.29</v>
      </c>
      <c r="R16">
        <v>1.03</v>
      </c>
      <c r="S16" s="1">
        <v>7494911</v>
      </c>
      <c r="U16" s="1">
        <v>17163347</v>
      </c>
      <c r="V16">
        <v>3</v>
      </c>
      <c r="X16" s="1">
        <v>2457487</v>
      </c>
      <c r="Y16" s="1">
        <v>17163347</v>
      </c>
    </row>
    <row r="17" spans="1:25" x14ac:dyDescent="0.2">
      <c r="A17" t="s">
        <v>792</v>
      </c>
      <c r="B17" t="s">
        <v>173</v>
      </c>
      <c r="H17">
        <f t="shared" si="0"/>
        <v>2</v>
      </c>
      <c r="I17" s="1">
        <v>9600</v>
      </c>
      <c r="K17">
        <v>1997</v>
      </c>
      <c r="M17" t="s">
        <v>768</v>
      </c>
      <c r="O17">
        <v>0.79</v>
      </c>
      <c r="P17">
        <v>2.8</v>
      </c>
      <c r="R17">
        <v>2</v>
      </c>
      <c r="S17" s="1">
        <v>16577</v>
      </c>
      <c r="U17" s="1">
        <v>47328</v>
      </c>
      <c r="V17">
        <v>1</v>
      </c>
      <c r="W17">
        <v>1</v>
      </c>
      <c r="X17" s="1">
        <v>4800</v>
      </c>
      <c r="Y17" s="1">
        <v>46416</v>
      </c>
    </row>
    <row r="18" spans="1:25" x14ac:dyDescent="0.2">
      <c r="A18" t="s">
        <v>793</v>
      </c>
      <c r="B18" t="s">
        <v>794</v>
      </c>
      <c r="H18">
        <f t="shared" si="0"/>
        <v>3</v>
      </c>
      <c r="I18" s="1">
        <v>46248</v>
      </c>
      <c r="K18">
        <v>2000</v>
      </c>
      <c r="M18" t="s">
        <v>795</v>
      </c>
      <c r="O18">
        <v>0.79</v>
      </c>
      <c r="P18">
        <v>3.34</v>
      </c>
      <c r="R18">
        <v>0.95</v>
      </c>
      <c r="S18" s="1">
        <v>44579</v>
      </c>
      <c r="U18" s="1">
        <v>148893</v>
      </c>
      <c r="V18">
        <v>2</v>
      </c>
      <c r="W18">
        <v>1</v>
      </c>
      <c r="X18" s="1">
        <v>15416</v>
      </c>
      <c r="Y18" s="1">
        <v>148893</v>
      </c>
    </row>
    <row r="19" spans="1:25" x14ac:dyDescent="0.2">
      <c r="A19" t="s">
        <v>796</v>
      </c>
      <c r="B19" t="s">
        <v>797</v>
      </c>
      <c r="H19">
        <f t="shared" si="0"/>
        <v>2</v>
      </c>
      <c r="I19" s="1">
        <v>21400</v>
      </c>
      <c r="K19">
        <v>1997</v>
      </c>
      <c r="M19" t="s">
        <v>768</v>
      </c>
      <c r="O19">
        <v>0.79</v>
      </c>
      <c r="P19">
        <v>2.8</v>
      </c>
      <c r="R19">
        <v>1.62</v>
      </c>
      <c r="S19" s="1">
        <v>31377</v>
      </c>
      <c r="U19" s="1">
        <v>89583</v>
      </c>
      <c r="V19">
        <v>1</v>
      </c>
      <c r="W19">
        <v>1</v>
      </c>
      <c r="X19" s="1">
        <v>10700</v>
      </c>
      <c r="Y19" s="1">
        <v>87855</v>
      </c>
    </row>
    <row r="20" spans="1:25" x14ac:dyDescent="0.2">
      <c r="A20" t="s">
        <v>798</v>
      </c>
      <c r="B20" t="s">
        <v>799</v>
      </c>
      <c r="H20">
        <f t="shared" si="0"/>
        <v>2</v>
      </c>
      <c r="I20" s="1">
        <v>65098</v>
      </c>
      <c r="K20">
        <v>2000</v>
      </c>
      <c r="M20" t="s">
        <v>768</v>
      </c>
      <c r="O20">
        <v>0.79</v>
      </c>
      <c r="P20">
        <v>3.56</v>
      </c>
      <c r="R20">
        <v>1.02</v>
      </c>
      <c r="S20" s="1">
        <v>65931</v>
      </c>
      <c r="U20" s="1">
        <v>234716</v>
      </c>
      <c r="V20">
        <v>1</v>
      </c>
      <c r="W20">
        <v>1</v>
      </c>
      <c r="X20" s="1">
        <v>32549</v>
      </c>
      <c r="Y20" s="1">
        <v>234716</v>
      </c>
    </row>
    <row r="21" spans="1:25" x14ac:dyDescent="0.2">
      <c r="A21" t="s">
        <v>800</v>
      </c>
      <c r="B21" t="s">
        <v>801</v>
      </c>
      <c r="H21">
        <f t="shared" si="0"/>
        <v>2</v>
      </c>
      <c r="I21" s="1">
        <v>99606</v>
      </c>
      <c r="K21">
        <v>2000</v>
      </c>
      <c r="M21" t="s">
        <v>768</v>
      </c>
      <c r="O21">
        <v>0.79</v>
      </c>
      <c r="P21">
        <v>2.71</v>
      </c>
      <c r="R21">
        <v>0.99</v>
      </c>
      <c r="S21" s="1">
        <v>98809</v>
      </c>
      <c r="U21" s="1">
        <v>267772</v>
      </c>
      <c r="V21">
        <v>1</v>
      </c>
      <c r="W21">
        <v>1</v>
      </c>
      <c r="X21" s="1">
        <v>49803</v>
      </c>
      <c r="Y21" s="1">
        <v>267772</v>
      </c>
    </row>
    <row r="22" spans="1:25" x14ac:dyDescent="0.2">
      <c r="A22" t="s">
        <v>802</v>
      </c>
      <c r="B22" t="s">
        <v>803</v>
      </c>
      <c r="H22">
        <f t="shared" si="0"/>
        <v>2</v>
      </c>
      <c r="I22" s="1">
        <v>21600</v>
      </c>
      <c r="K22">
        <v>1997</v>
      </c>
      <c r="M22" t="s">
        <v>768</v>
      </c>
      <c r="O22">
        <v>0.79</v>
      </c>
      <c r="P22">
        <v>2.8</v>
      </c>
      <c r="R22">
        <v>1.64</v>
      </c>
      <c r="S22" s="1">
        <v>31862</v>
      </c>
      <c r="U22" s="1">
        <v>90968</v>
      </c>
      <c r="V22">
        <v>1</v>
      </c>
      <c r="W22">
        <v>1</v>
      </c>
      <c r="X22" s="1">
        <v>10800</v>
      </c>
      <c r="Y22" s="1">
        <v>89214</v>
      </c>
    </row>
    <row r="23" spans="1:25" x14ac:dyDescent="0.2">
      <c r="A23" t="s">
        <v>804</v>
      </c>
      <c r="B23" t="s">
        <v>805</v>
      </c>
      <c r="H23">
        <f t="shared" si="0"/>
        <v>1</v>
      </c>
      <c r="I23" s="1">
        <v>47600</v>
      </c>
      <c r="K23">
        <v>1998</v>
      </c>
      <c r="M23" t="s">
        <v>768</v>
      </c>
      <c r="O23">
        <v>0.5</v>
      </c>
      <c r="P23">
        <v>1.4</v>
      </c>
      <c r="R23">
        <v>4.38</v>
      </c>
      <c r="S23" s="1">
        <v>99594</v>
      </c>
      <c r="U23" s="1">
        <v>141078</v>
      </c>
      <c r="V23">
        <v>1</v>
      </c>
      <c r="X23" s="1">
        <v>47600</v>
      </c>
      <c r="Y23" s="1">
        <v>139432</v>
      </c>
    </row>
    <row r="24" spans="1:25" x14ac:dyDescent="0.2">
      <c r="A24" t="s">
        <v>806</v>
      </c>
      <c r="B24" t="s">
        <v>807</v>
      </c>
      <c r="H24">
        <f t="shared" si="0"/>
        <v>3</v>
      </c>
      <c r="I24" s="1">
        <v>184104</v>
      </c>
      <c r="K24">
        <v>1998</v>
      </c>
      <c r="M24" t="s">
        <v>768</v>
      </c>
      <c r="O24">
        <v>0.7</v>
      </c>
      <c r="P24">
        <v>2.8</v>
      </c>
      <c r="R24">
        <v>1.19</v>
      </c>
      <c r="S24" s="1">
        <v>208550</v>
      </c>
      <c r="U24" s="1">
        <v>590837</v>
      </c>
      <c r="V24">
        <v>2</v>
      </c>
      <c r="W24">
        <v>1</v>
      </c>
      <c r="X24" s="1">
        <v>61368</v>
      </c>
      <c r="Y24" s="1">
        <v>583941</v>
      </c>
    </row>
    <row r="25" spans="1:25" x14ac:dyDescent="0.2">
      <c r="A25" t="s">
        <v>808</v>
      </c>
      <c r="B25" t="s">
        <v>809</v>
      </c>
      <c r="H25">
        <f t="shared" si="0"/>
        <v>2</v>
      </c>
      <c r="I25" s="1">
        <v>21600</v>
      </c>
      <c r="K25">
        <v>1997</v>
      </c>
      <c r="M25" t="s">
        <v>768</v>
      </c>
      <c r="O25">
        <v>0.79</v>
      </c>
      <c r="P25">
        <v>2.8</v>
      </c>
      <c r="R25">
        <v>1.63</v>
      </c>
      <c r="S25" s="1">
        <v>31745</v>
      </c>
      <c r="U25" s="1">
        <v>90633</v>
      </c>
      <c r="V25">
        <v>1</v>
      </c>
      <c r="W25">
        <v>1</v>
      </c>
      <c r="X25" s="1">
        <v>10800</v>
      </c>
      <c r="Y25" s="1">
        <v>88886</v>
      </c>
    </row>
    <row r="26" spans="1:25" x14ac:dyDescent="0.2">
      <c r="A26" t="s">
        <v>810</v>
      </c>
      <c r="B26" t="s">
        <v>811</v>
      </c>
      <c r="H26">
        <f t="shared" si="0"/>
        <v>3</v>
      </c>
      <c r="I26" s="1">
        <v>4725000</v>
      </c>
      <c r="K26">
        <v>2000</v>
      </c>
      <c r="M26" t="s">
        <v>795</v>
      </c>
      <c r="O26">
        <v>0.6</v>
      </c>
      <c r="P26">
        <v>1.05</v>
      </c>
      <c r="R26">
        <v>0.95</v>
      </c>
      <c r="S26" s="1">
        <v>4594911</v>
      </c>
      <c r="U26" s="1">
        <v>4824657</v>
      </c>
      <c r="V26">
        <v>3</v>
      </c>
      <c r="X26" s="1">
        <v>1575000</v>
      </c>
      <c r="Y26" s="1">
        <v>4824657</v>
      </c>
    </row>
    <row r="27" spans="1:25" x14ac:dyDescent="0.2">
      <c r="A27" t="s">
        <v>812</v>
      </c>
      <c r="B27" t="s">
        <v>813</v>
      </c>
      <c r="H27">
        <f t="shared" si="0"/>
        <v>1</v>
      </c>
      <c r="I27" s="1">
        <v>165000</v>
      </c>
      <c r="K27">
        <v>1998</v>
      </c>
      <c r="M27" t="s">
        <v>768</v>
      </c>
      <c r="O27">
        <v>0.39</v>
      </c>
      <c r="P27">
        <v>1.4</v>
      </c>
      <c r="R27">
        <v>1.39</v>
      </c>
      <c r="S27" s="1">
        <v>187567</v>
      </c>
      <c r="U27" s="1">
        <v>265695</v>
      </c>
      <c r="V27">
        <v>1</v>
      </c>
      <c r="X27" s="1">
        <v>165000</v>
      </c>
      <c r="Y27" s="1">
        <v>262594</v>
      </c>
    </row>
    <row r="28" spans="1:25" x14ac:dyDescent="0.2">
      <c r="A28" t="s">
        <v>814</v>
      </c>
      <c r="B28" t="s">
        <v>815</v>
      </c>
      <c r="H28">
        <f t="shared" si="0"/>
        <v>1</v>
      </c>
      <c r="I28" s="1">
        <v>32200</v>
      </c>
      <c r="K28">
        <v>1997</v>
      </c>
      <c r="M28" t="s">
        <v>768</v>
      </c>
      <c r="O28">
        <v>1</v>
      </c>
      <c r="P28">
        <v>1.5</v>
      </c>
      <c r="R28">
        <v>4.37</v>
      </c>
      <c r="S28" s="1">
        <v>140707</v>
      </c>
      <c r="U28" s="1">
        <v>215211</v>
      </c>
      <c r="V28">
        <v>1</v>
      </c>
      <c r="X28" s="1">
        <v>32200</v>
      </c>
      <c r="Y28" s="1">
        <v>211061</v>
      </c>
    </row>
    <row r="29" spans="1:25" x14ac:dyDescent="0.2">
      <c r="A29" t="s">
        <v>816</v>
      </c>
      <c r="B29" t="s">
        <v>199</v>
      </c>
      <c r="H29">
        <f t="shared" si="0"/>
        <v>1</v>
      </c>
      <c r="I29" s="1">
        <v>5760</v>
      </c>
      <c r="K29">
        <v>1996</v>
      </c>
      <c r="M29" t="s">
        <v>768</v>
      </c>
      <c r="O29">
        <v>0.71</v>
      </c>
      <c r="P29">
        <v>1.4</v>
      </c>
      <c r="R29">
        <v>2</v>
      </c>
      <c r="S29" s="1">
        <v>9411</v>
      </c>
      <c r="U29" s="1">
        <v>13603</v>
      </c>
      <c r="V29">
        <v>1</v>
      </c>
      <c r="X29" s="1">
        <v>5760</v>
      </c>
      <c r="Y29" s="1">
        <v>13175</v>
      </c>
    </row>
    <row r="30" spans="1:25" x14ac:dyDescent="0.2">
      <c r="A30" t="s">
        <v>817</v>
      </c>
      <c r="B30" t="s">
        <v>203</v>
      </c>
      <c r="H30">
        <f t="shared" si="0"/>
        <v>1</v>
      </c>
      <c r="I30" s="1">
        <v>64100</v>
      </c>
      <c r="K30">
        <v>1997</v>
      </c>
      <c r="M30" t="s">
        <v>768</v>
      </c>
      <c r="O30">
        <v>0.93</v>
      </c>
      <c r="P30">
        <v>1.2</v>
      </c>
      <c r="R30">
        <v>1.03</v>
      </c>
      <c r="S30" s="1">
        <v>65987</v>
      </c>
      <c r="U30" s="1">
        <v>80741</v>
      </c>
      <c r="V30">
        <v>1</v>
      </c>
      <c r="X30" s="1">
        <v>64100</v>
      </c>
      <c r="Y30" s="1">
        <v>79184</v>
      </c>
    </row>
    <row r="31" spans="1:25" x14ac:dyDescent="0.2">
      <c r="A31" t="s">
        <v>818</v>
      </c>
      <c r="B31" t="s">
        <v>819</v>
      </c>
      <c r="H31">
        <f t="shared" si="0"/>
        <v>1</v>
      </c>
      <c r="I31" s="1">
        <v>44800</v>
      </c>
      <c r="K31">
        <v>1997</v>
      </c>
      <c r="M31" t="s">
        <v>768</v>
      </c>
      <c r="O31">
        <v>0.71</v>
      </c>
      <c r="P31">
        <v>1.2</v>
      </c>
      <c r="R31">
        <v>0.63</v>
      </c>
      <c r="S31" s="1">
        <v>32237</v>
      </c>
      <c r="U31" s="1">
        <v>39445</v>
      </c>
      <c r="V31">
        <v>1</v>
      </c>
      <c r="X31" s="1">
        <v>44800</v>
      </c>
      <c r="Y31" s="1">
        <v>38684</v>
      </c>
    </row>
    <row r="32" spans="1:25" x14ac:dyDescent="0.2">
      <c r="A32" t="s">
        <v>820</v>
      </c>
      <c r="B32" t="s">
        <v>821</v>
      </c>
      <c r="H32">
        <f t="shared" si="0"/>
        <v>1</v>
      </c>
      <c r="I32" s="1">
        <v>71000</v>
      </c>
      <c r="K32">
        <v>1997</v>
      </c>
      <c r="M32" t="s">
        <v>768</v>
      </c>
      <c r="O32">
        <v>0.71</v>
      </c>
      <c r="P32">
        <v>1.4</v>
      </c>
      <c r="R32">
        <v>1.62</v>
      </c>
      <c r="S32" s="1">
        <v>100144</v>
      </c>
      <c r="U32" s="1">
        <v>142958</v>
      </c>
      <c r="V32">
        <v>1</v>
      </c>
      <c r="X32" s="1">
        <v>71000</v>
      </c>
      <c r="Y32" s="1">
        <v>140201</v>
      </c>
    </row>
    <row r="33" spans="1:25" x14ac:dyDescent="0.2">
      <c r="A33" t="s">
        <v>822</v>
      </c>
      <c r="B33" t="s">
        <v>823</v>
      </c>
      <c r="H33">
        <f t="shared" si="0"/>
        <v>1</v>
      </c>
      <c r="I33" s="1">
        <v>36000</v>
      </c>
      <c r="K33">
        <v>2000</v>
      </c>
      <c r="M33" t="s">
        <v>768</v>
      </c>
      <c r="O33">
        <v>0.71</v>
      </c>
      <c r="P33">
        <v>2.4500000000000002</v>
      </c>
      <c r="R33">
        <v>1.02</v>
      </c>
      <c r="S33" s="1">
        <v>36414</v>
      </c>
      <c r="U33" s="1">
        <v>89214</v>
      </c>
      <c r="V33">
        <v>1</v>
      </c>
      <c r="X33" s="1">
        <v>36000</v>
      </c>
      <c r="Y33" s="1">
        <v>89214</v>
      </c>
    </row>
    <row r="34" spans="1:25" x14ac:dyDescent="0.2">
      <c r="A34" t="s">
        <v>824</v>
      </c>
      <c r="B34" t="s">
        <v>825</v>
      </c>
      <c r="H34">
        <f t="shared" si="0"/>
        <v>1</v>
      </c>
      <c r="I34" s="1">
        <v>18000</v>
      </c>
      <c r="K34">
        <v>2000</v>
      </c>
      <c r="M34" t="s">
        <v>768</v>
      </c>
      <c r="O34">
        <v>0.71</v>
      </c>
      <c r="P34">
        <v>3.68</v>
      </c>
      <c r="R34">
        <v>0.99</v>
      </c>
      <c r="S34" s="1">
        <v>17870</v>
      </c>
      <c r="U34" s="1">
        <v>65763</v>
      </c>
      <c r="V34">
        <v>1</v>
      </c>
      <c r="X34" s="1">
        <v>18000</v>
      </c>
      <c r="Y34" s="1">
        <v>65763</v>
      </c>
    </row>
    <row r="35" spans="1:25" x14ac:dyDescent="0.2">
      <c r="A35" t="s">
        <v>826</v>
      </c>
      <c r="B35" t="s">
        <v>827</v>
      </c>
      <c r="H35">
        <f t="shared" si="0"/>
        <v>1</v>
      </c>
      <c r="I35" s="1">
        <v>69200</v>
      </c>
      <c r="K35">
        <v>1997</v>
      </c>
      <c r="M35" t="s">
        <v>768</v>
      </c>
      <c r="O35">
        <v>0.46</v>
      </c>
      <c r="P35">
        <v>1.3</v>
      </c>
      <c r="R35">
        <v>4.37</v>
      </c>
      <c r="S35" s="1">
        <v>136370</v>
      </c>
      <c r="U35" s="1">
        <v>180767</v>
      </c>
      <c r="V35">
        <v>1</v>
      </c>
      <c r="X35" s="1">
        <v>69200</v>
      </c>
      <c r="Y35" s="1">
        <v>177281</v>
      </c>
    </row>
    <row r="36" spans="1:25" x14ac:dyDescent="0.2">
      <c r="A36" t="s">
        <v>828</v>
      </c>
      <c r="B36" t="s">
        <v>216</v>
      </c>
      <c r="H36">
        <f t="shared" si="0"/>
        <v>1</v>
      </c>
      <c r="I36" s="1">
        <v>147800</v>
      </c>
      <c r="K36">
        <v>1997</v>
      </c>
      <c r="M36" t="s">
        <v>768</v>
      </c>
      <c r="O36">
        <v>0.51</v>
      </c>
      <c r="P36">
        <v>1.2</v>
      </c>
      <c r="R36">
        <v>1.63</v>
      </c>
      <c r="S36" s="1">
        <v>189507</v>
      </c>
      <c r="U36" s="1">
        <v>231881</v>
      </c>
      <c r="V36">
        <v>1</v>
      </c>
      <c r="X36" s="1">
        <v>147800</v>
      </c>
      <c r="Y36" s="1">
        <v>227409</v>
      </c>
    </row>
    <row r="37" spans="1:25" x14ac:dyDescent="0.2">
      <c r="A37" t="s">
        <v>829</v>
      </c>
      <c r="B37" t="s">
        <v>830</v>
      </c>
      <c r="H37">
        <f t="shared" si="0"/>
        <v>1</v>
      </c>
      <c r="I37" s="1">
        <v>44800</v>
      </c>
      <c r="K37">
        <v>1997</v>
      </c>
      <c r="M37" t="s">
        <v>768</v>
      </c>
      <c r="O37">
        <v>0.71</v>
      </c>
      <c r="P37">
        <v>1.2</v>
      </c>
      <c r="R37">
        <v>1.19</v>
      </c>
      <c r="S37" s="1">
        <v>50839</v>
      </c>
      <c r="U37" s="1">
        <v>62207</v>
      </c>
      <c r="V37">
        <v>1</v>
      </c>
      <c r="X37" s="1">
        <v>44800</v>
      </c>
      <c r="Y37" s="1">
        <v>61007</v>
      </c>
    </row>
    <row r="39" spans="1:25" x14ac:dyDescent="0.2">
      <c r="A39" t="s">
        <v>831</v>
      </c>
      <c r="H39" t="s">
        <v>832</v>
      </c>
      <c r="I39" s="1">
        <v>14472363</v>
      </c>
      <c r="R39">
        <v>1.83</v>
      </c>
      <c r="S39" s="1">
        <v>14636094</v>
      </c>
      <c r="U39" s="1">
        <v>26843763</v>
      </c>
      <c r="Y39" s="1">
        <v>26775812</v>
      </c>
    </row>
  </sheetData>
  <mergeCells count="2">
    <mergeCell ref="A1:I1"/>
    <mergeCell ref="K1:U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9E22-3ECD-F048-A0D9-466AF06ADDF9}">
  <dimension ref="A1:S17"/>
  <sheetViews>
    <sheetView workbookViewId="0">
      <selection activeCell="H44" sqref="H4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</row>
    <row r="2" spans="1:1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</row>
    <row r="3" spans="1:1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2</v>
      </c>
      <c r="H3" s="1">
        <v>5397000</v>
      </c>
      <c r="I3">
        <v>2009</v>
      </c>
      <c r="J3" t="s">
        <v>27</v>
      </c>
      <c r="K3">
        <v>94697</v>
      </c>
      <c r="L3" t="s">
        <v>28</v>
      </c>
      <c r="M3">
        <v>0.6</v>
      </c>
      <c r="N3">
        <v>1.7</v>
      </c>
      <c r="O3">
        <v>104167</v>
      </c>
      <c r="P3">
        <v>1.1000000000000001</v>
      </c>
      <c r="Q3" s="1">
        <v>5714628</v>
      </c>
      <c r="R3" s="1">
        <v>5752952</v>
      </c>
      <c r="S3" s="1">
        <v>9780018</v>
      </c>
    </row>
    <row r="4" spans="1:19" x14ac:dyDescent="0.2">
      <c r="A4" t="s">
        <v>29</v>
      </c>
      <c r="B4" t="s">
        <v>30</v>
      </c>
      <c r="C4" t="s">
        <v>23</v>
      </c>
      <c r="D4" t="s">
        <v>31</v>
      </c>
      <c r="E4" t="s">
        <v>32</v>
      </c>
      <c r="F4" t="s">
        <v>26</v>
      </c>
      <c r="G4">
        <v>2</v>
      </c>
      <c r="H4" t="s">
        <v>33</v>
      </c>
    </row>
    <row r="5" spans="1:19" x14ac:dyDescent="0.2">
      <c r="A5" t="s">
        <v>34</v>
      </c>
      <c r="B5" t="s">
        <v>35</v>
      </c>
      <c r="C5" t="s">
        <v>23</v>
      </c>
      <c r="D5" t="s">
        <v>36</v>
      </c>
      <c r="E5" t="s">
        <v>37</v>
      </c>
      <c r="F5" t="s">
        <v>26</v>
      </c>
      <c r="G5">
        <v>1</v>
      </c>
      <c r="H5" t="s">
        <v>33</v>
      </c>
    </row>
    <row r="6" spans="1:19" x14ac:dyDescent="0.2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26</v>
      </c>
      <c r="G6">
        <v>2</v>
      </c>
      <c r="H6" s="1">
        <v>3046000</v>
      </c>
      <c r="I6">
        <v>2009</v>
      </c>
      <c r="J6" t="s">
        <v>27</v>
      </c>
      <c r="K6">
        <v>94697</v>
      </c>
      <c r="L6" t="s">
        <v>28</v>
      </c>
      <c r="M6">
        <v>0.6</v>
      </c>
      <c r="N6">
        <v>1.7</v>
      </c>
      <c r="O6">
        <v>104167</v>
      </c>
      <c r="P6">
        <v>1.1000000000000001</v>
      </c>
      <c r="Q6" s="1">
        <v>3225265</v>
      </c>
      <c r="R6" s="1">
        <v>3246895</v>
      </c>
      <c r="S6" s="1">
        <v>5519721</v>
      </c>
    </row>
    <row r="7" spans="1:19" x14ac:dyDescent="0.2">
      <c r="A7" t="s">
        <v>43</v>
      </c>
      <c r="B7" t="s">
        <v>44</v>
      </c>
      <c r="C7" t="s">
        <v>23</v>
      </c>
      <c r="D7" t="s">
        <v>45</v>
      </c>
      <c r="E7" t="s">
        <v>46</v>
      </c>
      <c r="F7" t="s">
        <v>26</v>
      </c>
      <c r="G7">
        <v>2</v>
      </c>
      <c r="H7" t="s">
        <v>33</v>
      </c>
    </row>
    <row r="8" spans="1:19" x14ac:dyDescent="0.2">
      <c r="A8" t="s">
        <v>47</v>
      </c>
      <c r="B8" t="s">
        <v>30</v>
      </c>
      <c r="C8" t="s">
        <v>23</v>
      </c>
      <c r="D8" t="s">
        <v>48</v>
      </c>
      <c r="E8" t="s">
        <v>37</v>
      </c>
      <c r="F8" t="s">
        <v>26</v>
      </c>
      <c r="G8">
        <v>1</v>
      </c>
      <c r="H8" t="s">
        <v>33</v>
      </c>
    </row>
    <row r="9" spans="1:19" x14ac:dyDescent="0.2">
      <c r="A9" t="s">
        <v>49</v>
      </c>
      <c r="B9" t="s">
        <v>50</v>
      </c>
      <c r="C9" t="s">
        <v>23</v>
      </c>
      <c r="D9" t="s">
        <v>51</v>
      </c>
      <c r="E9" t="s">
        <v>52</v>
      </c>
      <c r="F9" t="s">
        <v>26</v>
      </c>
      <c r="G9">
        <v>1</v>
      </c>
      <c r="H9" t="s">
        <v>33</v>
      </c>
    </row>
    <row r="10" spans="1:19" x14ac:dyDescent="0.2">
      <c r="A10" t="s">
        <v>53</v>
      </c>
      <c r="B10" t="s">
        <v>54</v>
      </c>
      <c r="C10" t="s">
        <v>23</v>
      </c>
      <c r="D10" t="s">
        <v>55</v>
      </c>
      <c r="E10" t="s">
        <v>56</v>
      </c>
      <c r="F10" t="s">
        <v>26</v>
      </c>
      <c r="G10">
        <v>1</v>
      </c>
      <c r="H10" t="s">
        <v>33</v>
      </c>
    </row>
    <row r="11" spans="1:19" x14ac:dyDescent="0.2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>
        <v>2</v>
      </c>
      <c r="H11" s="1">
        <v>110000</v>
      </c>
      <c r="I11">
        <v>2009</v>
      </c>
      <c r="J11" t="s">
        <v>27</v>
      </c>
      <c r="K11">
        <v>94697</v>
      </c>
      <c r="L11" t="s">
        <v>28</v>
      </c>
      <c r="M11">
        <v>0.6</v>
      </c>
      <c r="N11">
        <v>1.7</v>
      </c>
      <c r="O11">
        <v>104167</v>
      </c>
      <c r="P11">
        <v>1.1000000000000001</v>
      </c>
      <c r="Q11" s="1">
        <v>116474</v>
      </c>
      <c r="R11" s="1">
        <v>117255</v>
      </c>
      <c r="S11" s="1">
        <v>199333</v>
      </c>
    </row>
    <row r="12" spans="1:19" x14ac:dyDescent="0.2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26</v>
      </c>
      <c r="G12">
        <v>2</v>
      </c>
      <c r="H12" s="1">
        <v>484000</v>
      </c>
      <c r="I12">
        <v>2009</v>
      </c>
      <c r="J12" t="s">
        <v>27</v>
      </c>
      <c r="K12">
        <v>94697</v>
      </c>
      <c r="L12" t="s">
        <v>28</v>
      </c>
      <c r="M12">
        <v>0.6</v>
      </c>
      <c r="N12">
        <v>1.7</v>
      </c>
      <c r="O12">
        <v>104167</v>
      </c>
      <c r="P12">
        <v>1.1000000000000001</v>
      </c>
      <c r="Q12" s="1">
        <v>512485</v>
      </c>
      <c r="R12" s="1">
        <v>515922</v>
      </c>
      <c r="S12" s="1">
        <v>877067</v>
      </c>
    </row>
    <row r="13" spans="1:19" x14ac:dyDescent="0.2">
      <c r="A13" t="s">
        <v>67</v>
      </c>
      <c r="B13" t="s">
        <v>68</v>
      </c>
      <c r="C13" t="s">
        <v>64</v>
      </c>
      <c r="D13" t="s">
        <v>69</v>
      </c>
      <c r="E13" t="s">
        <v>32</v>
      </c>
      <c r="F13" t="s">
        <v>26</v>
      </c>
      <c r="G13">
        <v>2</v>
      </c>
      <c r="H13" s="1">
        <v>502000</v>
      </c>
      <c r="I13">
        <v>2009</v>
      </c>
      <c r="J13" t="s">
        <v>27</v>
      </c>
      <c r="K13">
        <v>94697</v>
      </c>
      <c r="L13" t="s">
        <v>28</v>
      </c>
      <c r="M13">
        <v>0.6</v>
      </c>
      <c r="N13">
        <v>1.7</v>
      </c>
      <c r="O13">
        <v>104167</v>
      </c>
      <c r="P13">
        <v>1.1000000000000001</v>
      </c>
      <c r="Q13" s="1">
        <v>531544</v>
      </c>
      <c r="R13" s="1">
        <v>535109</v>
      </c>
      <c r="S13" s="1">
        <v>909685</v>
      </c>
    </row>
    <row r="14" spans="1:19" x14ac:dyDescent="0.2">
      <c r="A14" t="s">
        <v>70</v>
      </c>
      <c r="B14" t="s">
        <v>71</v>
      </c>
      <c r="C14" t="s">
        <v>72</v>
      </c>
      <c r="D14" t="s">
        <v>73</v>
      </c>
      <c r="F14" t="s">
        <v>61</v>
      </c>
      <c r="G14">
        <v>2</v>
      </c>
      <c r="H14" s="1">
        <v>3500000</v>
      </c>
      <c r="I14">
        <v>2009</v>
      </c>
      <c r="J14" t="s">
        <v>27</v>
      </c>
      <c r="K14">
        <v>94697</v>
      </c>
      <c r="L14" t="s">
        <v>28</v>
      </c>
      <c r="M14">
        <v>0.6</v>
      </c>
      <c r="N14">
        <v>1.7</v>
      </c>
      <c r="O14">
        <v>104167</v>
      </c>
      <c r="P14">
        <v>1.1000000000000001</v>
      </c>
      <c r="Q14" s="1">
        <v>3705984</v>
      </c>
      <c r="R14" s="1">
        <v>3730838</v>
      </c>
      <c r="S14" s="1">
        <v>6342424</v>
      </c>
    </row>
    <row r="15" spans="1:19" x14ac:dyDescent="0.2">
      <c r="A15" t="s">
        <v>74</v>
      </c>
      <c r="B15" t="s">
        <v>75</v>
      </c>
      <c r="C15" t="s">
        <v>76</v>
      </c>
      <c r="D15" t="s">
        <v>77</v>
      </c>
      <c r="F15" t="s">
        <v>26</v>
      </c>
      <c r="G15">
        <v>2</v>
      </c>
      <c r="H15" s="1">
        <v>10790</v>
      </c>
      <c r="I15">
        <v>2009</v>
      </c>
      <c r="J15" t="s">
        <v>27</v>
      </c>
      <c r="K15">
        <v>94697</v>
      </c>
      <c r="L15" t="s">
        <v>28</v>
      </c>
      <c r="M15">
        <v>0.6</v>
      </c>
      <c r="N15">
        <v>1.7</v>
      </c>
      <c r="O15">
        <v>104167</v>
      </c>
      <c r="P15">
        <v>1.1000000000000001</v>
      </c>
      <c r="Q15" s="1">
        <v>11425</v>
      </c>
      <c r="R15" s="1">
        <v>11502</v>
      </c>
      <c r="S15" s="1">
        <v>19553</v>
      </c>
    </row>
    <row r="16" spans="1:19" x14ac:dyDescent="0.2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26</v>
      </c>
      <c r="G16">
        <v>6</v>
      </c>
      <c r="H16" s="1">
        <v>279900</v>
      </c>
      <c r="I16">
        <v>2009</v>
      </c>
      <c r="J16" t="s">
        <v>27</v>
      </c>
      <c r="K16">
        <v>94697</v>
      </c>
      <c r="L16" t="s">
        <v>28</v>
      </c>
      <c r="M16">
        <v>0.6</v>
      </c>
      <c r="N16">
        <v>1.7</v>
      </c>
      <c r="O16">
        <v>104167</v>
      </c>
      <c r="P16">
        <v>1.1000000000000001</v>
      </c>
      <c r="Q16" s="1">
        <v>296373</v>
      </c>
      <c r="R16" s="1">
        <v>298360</v>
      </c>
      <c r="S16" s="1">
        <v>507213</v>
      </c>
    </row>
    <row r="17" spans="2:5" x14ac:dyDescent="0.2">
      <c r="B17" t="s">
        <v>83</v>
      </c>
      <c r="C17" s="1">
        <v>14114178</v>
      </c>
      <c r="D17" s="1">
        <v>14208831</v>
      </c>
      <c r="E17" s="1">
        <v>24155013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D69B-0338-B140-846F-3B21F6BDEB16}">
  <dimension ref="A1:S41"/>
  <sheetViews>
    <sheetView workbookViewId="0">
      <selection activeCell="L51" sqref="L51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</row>
    <row r="2" spans="1:1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</row>
    <row r="3" spans="1:19" x14ac:dyDescent="0.2">
      <c r="A3" t="s">
        <v>84</v>
      </c>
      <c r="B3" t="s">
        <v>85</v>
      </c>
      <c r="C3" t="s">
        <v>86</v>
      </c>
      <c r="D3" t="s">
        <v>87</v>
      </c>
      <c r="F3" t="s">
        <v>88</v>
      </c>
      <c r="G3">
        <v>1</v>
      </c>
      <c r="H3" s="1">
        <v>6000</v>
      </c>
      <c r="I3">
        <v>2009</v>
      </c>
      <c r="J3" t="s">
        <v>89</v>
      </c>
      <c r="K3">
        <v>136260</v>
      </c>
      <c r="L3" t="s">
        <v>28</v>
      </c>
      <c r="M3">
        <v>0.5</v>
      </c>
      <c r="N3">
        <v>1</v>
      </c>
      <c r="O3">
        <v>38801</v>
      </c>
      <c r="P3">
        <v>0.28000000000000003</v>
      </c>
      <c r="Q3" s="1">
        <v>3202</v>
      </c>
      <c r="R3" s="1">
        <v>3223</v>
      </c>
      <c r="S3" s="1">
        <v>3223</v>
      </c>
    </row>
    <row r="4" spans="1:19" x14ac:dyDescent="0.2">
      <c r="A4" t="s">
        <v>90</v>
      </c>
      <c r="B4" t="s">
        <v>91</v>
      </c>
      <c r="C4" t="s">
        <v>92</v>
      </c>
      <c r="D4" t="s">
        <v>93</v>
      </c>
      <c r="E4" t="s">
        <v>94</v>
      </c>
      <c r="F4" t="s">
        <v>95</v>
      </c>
      <c r="G4">
        <v>1</v>
      </c>
      <c r="H4" t="s">
        <v>33</v>
      </c>
    </row>
    <row r="5" spans="1:19" x14ac:dyDescent="0.2">
      <c r="A5" t="s">
        <v>96</v>
      </c>
      <c r="B5" t="s">
        <v>97</v>
      </c>
      <c r="C5" t="s">
        <v>98</v>
      </c>
      <c r="D5" t="s">
        <v>93</v>
      </c>
      <c r="E5" t="s">
        <v>94</v>
      </c>
      <c r="F5" t="s">
        <v>95</v>
      </c>
      <c r="G5">
        <v>3</v>
      </c>
      <c r="H5" s="1">
        <v>90000</v>
      </c>
      <c r="I5">
        <v>2009</v>
      </c>
      <c r="J5" t="s">
        <v>99</v>
      </c>
      <c r="K5">
        <v>252891</v>
      </c>
      <c r="L5" t="s">
        <v>28</v>
      </c>
      <c r="M5">
        <v>0.5</v>
      </c>
      <c r="N5">
        <v>1.5</v>
      </c>
      <c r="O5">
        <v>278194</v>
      </c>
      <c r="P5">
        <v>1.1000000000000001</v>
      </c>
      <c r="Q5" s="1">
        <v>94395</v>
      </c>
      <c r="R5" s="1">
        <v>95028</v>
      </c>
      <c r="S5" s="1">
        <v>142542</v>
      </c>
    </row>
    <row r="6" spans="1:19" x14ac:dyDescent="0.2">
      <c r="A6" t="s">
        <v>100</v>
      </c>
      <c r="B6" t="s">
        <v>101</v>
      </c>
      <c r="C6" t="s">
        <v>98</v>
      </c>
      <c r="D6" t="s">
        <v>93</v>
      </c>
      <c r="E6" t="s">
        <v>94</v>
      </c>
      <c r="F6" t="s">
        <v>95</v>
      </c>
      <c r="G6">
        <v>3</v>
      </c>
      <c r="H6" s="1">
        <v>90000</v>
      </c>
      <c r="I6">
        <v>2009</v>
      </c>
      <c r="J6" t="s">
        <v>102</v>
      </c>
      <c r="K6">
        <v>264116</v>
      </c>
      <c r="L6" t="s">
        <v>28</v>
      </c>
      <c r="M6">
        <v>0.5</v>
      </c>
      <c r="N6">
        <v>1.5</v>
      </c>
      <c r="O6">
        <v>292060</v>
      </c>
      <c r="P6">
        <v>1.1100000000000001</v>
      </c>
      <c r="Q6" s="1">
        <v>94641</v>
      </c>
      <c r="R6" s="1">
        <v>95276</v>
      </c>
      <c r="S6" s="1">
        <v>142914</v>
      </c>
    </row>
    <row r="7" spans="1:19" x14ac:dyDescent="0.2">
      <c r="A7" t="s">
        <v>103</v>
      </c>
      <c r="B7" t="s">
        <v>104</v>
      </c>
      <c r="C7" t="s">
        <v>105</v>
      </c>
      <c r="E7" t="s">
        <v>52</v>
      </c>
      <c r="F7" t="s">
        <v>106</v>
      </c>
      <c r="G7">
        <v>1</v>
      </c>
      <c r="H7" s="1">
        <v>21900</v>
      </c>
      <c r="I7">
        <v>2009</v>
      </c>
      <c r="J7" t="s">
        <v>107</v>
      </c>
      <c r="K7">
        <v>410369</v>
      </c>
      <c r="L7" t="s">
        <v>28</v>
      </c>
      <c r="M7">
        <v>0.5</v>
      </c>
      <c r="N7">
        <v>1.5</v>
      </c>
      <c r="O7">
        <v>429554</v>
      </c>
      <c r="P7">
        <v>1.05</v>
      </c>
      <c r="Q7" s="1">
        <v>22406</v>
      </c>
      <c r="R7" s="1">
        <v>22556</v>
      </c>
      <c r="S7" s="1">
        <v>33835</v>
      </c>
    </row>
    <row r="8" spans="1:19" x14ac:dyDescent="0.2">
      <c r="A8" t="s">
        <v>108</v>
      </c>
      <c r="B8" t="s">
        <v>109</v>
      </c>
      <c r="C8" t="s">
        <v>86</v>
      </c>
      <c r="F8" t="s">
        <v>106</v>
      </c>
      <c r="G8">
        <v>1</v>
      </c>
      <c r="H8" s="1">
        <v>5000</v>
      </c>
      <c r="I8">
        <v>2009</v>
      </c>
      <c r="J8" t="s">
        <v>110</v>
      </c>
      <c r="K8">
        <v>157478</v>
      </c>
      <c r="L8" t="s">
        <v>28</v>
      </c>
      <c r="M8">
        <v>0.5</v>
      </c>
      <c r="N8">
        <v>1</v>
      </c>
      <c r="O8">
        <v>151360</v>
      </c>
      <c r="P8">
        <v>0.96</v>
      </c>
      <c r="Q8" s="1">
        <v>4902</v>
      </c>
      <c r="R8" s="1">
        <v>4935</v>
      </c>
      <c r="S8" s="1">
        <v>4935</v>
      </c>
    </row>
    <row r="9" spans="1:19" x14ac:dyDescent="0.2">
      <c r="A9" t="s">
        <v>111</v>
      </c>
      <c r="B9" t="s">
        <v>112</v>
      </c>
      <c r="C9" t="s">
        <v>105</v>
      </c>
      <c r="E9" t="s">
        <v>37</v>
      </c>
      <c r="F9" t="s">
        <v>106</v>
      </c>
      <c r="G9">
        <v>1</v>
      </c>
      <c r="H9" s="1">
        <v>0</v>
      </c>
      <c r="I9">
        <v>2009</v>
      </c>
      <c r="J9" t="s">
        <v>113</v>
      </c>
      <c r="K9">
        <v>410846</v>
      </c>
      <c r="L9" t="s">
        <v>28</v>
      </c>
      <c r="M9">
        <v>0.5</v>
      </c>
      <c r="N9">
        <v>1.5</v>
      </c>
      <c r="O9">
        <v>429554</v>
      </c>
      <c r="P9">
        <v>1.05</v>
      </c>
      <c r="Q9" s="1">
        <v>0</v>
      </c>
      <c r="R9" s="1">
        <v>0</v>
      </c>
      <c r="S9" s="1">
        <v>0</v>
      </c>
    </row>
    <row r="10" spans="1:19" x14ac:dyDescent="0.2">
      <c r="A10" t="s">
        <v>114</v>
      </c>
      <c r="B10" t="s">
        <v>22</v>
      </c>
      <c r="C10" t="s">
        <v>92</v>
      </c>
      <c r="D10" t="s">
        <v>115</v>
      </c>
      <c r="E10" t="s">
        <v>116</v>
      </c>
      <c r="F10" t="s">
        <v>117</v>
      </c>
      <c r="G10">
        <v>2</v>
      </c>
      <c r="H10" t="s">
        <v>33</v>
      </c>
    </row>
    <row r="11" spans="1:19" x14ac:dyDescent="0.2">
      <c r="A11" t="s">
        <v>118</v>
      </c>
      <c r="B11" t="s">
        <v>119</v>
      </c>
      <c r="C11" t="s">
        <v>92</v>
      </c>
      <c r="D11" t="s">
        <v>115</v>
      </c>
      <c r="E11" t="s">
        <v>116</v>
      </c>
      <c r="F11" t="s">
        <v>117</v>
      </c>
      <c r="G11">
        <v>2</v>
      </c>
      <c r="H11" t="s">
        <v>33</v>
      </c>
    </row>
    <row r="12" spans="1:19" x14ac:dyDescent="0.2">
      <c r="A12" t="s">
        <v>120</v>
      </c>
      <c r="B12" t="s">
        <v>121</v>
      </c>
      <c r="C12" t="s">
        <v>92</v>
      </c>
      <c r="D12" t="s">
        <v>115</v>
      </c>
      <c r="E12" t="s">
        <v>116</v>
      </c>
      <c r="F12" t="s">
        <v>117</v>
      </c>
      <c r="G12">
        <v>4</v>
      </c>
      <c r="H12" t="s">
        <v>33</v>
      </c>
    </row>
    <row r="13" spans="1:19" x14ac:dyDescent="0.2">
      <c r="A13" t="s">
        <v>122</v>
      </c>
      <c r="B13" t="s">
        <v>123</v>
      </c>
      <c r="C13" t="s">
        <v>92</v>
      </c>
      <c r="D13" t="s">
        <v>124</v>
      </c>
      <c r="E13" t="s">
        <v>125</v>
      </c>
      <c r="F13" t="s">
        <v>126</v>
      </c>
      <c r="G13">
        <v>1</v>
      </c>
      <c r="H13" t="s">
        <v>33</v>
      </c>
    </row>
    <row r="14" spans="1:19" x14ac:dyDescent="0.2">
      <c r="A14" t="s">
        <v>127</v>
      </c>
      <c r="B14" t="s">
        <v>128</v>
      </c>
      <c r="C14" t="s">
        <v>92</v>
      </c>
      <c r="D14" t="s">
        <v>129</v>
      </c>
      <c r="E14" t="s">
        <v>116</v>
      </c>
      <c r="F14" t="s">
        <v>126</v>
      </c>
      <c r="G14">
        <v>2</v>
      </c>
      <c r="H14" t="s">
        <v>33</v>
      </c>
    </row>
    <row r="15" spans="1:19" x14ac:dyDescent="0.2">
      <c r="A15" t="s">
        <v>130</v>
      </c>
      <c r="B15" t="s">
        <v>131</v>
      </c>
      <c r="C15" t="s">
        <v>92</v>
      </c>
      <c r="D15" t="s">
        <v>132</v>
      </c>
      <c r="E15" t="s">
        <v>133</v>
      </c>
      <c r="F15" t="s">
        <v>134</v>
      </c>
      <c r="G15">
        <v>1</v>
      </c>
      <c r="H15" t="s">
        <v>33</v>
      </c>
    </row>
    <row r="16" spans="1:19" x14ac:dyDescent="0.2">
      <c r="A16" t="s">
        <v>135</v>
      </c>
      <c r="B16" t="s">
        <v>136</v>
      </c>
      <c r="C16" t="s">
        <v>92</v>
      </c>
      <c r="D16" t="s">
        <v>137</v>
      </c>
      <c r="E16" t="s">
        <v>138</v>
      </c>
      <c r="F16" t="s">
        <v>134</v>
      </c>
      <c r="G16">
        <v>1</v>
      </c>
      <c r="H16" t="s">
        <v>33</v>
      </c>
    </row>
    <row r="17" spans="1:19" x14ac:dyDescent="0.2">
      <c r="A17" t="s">
        <v>139</v>
      </c>
      <c r="B17" t="s">
        <v>140</v>
      </c>
      <c r="C17" t="s">
        <v>141</v>
      </c>
      <c r="D17" t="s">
        <v>142</v>
      </c>
      <c r="F17" t="s">
        <v>143</v>
      </c>
      <c r="G17">
        <v>1</v>
      </c>
      <c r="H17" s="1">
        <v>92000</v>
      </c>
      <c r="I17">
        <v>2010</v>
      </c>
      <c r="J17" t="s">
        <v>144</v>
      </c>
      <c r="K17">
        <v>-8</v>
      </c>
      <c r="L17" t="s">
        <v>145</v>
      </c>
      <c r="M17">
        <v>0.7</v>
      </c>
      <c r="N17">
        <v>2.2000000000000002</v>
      </c>
      <c r="O17">
        <v>-9</v>
      </c>
      <c r="P17">
        <v>1.1499999999999999</v>
      </c>
      <c r="Q17" s="1">
        <v>101545</v>
      </c>
      <c r="R17" s="1">
        <v>97091</v>
      </c>
      <c r="S17" s="1">
        <v>213600</v>
      </c>
    </row>
    <row r="18" spans="1:19" x14ac:dyDescent="0.2">
      <c r="A18" t="s">
        <v>146</v>
      </c>
      <c r="B18" t="s">
        <v>147</v>
      </c>
      <c r="C18" t="s">
        <v>141</v>
      </c>
      <c r="D18" t="s">
        <v>148</v>
      </c>
      <c r="F18" t="s">
        <v>143</v>
      </c>
      <c r="G18">
        <v>1</v>
      </c>
      <c r="H18" s="1">
        <v>34000</v>
      </c>
      <c r="I18">
        <v>2009</v>
      </c>
      <c r="J18" t="s">
        <v>149</v>
      </c>
      <c r="K18">
        <v>2</v>
      </c>
      <c r="L18" t="s">
        <v>145</v>
      </c>
      <c r="M18">
        <v>0.7</v>
      </c>
      <c r="N18">
        <v>2.2000000000000002</v>
      </c>
      <c r="O18">
        <v>7</v>
      </c>
      <c r="P18">
        <v>3.98</v>
      </c>
      <c r="Q18" s="1">
        <v>89346</v>
      </c>
      <c r="R18" s="1">
        <v>89946</v>
      </c>
      <c r="S18" s="1">
        <v>197880</v>
      </c>
    </row>
    <row r="19" spans="1:19" x14ac:dyDescent="0.2">
      <c r="A19" t="s">
        <v>150</v>
      </c>
      <c r="B19" t="s">
        <v>151</v>
      </c>
      <c r="C19" t="s">
        <v>92</v>
      </c>
      <c r="D19" t="s">
        <v>152</v>
      </c>
      <c r="E19" t="s">
        <v>116</v>
      </c>
      <c r="F19" t="s">
        <v>153</v>
      </c>
      <c r="G19">
        <v>2</v>
      </c>
      <c r="H19" t="s">
        <v>33</v>
      </c>
    </row>
    <row r="20" spans="1:19" x14ac:dyDescent="0.2">
      <c r="A20" t="s">
        <v>154</v>
      </c>
      <c r="B20" t="s">
        <v>155</v>
      </c>
      <c r="C20" t="s">
        <v>92</v>
      </c>
      <c r="E20" t="s">
        <v>156</v>
      </c>
      <c r="F20" t="s">
        <v>95</v>
      </c>
      <c r="G20">
        <v>2</v>
      </c>
      <c r="H20" t="s">
        <v>33</v>
      </c>
    </row>
    <row r="21" spans="1:19" x14ac:dyDescent="0.2">
      <c r="A21" t="s">
        <v>157</v>
      </c>
      <c r="B21" t="s">
        <v>158</v>
      </c>
      <c r="C21" t="s">
        <v>92</v>
      </c>
      <c r="E21" t="s">
        <v>159</v>
      </c>
      <c r="F21" t="s">
        <v>95</v>
      </c>
      <c r="G21">
        <v>2</v>
      </c>
      <c r="H21" t="s">
        <v>33</v>
      </c>
    </row>
    <row r="22" spans="1:19" x14ac:dyDescent="0.2">
      <c r="E22" t="s">
        <v>160</v>
      </c>
    </row>
    <row r="23" spans="1:19" x14ac:dyDescent="0.2">
      <c r="A23" t="s">
        <v>161</v>
      </c>
      <c r="B23" t="s">
        <v>162</v>
      </c>
      <c r="C23" t="s">
        <v>92</v>
      </c>
      <c r="D23" t="s">
        <v>163</v>
      </c>
      <c r="E23" t="s">
        <v>164</v>
      </c>
      <c r="F23" t="s">
        <v>126</v>
      </c>
      <c r="G23">
        <v>1</v>
      </c>
      <c r="H23" t="s">
        <v>33</v>
      </c>
    </row>
    <row r="24" spans="1:19" x14ac:dyDescent="0.2">
      <c r="A24" t="s">
        <v>165</v>
      </c>
      <c r="B24" t="s">
        <v>155</v>
      </c>
      <c r="C24" t="s">
        <v>92</v>
      </c>
      <c r="E24" t="s">
        <v>156</v>
      </c>
      <c r="F24" t="s">
        <v>134</v>
      </c>
      <c r="G24">
        <v>2</v>
      </c>
      <c r="H24" t="s">
        <v>33</v>
      </c>
    </row>
    <row r="25" spans="1:19" x14ac:dyDescent="0.2">
      <c r="A25" t="s">
        <v>166</v>
      </c>
      <c r="B25" t="s">
        <v>158</v>
      </c>
      <c r="C25" t="s">
        <v>92</v>
      </c>
      <c r="E25" t="s">
        <v>167</v>
      </c>
      <c r="F25" t="s">
        <v>134</v>
      </c>
      <c r="G25">
        <v>2</v>
      </c>
      <c r="H25" t="s">
        <v>33</v>
      </c>
    </row>
    <row r="26" spans="1:19" x14ac:dyDescent="0.2">
      <c r="E26" t="s">
        <v>160</v>
      </c>
    </row>
    <row r="27" spans="1:19" x14ac:dyDescent="0.2">
      <c r="A27" t="s">
        <v>168</v>
      </c>
      <c r="B27" t="s">
        <v>169</v>
      </c>
      <c r="C27" t="s">
        <v>92</v>
      </c>
      <c r="D27" t="s">
        <v>170</v>
      </c>
      <c r="F27" t="s">
        <v>134</v>
      </c>
      <c r="G27">
        <v>3</v>
      </c>
      <c r="H27" s="1">
        <v>19812400</v>
      </c>
      <c r="I27">
        <v>2009</v>
      </c>
      <c r="J27" t="s">
        <v>171</v>
      </c>
      <c r="K27">
        <v>83333</v>
      </c>
      <c r="L27" t="s">
        <v>28</v>
      </c>
      <c r="M27">
        <v>0.6</v>
      </c>
      <c r="N27">
        <v>1.5</v>
      </c>
      <c r="O27">
        <v>83333</v>
      </c>
      <c r="P27">
        <v>1</v>
      </c>
      <c r="Q27" s="1">
        <v>19812448</v>
      </c>
      <c r="R27" s="1">
        <v>19945315</v>
      </c>
      <c r="S27" s="1">
        <v>29917973</v>
      </c>
    </row>
    <row r="28" spans="1:19" x14ac:dyDescent="0.2">
      <c r="A28" t="s">
        <v>172</v>
      </c>
      <c r="B28" t="s">
        <v>173</v>
      </c>
      <c r="C28" t="s">
        <v>174</v>
      </c>
      <c r="D28" t="s">
        <v>175</v>
      </c>
      <c r="F28" t="s">
        <v>176</v>
      </c>
      <c r="G28">
        <v>1</v>
      </c>
      <c r="H28" s="1">
        <v>8000</v>
      </c>
      <c r="I28">
        <v>2009</v>
      </c>
      <c r="J28" t="s">
        <v>177</v>
      </c>
      <c r="K28">
        <v>3720</v>
      </c>
      <c r="L28" t="s">
        <v>28</v>
      </c>
      <c r="M28">
        <v>0.8</v>
      </c>
      <c r="N28">
        <v>2.2999999999999998</v>
      </c>
      <c r="O28">
        <v>1981</v>
      </c>
      <c r="P28">
        <v>0.53</v>
      </c>
      <c r="Q28" s="1">
        <v>4832</v>
      </c>
      <c r="R28" s="1">
        <v>4864</v>
      </c>
      <c r="S28" s="1">
        <v>11187</v>
      </c>
    </row>
    <row r="29" spans="1:19" x14ac:dyDescent="0.2">
      <c r="A29" t="s">
        <v>178</v>
      </c>
      <c r="B29" t="s">
        <v>179</v>
      </c>
      <c r="C29" t="s">
        <v>180</v>
      </c>
      <c r="D29" t="s">
        <v>181</v>
      </c>
      <c r="E29">
        <v>125</v>
      </c>
      <c r="F29" t="s">
        <v>176</v>
      </c>
      <c r="G29">
        <v>1</v>
      </c>
      <c r="H29" s="1">
        <v>25635</v>
      </c>
      <c r="I29">
        <v>2010</v>
      </c>
      <c r="J29" t="s">
        <v>102</v>
      </c>
      <c r="K29">
        <v>292407</v>
      </c>
      <c r="L29" t="s">
        <v>28</v>
      </c>
      <c r="M29">
        <v>0.8</v>
      </c>
      <c r="N29">
        <v>2.2999999999999998</v>
      </c>
      <c r="O29">
        <v>292060</v>
      </c>
      <c r="P29">
        <v>1</v>
      </c>
      <c r="Q29" s="1">
        <v>25611</v>
      </c>
      <c r="R29" s="1">
        <v>24487</v>
      </c>
      <c r="S29" s="1">
        <v>56321</v>
      </c>
    </row>
    <row r="30" spans="1:19" x14ac:dyDescent="0.2">
      <c r="A30" t="s">
        <v>182</v>
      </c>
      <c r="B30" t="s">
        <v>183</v>
      </c>
      <c r="C30" t="s">
        <v>180</v>
      </c>
      <c r="D30" t="s">
        <v>184</v>
      </c>
      <c r="E30">
        <v>75</v>
      </c>
      <c r="F30" t="s">
        <v>176</v>
      </c>
      <c r="G30">
        <v>1</v>
      </c>
      <c r="H30" s="1">
        <v>30000</v>
      </c>
      <c r="I30">
        <v>2009</v>
      </c>
      <c r="J30" t="s">
        <v>99</v>
      </c>
      <c r="K30">
        <v>204390</v>
      </c>
      <c r="L30" t="s">
        <v>28</v>
      </c>
      <c r="M30">
        <v>0.8</v>
      </c>
      <c r="N30">
        <v>2.2999999999999998</v>
      </c>
      <c r="O30">
        <v>278194</v>
      </c>
      <c r="P30">
        <v>1.36</v>
      </c>
      <c r="Q30" s="1">
        <v>38391</v>
      </c>
      <c r="R30" s="1">
        <v>38649</v>
      </c>
      <c r="S30" s="1">
        <v>88892</v>
      </c>
    </row>
    <row r="31" spans="1:19" x14ac:dyDescent="0.2">
      <c r="A31" t="s">
        <v>185</v>
      </c>
      <c r="B31" t="s">
        <v>186</v>
      </c>
      <c r="C31" t="s">
        <v>180</v>
      </c>
      <c r="D31" t="s">
        <v>184</v>
      </c>
      <c r="E31">
        <v>75</v>
      </c>
      <c r="F31" t="s">
        <v>176</v>
      </c>
      <c r="G31">
        <v>1</v>
      </c>
      <c r="H31" s="1">
        <v>17408</v>
      </c>
      <c r="I31">
        <v>2010</v>
      </c>
      <c r="J31" t="s">
        <v>187</v>
      </c>
      <c r="K31">
        <v>292407</v>
      </c>
      <c r="L31" t="s">
        <v>28</v>
      </c>
      <c r="M31">
        <v>0.8</v>
      </c>
      <c r="N31">
        <v>2.2999999999999998</v>
      </c>
      <c r="O31">
        <v>292060</v>
      </c>
      <c r="P31">
        <v>1</v>
      </c>
      <c r="Q31" s="1">
        <v>17391</v>
      </c>
      <c r="R31" s="1">
        <v>16629</v>
      </c>
      <c r="S31" s="1">
        <v>38246</v>
      </c>
    </row>
    <row r="32" spans="1:19" x14ac:dyDescent="0.2">
      <c r="A32" t="s">
        <v>188</v>
      </c>
      <c r="B32" t="s">
        <v>189</v>
      </c>
      <c r="C32" t="s">
        <v>174</v>
      </c>
      <c r="D32" t="s">
        <v>190</v>
      </c>
      <c r="E32">
        <v>100</v>
      </c>
      <c r="F32" t="s">
        <v>176</v>
      </c>
      <c r="G32">
        <v>1</v>
      </c>
      <c r="H32" s="1">
        <v>22500</v>
      </c>
      <c r="I32">
        <v>2009</v>
      </c>
      <c r="J32" t="s">
        <v>107</v>
      </c>
      <c r="K32">
        <v>402194</v>
      </c>
      <c r="L32" t="s">
        <v>28</v>
      </c>
      <c r="M32">
        <v>0.8</v>
      </c>
      <c r="N32">
        <v>2.2999999999999998</v>
      </c>
      <c r="O32">
        <v>429554</v>
      </c>
      <c r="P32">
        <v>1.07</v>
      </c>
      <c r="Q32" s="1">
        <v>23716</v>
      </c>
      <c r="R32" s="1">
        <v>23875</v>
      </c>
      <c r="S32" s="1">
        <v>54913</v>
      </c>
    </row>
    <row r="33" spans="1:19" x14ac:dyDescent="0.2">
      <c r="A33" t="s">
        <v>191</v>
      </c>
      <c r="B33" t="s">
        <v>192</v>
      </c>
      <c r="C33" t="s">
        <v>174</v>
      </c>
      <c r="D33" t="s">
        <v>193</v>
      </c>
      <c r="E33">
        <v>60</v>
      </c>
      <c r="F33" t="s">
        <v>176</v>
      </c>
      <c r="G33">
        <v>1</v>
      </c>
      <c r="H33" s="1">
        <v>0</v>
      </c>
      <c r="I33">
        <v>2009</v>
      </c>
      <c r="J33" t="s">
        <v>113</v>
      </c>
      <c r="K33">
        <v>402194</v>
      </c>
      <c r="L33" t="s">
        <v>28</v>
      </c>
      <c r="M33">
        <v>0.8</v>
      </c>
      <c r="N33">
        <v>2.2999999999999998</v>
      </c>
      <c r="O33">
        <v>429554</v>
      </c>
      <c r="P33">
        <v>1.07</v>
      </c>
      <c r="Q33" s="1">
        <v>0</v>
      </c>
      <c r="R33" s="1">
        <v>0</v>
      </c>
      <c r="S33" s="1">
        <v>0</v>
      </c>
    </row>
    <row r="34" spans="1:19" x14ac:dyDescent="0.2">
      <c r="A34" t="s">
        <v>194</v>
      </c>
      <c r="B34" t="s">
        <v>195</v>
      </c>
      <c r="C34" t="s">
        <v>196</v>
      </c>
      <c r="H34" s="1">
        <v>35000000</v>
      </c>
      <c r="I34">
        <v>2009</v>
      </c>
      <c r="J34" t="s">
        <v>197</v>
      </c>
      <c r="K34">
        <v>39000</v>
      </c>
      <c r="L34" t="s">
        <v>28</v>
      </c>
      <c r="M34">
        <v>0.7</v>
      </c>
      <c r="N34">
        <v>1.7</v>
      </c>
      <c r="O34">
        <v>0</v>
      </c>
      <c r="P34">
        <v>0</v>
      </c>
      <c r="Q34" s="1">
        <v>0</v>
      </c>
      <c r="R34" s="1">
        <v>0</v>
      </c>
      <c r="S34" s="1">
        <v>0</v>
      </c>
    </row>
    <row r="35" spans="1:19" x14ac:dyDescent="0.2">
      <c r="A35" t="s">
        <v>198</v>
      </c>
      <c r="B35" t="s">
        <v>199</v>
      </c>
      <c r="D35" t="s">
        <v>200</v>
      </c>
      <c r="F35" t="s">
        <v>201</v>
      </c>
      <c r="G35">
        <v>1</v>
      </c>
      <c r="H35" s="1">
        <v>6210</v>
      </c>
      <c r="I35">
        <v>2010</v>
      </c>
      <c r="J35" t="s">
        <v>177</v>
      </c>
      <c r="K35">
        <v>1981</v>
      </c>
      <c r="L35" t="s">
        <v>28</v>
      </c>
      <c r="M35">
        <v>0.7</v>
      </c>
      <c r="N35">
        <v>3</v>
      </c>
      <c r="O35">
        <v>1981</v>
      </c>
      <c r="P35">
        <v>1</v>
      </c>
      <c r="Q35" s="1">
        <v>6209</v>
      </c>
      <c r="R35" s="1">
        <v>5937</v>
      </c>
      <c r="S35" s="1">
        <v>17810</v>
      </c>
    </row>
    <row r="36" spans="1:19" x14ac:dyDescent="0.2">
      <c r="A36" t="s">
        <v>202</v>
      </c>
      <c r="B36" t="s">
        <v>203</v>
      </c>
      <c r="C36" t="s">
        <v>92</v>
      </c>
      <c r="D36" t="s">
        <v>204</v>
      </c>
      <c r="F36" t="s">
        <v>205</v>
      </c>
      <c r="G36">
        <v>1</v>
      </c>
      <c r="H36" t="s">
        <v>33</v>
      </c>
    </row>
    <row r="37" spans="1:19" x14ac:dyDescent="0.2">
      <c r="A37" t="s">
        <v>206</v>
      </c>
      <c r="B37" t="s">
        <v>207</v>
      </c>
      <c r="D37" t="s">
        <v>208</v>
      </c>
      <c r="F37" t="s">
        <v>205</v>
      </c>
      <c r="G37">
        <v>1</v>
      </c>
      <c r="H37" s="1">
        <v>511000</v>
      </c>
      <c r="I37">
        <v>2009</v>
      </c>
      <c r="J37" t="s">
        <v>187</v>
      </c>
      <c r="K37">
        <v>264116</v>
      </c>
      <c r="L37" t="s">
        <v>28</v>
      </c>
      <c r="M37">
        <v>0.7</v>
      </c>
      <c r="N37">
        <v>2</v>
      </c>
      <c r="O37">
        <v>292060</v>
      </c>
      <c r="P37">
        <v>1.1100000000000001</v>
      </c>
      <c r="Q37" s="1">
        <v>548271</v>
      </c>
      <c r="R37" s="1">
        <v>551948</v>
      </c>
      <c r="S37" s="1">
        <v>1103895</v>
      </c>
    </row>
    <row r="38" spans="1:19" x14ac:dyDescent="0.2">
      <c r="A38" t="s">
        <v>209</v>
      </c>
      <c r="B38" t="s">
        <v>210</v>
      </c>
      <c r="D38" t="s">
        <v>211</v>
      </c>
      <c r="F38" t="s">
        <v>205</v>
      </c>
      <c r="G38">
        <v>1</v>
      </c>
      <c r="H38" s="1">
        <v>203000</v>
      </c>
      <c r="I38">
        <v>2009</v>
      </c>
      <c r="J38" t="s">
        <v>187</v>
      </c>
      <c r="K38">
        <v>264116</v>
      </c>
      <c r="L38" t="s">
        <v>28</v>
      </c>
      <c r="M38">
        <v>0.7</v>
      </c>
      <c r="N38">
        <v>2</v>
      </c>
      <c r="O38">
        <v>292060</v>
      </c>
      <c r="P38">
        <v>1.1100000000000001</v>
      </c>
      <c r="Q38" s="1">
        <v>217806</v>
      </c>
      <c r="R38" s="1">
        <v>219267</v>
      </c>
      <c r="S38" s="1">
        <v>438534</v>
      </c>
    </row>
    <row r="39" spans="1:19" x14ac:dyDescent="0.2">
      <c r="A39" t="s">
        <v>212</v>
      </c>
      <c r="B39" t="s">
        <v>213</v>
      </c>
      <c r="D39" t="s">
        <v>214</v>
      </c>
      <c r="F39" t="s">
        <v>88</v>
      </c>
      <c r="G39">
        <v>1</v>
      </c>
      <c r="H39" s="1">
        <v>236000</v>
      </c>
      <c r="I39">
        <v>2009</v>
      </c>
      <c r="J39" t="s">
        <v>107</v>
      </c>
      <c r="K39">
        <v>410369</v>
      </c>
      <c r="L39" t="s">
        <v>28</v>
      </c>
      <c r="M39">
        <v>0.7</v>
      </c>
      <c r="N39">
        <v>2</v>
      </c>
      <c r="O39">
        <v>429554</v>
      </c>
      <c r="P39">
        <v>1.05</v>
      </c>
      <c r="Q39" s="1">
        <v>243670</v>
      </c>
      <c r="R39" s="1">
        <v>245304</v>
      </c>
      <c r="S39" s="1">
        <v>490609</v>
      </c>
    </row>
    <row r="40" spans="1:19" x14ac:dyDescent="0.2">
      <c r="A40" t="s">
        <v>215</v>
      </c>
      <c r="B40" t="s">
        <v>216</v>
      </c>
      <c r="C40" t="s">
        <v>141</v>
      </c>
      <c r="D40" t="s">
        <v>217</v>
      </c>
      <c r="F40" t="s">
        <v>88</v>
      </c>
      <c r="G40">
        <v>1</v>
      </c>
      <c r="H40" s="1">
        <v>0</v>
      </c>
      <c r="I40">
        <v>2009</v>
      </c>
      <c r="J40" t="s">
        <v>113</v>
      </c>
      <c r="K40">
        <v>410369</v>
      </c>
      <c r="L40" t="s">
        <v>28</v>
      </c>
      <c r="M40">
        <v>0.7</v>
      </c>
      <c r="N40">
        <v>2</v>
      </c>
      <c r="O40">
        <v>429554</v>
      </c>
      <c r="P40">
        <v>1.05</v>
      </c>
      <c r="Q40" s="1">
        <v>0</v>
      </c>
      <c r="R40" s="1">
        <v>0</v>
      </c>
      <c r="S40" s="1">
        <v>0</v>
      </c>
    </row>
    <row r="41" spans="1:19" x14ac:dyDescent="0.2">
      <c r="B41" t="s">
        <v>218</v>
      </c>
      <c r="C41" s="1">
        <v>21348782</v>
      </c>
      <c r="D41" s="1">
        <v>21484330</v>
      </c>
      <c r="E41" s="1">
        <v>32957310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EC72-5DFF-A44C-BCD4-CCAD47A04A45}">
  <dimension ref="A1:S53"/>
  <sheetViews>
    <sheetView workbookViewId="0">
      <selection activeCell="E73" sqref="E7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</row>
    <row r="2" spans="1:1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</row>
    <row r="3" spans="1:19" x14ac:dyDescent="0.2">
      <c r="A3" t="s">
        <v>219</v>
      </c>
      <c r="B3" t="s">
        <v>220</v>
      </c>
      <c r="C3" t="s">
        <v>105</v>
      </c>
      <c r="E3" t="s">
        <v>221</v>
      </c>
      <c r="F3" t="s">
        <v>88</v>
      </c>
      <c r="G3">
        <v>1</v>
      </c>
      <c r="H3" s="1">
        <v>52500</v>
      </c>
      <c r="I3">
        <v>2009</v>
      </c>
      <c r="J3" t="s">
        <v>222</v>
      </c>
      <c r="K3">
        <v>1</v>
      </c>
      <c r="L3" t="s">
        <v>223</v>
      </c>
      <c r="M3">
        <v>1</v>
      </c>
      <c r="N3">
        <v>1.5</v>
      </c>
      <c r="O3">
        <v>12</v>
      </c>
      <c r="P3">
        <v>12</v>
      </c>
      <c r="Q3" s="1">
        <v>630000</v>
      </c>
      <c r="R3" s="1">
        <v>634225</v>
      </c>
      <c r="S3" s="1">
        <v>951337</v>
      </c>
    </row>
    <row r="4" spans="1:19" x14ac:dyDescent="0.2">
      <c r="A4" t="s">
        <v>224</v>
      </c>
      <c r="B4" t="s">
        <v>225</v>
      </c>
      <c r="C4" t="s">
        <v>105</v>
      </c>
      <c r="E4" t="s">
        <v>226</v>
      </c>
      <c r="F4" t="s">
        <v>88</v>
      </c>
      <c r="G4">
        <v>1</v>
      </c>
      <c r="H4" s="1">
        <v>31800</v>
      </c>
      <c r="I4">
        <v>2009</v>
      </c>
      <c r="J4" t="s">
        <v>227</v>
      </c>
      <c r="K4">
        <v>40414</v>
      </c>
      <c r="L4" t="s">
        <v>28</v>
      </c>
      <c r="M4">
        <v>0.5</v>
      </c>
      <c r="N4">
        <v>1.5</v>
      </c>
      <c r="O4">
        <v>42607</v>
      </c>
      <c r="P4">
        <v>1.05</v>
      </c>
      <c r="Q4" s="1">
        <v>32651</v>
      </c>
      <c r="R4" s="1">
        <v>32870</v>
      </c>
      <c r="S4" s="1">
        <v>49305</v>
      </c>
    </row>
    <row r="5" spans="1:19" x14ac:dyDescent="0.2">
      <c r="A5" t="s">
        <v>228</v>
      </c>
      <c r="B5" t="s">
        <v>229</v>
      </c>
      <c r="C5" t="s">
        <v>105</v>
      </c>
      <c r="E5" t="s">
        <v>230</v>
      </c>
      <c r="F5" t="s">
        <v>106</v>
      </c>
      <c r="G5">
        <v>2</v>
      </c>
      <c r="H5" s="1">
        <v>26000</v>
      </c>
      <c r="I5">
        <v>2009</v>
      </c>
      <c r="K5">
        <v>2</v>
      </c>
      <c r="L5" t="s">
        <v>223</v>
      </c>
      <c r="M5">
        <v>0.5</v>
      </c>
      <c r="N5">
        <v>1.5</v>
      </c>
      <c r="O5">
        <v>2</v>
      </c>
      <c r="P5">
        <v>1</v>
      </c>
      <c r="Q5" s="1">
        <v>26000</v>
      </c>
      <c r="R5" s="1">
        <v>26174</v>
      </c>
      <c r="S5" s="1">
        <v>39262</v>
      </c>
    </row>
    <row r="6" spans="1:19" x14ac:dyDescent="0.2">
      <c r="A6" t="s">
        <v>231</v>
      </c>
      <c r="B6" t="s">
        <v>232</v>
      </c>
      <c r="C6" t="s">
        <v>105</v>
      </c>
      <c r="E6" t="s">
        <v>52</v>
      </c>
      <c r="F6" t="s">
        <v>106</v>
      </c>
      <c r="G6">
        <v>2</v>
      </c>
      <c r="H6" s="1">
        <v>43000</v>
      </c>
      <c r="I6">
        <v>2009</v>
      </c>
      <c r="K6">
        <v>2</v>
      </c>
      <c r="L6" t="s">
        <v>223</v>
      </c>
      <c r="M6">
        <v>0.5</v>
      </c>
      <c r="N6">
        <v>1.5</v>
      </c>
      <c r="O6">
        <v>2</v>
      </c>
      <c r="P6">
        <v>1</v>
      </c>
      <c r="Q6" s="1">
        <v>43000</v>
      </c>
      <c r="R6" s="1">
        <v>43288</v>
      </c>
      <c r="S6" s="1">
        <v>64933</v>
      </c>
    </row>
    <row r="7" spans="1:19" x14ac:dyDescent="0.2">
      <c r="A7" t="s">
        <v>233</v>
      </c>
      <c r="B7" t="s">
        <v>234</v>
      </c>
      <c r="C7" t="s">
        <v>105</v>
      </c>
      <c r="E7" t="s">
        <v>37</v>
      </c>
      <c r="F7" t="s">
        <v>88</v>
      </c>
      <c r="G7">
        <v>2</v>
      </c>
      <c r="H7" s="1">
        <v>68300</v>
      </c>
      <c r="I7">
        <v>2009</v>
      </c>
      <c r="J7" t="s">
        <v>235</v>
      </c>
      <c r="K7">
        <v>425878</v>
      </c>
      <c r="L7" t="s">
        <v>28</v>
      </c>
      <c r="M7">
        <v>0.5</v>
      </c>
      <c r="N7">
        <v>1.5</v>
      </c>
      <c r="O7">
        <v>450740</v>
      </c>
      <c r="P7">
        <v>1.06</v>
      </c>
      <c r="Q7" s="1">
        <v>70265</v>
      </c>
      <c r="R7" s="1">
        <v>70737</v>
      </c>
      <c r="S7" s="1">
        <v>106105</v>
      </c>
    </row>
    <row r="8" spans="1:19" x14ac:dyDescent="0.2">
      <c r="A8" t="s">
        <v>236</v>
      </c>
      <c r="B8" t="s">
        <v>237</v>
      </c>
      <c r="C8" t="s">
        <v>238</v>
      </c>
      <c r="D8" t="s">
        <v>239</v>
      </c>
      <c r="E8" t="s">
        <v>240</v>
      </c>
      <c r="F8" t="s">
        <v>205</v>
      </c>
      <c r="G8">
        <v>1</v>
      </c>
      <c r="H8" s="1">
        <v>109000</v>
      </c>
      <c r="I8">
        <v>2009</v>
      </c>
      <c r="J8" t="s">
        <v>241</v>
      </c>
      <c r="K8">
        <v>379938</v>
      </c>
      <c r="L8" t="s">
        <v>28</v>
      </c>
      <c r="M8">
        <v>0.5</v>
      </c>
      <c r="N8">
        <v>1.7</v>
      </c>
      <c r="O8">
        <v>443391</v>
      </c>
      <c r="P8">
        <v>1.17</v>
      </c>
      <c r="Q8" s="1">
        <v>117751</v>
      </c>
      <c r="R8" s="1">
        <v>118540</v>
      </c>
      <c r="S8" s="1">
        <v>201519</v>
      </c>
    </row>
    <row r="9" spans="1:19" x14ac:dyDescent="0.2">
      <c r="A9" t="s">
        <v>242</v>
      </c>
      <c r="B9" t="s">
        <v>243</v>
      </c>
      <c r="C9" t="s">
        <v>141</v>
      </c>
      <c r="D9" t="s">
        <v>244</v>
      </c>
      <c r="F9" t="s">
        <v>143</v>
      </c>
      <c r="G9">
        <v>12</v>
      </c>
      <c r="H9" s="1">
        <v>10128000</v>
      </c>
      <c r="I9">
        <v>2009</v>
      </c>
      <c r="J9" t="s">
        <v>222</v>
      </c>
      <c r="K9">
        <v>12</v>
      </c>
      <c r="L9" t="s">
        <v>223</v>
      </c>
      <c r="M9">
        <v>1</v>
      </c>
      <c r="N9">
        <v>1.5</v>
      </c>
      <c r="O9">
        <v>12</v>
      </c>
      <c r="P9">
        <v>1</v>
      </c>
      <c r="Q9" s="1">
        <v>10128000</v>
      </c>
      <c r="R9" s="1">
        <v>10195921</v>
      </c>
      <c r="S9" s="1">
        <v>15293882</v>
      </c>
    </row>
    <row r="10" spans="1:19" x14ac:dyDescent="0.2">
      <c r="A10" t="s">
        <v>245</v>
      </c>
      <c r="B10" t="s">
        <v>246</v>
      </c>
      <c r="C10" t="s">
        <v>247</v>
      </c>
      <c r="D10" t="s">
        <v>248</v>
      </c>
      <c r="F10" t="s">
        <v>143</v>
      </c>
      <c r="G10">
        <v>2</v>
      </c>
      <c r="H10" s="1">
        <v>75400</v>
      </c>
      <c r="I10">
        <v>2009</v>
      </c>
      <c r="K10">
        <v>2</v>
      </c>
      <c r="L10" t="s">
        <v>223</v>
      </c>
      <c r="M10">
        <v>0.7</v>
      </c>
      <c r="N10">
        <v>1.8</v>
      </c>
      <c r="O10">
        <v>2</v>
      </c>
      <c r="P10">
        <v>1</v>
      </c>
      <c r="Q10" s="1">
        <v>75400</v>
      </c>
      <c r="R10" s="1">
        <v>75906</v>
      </c>
      <c r="S10" s="1">
        <v>136630</v>
      </c>
    </row>
    <row r="11" spans="1:19" x14ac:dyDescent="0.2">
      <c r="A11" t="s">
        <v>249</v>
      </c>
      <c r="B11" t="s">
        <v>250</v>
      </c>
      <c r="C11" t="s">
        <v>247</v>
      </c>
      <c r="D11" t="s">
        <v>251</v>
      </c>
      <c r="F11" t="s">
        <v>143</v>
      </c>
      <c r="G11">
        <v>2</v>
      </c>
      <c r="H11" s="1">
        <v>116600</v>
      </c>
      <c r="I11">
        <v>2009</v>
      </c>
      <c r="K11">
        <v>2</v>
      </c>
      <c r="L11" t="s">
        <v>223</v>
      </c>
      <c r="M11">
        <v>0.7</v>
      </c>
      <c r="N11">
        <v>1.8</v>
      </c>
      <c r="O11">
        <v>2</v>
      </c>
      <c r="P11">
        <v>1</v>
      </c>
      <c r="Q11" s="1">
        <v>116600</v>
      </c>
      <c r="R11" s="1">
        <v>117382</v>
      </c>
      <c r="S11" s="1">
        <v>211288</v>
      </c>
    </row>
    <row r="12" spans="1:19" x14ac:dyDescent="0.2">
      <c r="A12" t="s">
        <v>252</v>
      </c>
      <c r="B12" t="s">
        <v>253</v>
      </c>
      <c r="C12" t="s">
        <v>247</v>
      </c>
      <c r="D12" t="s">
        <v>254</v>
      </c>
      <c r="F12" t="s">
        <v>143</v>
      </c>
      <c r="G12">
        <v>2</v>
      </c>
      <c r="H12" s="1">
        <v>157600</v>
      </c>
      <c r="I12">
        <v>2009</v>
      </c>
      <c r="K12">
        <v>2</v>
      </c>
      <c r="L12" t="s">
        <v>223</v>
      </c>
      <c r="M12">
        <v>0.7</v>
      </c>
      <c r="N12">
        <v>1.8</v>
      </c>
      <c r="O12">
        <v>2</v>
      </c>
      <c r="P12">
        <v>1</v>
      </c>
      <c r="Q12" s="1">
        <v>157600</v>
      </c>
      <c r="R12" s="1">
        <v>158657</v>
      </c>
      <c r="S12" s="1">
        <v>285582</v>
      </c>
    </row>
    <row r="13" spans="1:19" x14ac:dyDescent="0.2">
      <c r="A13" t="s">
        <v>255</v>
      </c>
      <c r="B13" t="s">
        <v>256</v>
      </c>
      <c r="C13" t="s">
        <v>141</v>
      </c>
      <c r="D13" t="s">
        <v>257</v>
      </c>
      <c r="F13" t="s">
        <v>143</v>
      </c>
      <c r="G13">
        <v>2</v>
      </c>
      <c r="H13" s="1">
        <v>352000</v>
      </c>
      <c r="I13">
        <v>2009</v>
      </c>
      <c r="K13">
        <v>2</v>
      </c>
      <c r="L13" t="s">
        <v>223</v>
      </c>
      <c r="M13">
        <v>0.7</v>
      </c>
      <c r="N13">
        <v>2</v>
      </c>
      <c r="O13">
        <v>2</v>
      </c>
      <c r="P13">
        <v>1</v>
      </c>
      <c r="Q13" s="1">
        <v>352000</v>
      </c>
      <c r="R13" s="1">
        <v>354361</v>
      </c>
      <c r="S13" s="1">
        <v>708721</v>
      </c>
    </row>
    <row r="14" spans="1:19" x14ac:dyDescent="0.2">
      <c r="A14" t="s">
        <v>258</v>
      </c>
      <c r="B14" t="s">
        <v>259</v>
      </c>
      <c r="C14" t="s">
        <v>141</v>
      </c>
      <c r="D14" t="s">
        <v>260</v>
      </c>
      <c r="F14" t="s">
        <v>143</v>
      </c>
      <c r="G14">
        <v>2</v>
      </c>
      <c r="H14" s="1">
        <v>1180000</v>
      </c>
      <c r="I14">
        <v>2009</v>
      </c>
      <c r="K14">
        <v>2</v>
      </c>
      <c r="L14" t="s">
        <v>223</v>
      </c>
      <c r="M14">
        <v>0.7</v>
      </c>
      <c r="N14">
        <v>2</v>
      </c>
      <c r="O14">
        <v>2</v>
      </c>
      <c r="P14">
        <v>1</v>
      </c>
      <c r="Q14" s="1">
        <v>1180000</v>
      </c>
      <c r="R14" s="1">
        <v>1187913</v>
      </c>
      <c r="S14" s="1">
        <v>2375827</v>
      </c>
    </row>
    <row r="15" spans="1:19" x14ac:dyDescent="0.2">
      <c r="A15" t="s">
        <v>261</v>
      </c>
      <c r="B15" t="s">
        <v>262</v>
      </c>
      <c r="C15" t="s">
        <v>263</v>
      </c>
      <c r="D15" t="s">
        <v>264</v>
      </c>
      <c r="F15" t="s">
        <v>143</v>
      </c>
      <c r="G15">
        <v>12</v>
      </c>
      <c r="H15" s="1">
        <v>86928</v>
      </c>
      <c r="I15">
        <v>2009</v>
      </c>
      <c r="J15" t="s">
        <v>222</v>
      </c>
      <c r="K15">
        <v>12</v>
      </c>
      <c r="L15" t="s">
        <v>223</v>
      </c>
      <c r="M15">
        <v>1</v>
      </c>
      <c r="N15">
        <v>2.2000000000000002</v>
      </c>
      <c r="O15">
        <v>12</v>
      </c>
      <c r="P15">
        <v>1</v>
      </c>
      <c r="Q15" s="1">
        <v>86928</v>
      </c>
      <c r="R15" s="1">
        <v>87511</v>
      </c>
      <c r="S15" s="1">
        <v>192524</v>
      </c>
    </row>
    <row r="16" spans="1:19" x14ac:dyDescent="0.2">
      <c r="A16" t="s">
        <v>265</v>
      </c>
      <c r="B16" t="s">
        <v>266</v>
      </c>
      <c r="C16" t="s">
        <v>267</v>
      </c>
      <c r="D16" t="s">
        <v>268</v>
      </c>
      <c r="F16" t="s">
        <v>269</v>
      </c>
      <c r="G16">
        <v>1</v>
      </c>
      <c r="H16" s="1">
        <v>85000</v>
      </c>
      <c r="I16">
        <v>2010</v>
      </c>
      <c r="J16" t="s">
        <v>270</v>
      </c>
      <c r="K16">
        <v>8</v>
      </c>
      <c r="L16" t="s">
        <v>145</v>
      </c>
      <c r="M16">
        <v>0.7</v>
      </c>
      <c r="N16">
        <v>2.2000000000000002</v>
      </c>
      <c r="O16">
        <v>11</v>
      </c>
      <c r="P16">
        <v>1.3</v>
      </c>
      <c r="Q16" s="1">
        <v>101972</v>
      </c>
      <c r="R16" s="1">
        <v>97500</v>
      </c>
      <c r="S16" s="1">
        <v>214500</v>
      </c>
    </row>
    <row r="17" spans="1:19" x14ac:dyDescent="0.2">
      <c r="A17" t="s">
        <v>271</v>
      </c>
      <c r="B17" t="s">
        <v>272</v>
      </c>
      <c r="C17" t="s">
        <v>141</v>
      </c>
      <c r="D17" t="s">
        <v>273</v>
      </c>
      <c r="F17" t="s">
        <v>143</v>
      </c>
      <c r="G17">
        <v>1</v>
      </c>
      <c r="H17" t="s">
        <v>33</v>
      </c>
    </row>
    <row r="18" spans="1:19" x14ac:dyDescent="0.2">
      <c r="A18" t="s">
        <v>274</v>
      </c>
      <c r="B18" t="s">
        <v>275</v>
      </c>
      <c r="C18" t="s">
        <v>141</v>
      </c>
      <c r="D18" t="s">
        <v>273</v>
      </c>
      <c r="F18" t="s">
        <v>143</v>
      </c>
      <c r="G18">
        <v>1</v>
      </c>
      <c r="H18" t="s">
        <v>33</v>
      </c>
    </row>
    <row r="19" spans="1:19" x14ac:dyDescent="0.2">
      <c r="A19" t="s">
        <v>276</v>
      </c>
      <c r="B19" t="s">
        <v>277</v>
      </c>
      <c r="C19" t="s">
        <v>263</v>
      </c>
      <c r="D19" t="s">
        <v>264</v>
      </c>
      <c r="F19" t="s">
        <v>88</v>
      </c>
      <c r="G19">
        <v>1</v>
      </c>
      <c r="H19" s="1">
        <v>23900</v>
      </c>
      <c r="I19">
        <v>2009</v>
      </c>
      <c r="J19" t="s">
        <v>278</v>
      </c>
      <c r="K19">
        <v>5</v>
      </c>
      <c r="L19" t="s">
        <v>145</v>
      </c>
      <c r="M19">
        <v>0.7</v>
      </c>
      <c r="N19">
        <v>1.8</v>
      </c>
      <c r="O19">
        <v>0</v>
      </c>
      <c r="P19">
        <v>0</v>
      </c>
      <c r="Q19" s="1">
        <v>0</v>
      </c>
      <c r="R19" s="1">
        <v>0</v>
      </c>
      <c r="S19" s="1">
        <v>0</v>
      </c>
    </row>
    <row r="20" spans="1:19" x14ac:dyDescent="0.2">
      <c r="A20" t="s">
        <v>279</v>
      </c>
      <c r="B20" t="s">
        <v>280</v>
      </c>
      <c r="C20" t="s">
        <v>174</v>
      </c>
      <c r="D20" t="s">
        <v>281</v>
      </c>
      <c r="E20">
        <v>20</v>
      </c>
      <c r="F20" t="s">
        <v>176</v>
      </c>
      <c r="G20">
        <v>5</v>
      </c>
      <c r="H20" s="1">
        <v>47200</v>
      </c>
      <c r="I20">
        <v>2009</v>
      </c>
      <c r="J20" t="s">
        <v>222</v>
      </c>
      <c r="K20">
        <v>12</v>
      </c>
      <c r="L20" t="s">
        <v>223</v>
      </c>
      <c r="M20">
        <v>0.8</v>
      </c>
      <c r="N20">
        <v>2.2999999999999998</v>
      </c>
      <c r="O20">
        <v>12</v>
      </c>
      <c r="P20">
        <v>1</v>
      </c>
      <c r="Q20" s="1">
        <v>47200</v>
      </c>
      <c r="R20" s="1">
        <v>47517</v>
      </c>
      <c r="S20" s="1">
        <v>109288</v>
      </c>
    </row>
    <row r="21" spans="1:19" x14ac:dyDescent="0.2">
      <c r="A21" t="s">
        <v>282</v>
      </c>
      <c r="B21" t="s">
        <v>283</v>
      </c>
      <c r="C21" t="s">
        <v>174</v>
      </c>
      <c r="D21" t="s">
        <v>284</v>
      </c>
      <c r="E21">
        <v>10</v>
      </c>
      <c r="F21" t="s">
        <v>176</v>
      </c>
      <c r="G21">
        <v>1</v>
      </c>
      <c r="H21" s="1">
        <v>8200</v>
      </c>
      <c r="I21">
        <v>2009</v>
      </c>
      <c r="J21" t="s">
        <v>285</v>
      </c>
      <c r="K21">
        <v>43149</v>
      </c>
      <c r="L21" t="s">
        <v>28</v>
      </c>
      <c r="M21">
        <v>0.8</v>
      </c>
      <c r="N21">
        <v>2.2999999999999998</v>
      </c>
      <c r="O21">
        <v>42607</v>
      </c>
      <c r="P21">
        <v>0.99</v>
      </c>
      <c r="Q21" s="1">
        <v>8117</v>
      </c>
      <c r="R21" s="1">
        <v>8172</v>
      </c>
      <c r="S21" s="1">
        <v>18795</v>
      </c>
    </row>
    <row r="22" spans="1:19" x14ac:dyDescent="0.2">
      <c r="A22" t="s">
        <v>286</v>
      </c>
      <c r="B22" t="s">
        <v>287</v>
      </c>
      <c r="C22" t="s">
        <v>174</v>
      </c>
      <c r="D22" t="s">
        <v>288</v>
      </c>
      <c r="E22">
        <v>40</v>
      </c>
      <c r="F22" t="s">
        <v>176</v>
      </c>
      <c r="G22">
        <v>2</v>
      </c>
      <c r="H22" s="1">
        <v>24300</v>
      </c>
      <c r="I22">
        <v>2009</v>
      </c>
      <c r="J22" t="s">
        <v>285</v>
      </c>
      <c r="K22">
        <v>43149</v>
      </c>
      <c r="L22" t="s">
        <v>28</v>
      </c>
      <c r="M22">
        <v>0.8</v>
      </c>
      <c r="N22">
        <v>2.2999999999999998</v>
      </c>
      <c r="O22">
        <v>42607</v>
      </c>
      <c r="P22">
        <v>0.99</v>
      </c>
      <c r="Q22" s="1">
        <v>24055</v>
      </c>
      <c r="R22" s="1">
        <v>24217</v>
      </c>
      <c r="S22" s="1">
        <v>55698</v>
      </c>
    </row>
    <row r="23" spans="1:19" x14ac:dyDescent="0.2">
      <c r="A23" t="s">
        <v>289</v>
      </c>
      <c r="B23" t="s">
        <v>290</v>
      </c>
      <c r="C23" t="s">
        <v>174</v>
      </c>
      <c r="D23" t="s">
        <v>291</v>
      </c>
      <c r="E23">
        <v>125</v>
      </c>
      <c r="F23" t="s">
        <v>176</v>
      </c>
      <c r="G23">
        <v>1</v>
      </c>
      <c r="H23" s="1">
        <v>26800</v>
      </c>
      <c r="I23">
        <v>2009</v>
      </c>
      <c r="J23" t="s">
        <v>235</v>
      </c>
      <c r="K23">
        <v>488719</v>
      </c>
      <c r="L23" t="s">
        <v>28</v>
      </c>
      <c r="M23">
        <v>0.8</v>
      </c>
      <c r="N23">
        <v>2.2999999999999998</v>
      </c>
      <c r="O23">
        <v>450740</v>
      </c>
      <c r="P23">
        <v>0.92</v>
      </c>
      <c r="Q23" s="1">
        <v>25120</v>
      </c>
      <c r="R23" s="1">
        <v>25289</v>
      </c>
      <c r="S23" s="1">
        <v>58165</v>
      </c>
    </row>
    <row r="24" spans="1:19" x14ac:dyDescent="0.2">
      <c r="A24" t="s">
        <v>292</v>
      </c>
      <c r="B24" t="s">
        <v>293</v>
      </c>
      <c r="C24" t="s">
        <v>174</v>
      </c>
      <c r="D24" t="s">
        <v>294</v>
      </c>
      <c r="E24">
        <v>20</v>
      </c>
      <c r="F24" t="s">
        <v>176</v>
      </c>
      <c r="G24">
        <v>5</v>
      </c>
      <c r="H24" s="1">
        <v>47200</v>
      </c>
      <c r="I24">
        <v>2009</v>
      </c>
      <c r="J24" t="s">
        <v>295</v>
      </c>
      <c r="K24">
        <v>421776</v>
      </c>
      <c r="L24" t="s">
        <v>28</v>
      </c>
      <c r="M24">
        <v>0.8</v>
      </c>
      <c r="N24">
        <v>2.2999999999999998</v>
      </c>
      <c r="O24">
        <v>443391</v>
      </c>
      <c r="P24">
        <v>1.05</v>
      </c>
      <c r="Q24" s="1">
        <v>49125</v>
      </c>
      <c r="R24" s="1">
        <v>49455</v>
      </c>
      <c r="S24" s="1">
        <v>113746</v>
      </c>
    </row>
    <row r="25" spans="1:19" x14ac:dyDescent="0.2">
      <c r="A25" t="s">
        <v>296</v>
      </c>
      <c r="B25" t="s">
        <v>297</v>
      </c>
      <c r="C25" t="s">
        <v>141</v>
      </c>
      <c r="D25" t="s">
        <v>298</v>
      </c>
      <c r="F25" t="s">
        <v>176</v>
      </c>
      <c r="G25">
        <v>1</v>
      </c>
      <c r="H25" s="1">
        <v>439000</v>
      </c>
      <c r="I25">
        <v>2009</v>
      </c>
      <c r="J25" t="s">
        <v>285</v>
      </c>
      <c r="K25">
        <v>40414</v>
      </c>
      <c r="L25" t="s">
        <v>28</v>
      </c>
      <c r="M25">
        <v>0.7</v>
      </c>
      <c r="N25">
        <v>1.8</v>
      </c>
      <c r="O25">
        <v>42607</v>
      </c>
      <c r="P25">
        <v>1.05</v>
      </c>
      <c r="Q25" s="1">
        <v>455540</v>
      </c>
      <c r="R25" s="1">
        <v>458595</v>
      </c>
      <c r="S25" s="1">
        <v>825471</v>
      </c>
    </row>
    <row r="26" spans="1:19" x14ac:dyDescent="0.2">
      <c r="A26" t="s">
        <v>299</v>
      </c>
      <c r="B26" t="s">
        <v>300</v>
      </c>
      <c r="C26" t="s">
        <v>141</v>
      </c>
      <c r="D26" t="s">
        <v>217</v>
      </c>
      <c r="F26" t="s">
        <v>176</v>
      </c>
      <c r="G26">
        <v>1</v>
      </c>
      <c r="H26" s="1">
        <v>636000</v>
      </c>
      <c r="I26">
        <v>2009</v>
      </c>
      <c r="J26" t="s">
        <v>235</v>
      </c>
      <c r="K26">
        <v>425878</v>
      </c>
      <c r="L26" t="s">
        <v>28</v>
      </c>
      <c r="M26">
        <v>0.7</v>
      </c>
      <c r="N26">
        <v>1.8</v>
      </c>
      <c r="O26">
        <v>450740</v>
      </c>
      <c r="P26">
        <v>1.06</v>
      </c>
      <c r="Q26" s="1">
        <v>661768</v>
      </c>
      <c r="R26" s="1">
        <v>666206</v>
      </c>
      <c r="S26" s="1">
        <v>1199170</v>
      </c>
    </row>
    <row r="27" spans="1:19" x14ac:dyDescent="0.2">
      <c r="A27" t="s">
        <v>301</v>
      </c>
      <c r="B27" t="s">
        <v>302</v>
      </c>
      <c r="C27" t="s">
        <v>303</v>
      </c>
      <c r="D27" t="s">
        <v>304</v>
      </c>
      <c r="F27" t="s">
        <v>143</v>
      </c>
      <c r="G27">
        <v>8</v>
      </c>
      <c r="H27" s="1">
        <v>3840000</v>
      </c>
      <c r="I27">
        <v>2009</v>
      </c>
      <c r="J27" t="s">
        <v>295</v>
      </c>
      <c r="K27">
        <v>421776</v>
      </c>
      <c r="L27" t="s">
        <v>28</v>
      </c>
      <c r="M27">
        <v>0.7</v>
      </c>
      <c r="N27">
        <v>2</v>
      </c>
      <c r="O27">
        <v>443391</v>
      </c>
      <c r="P27">
        <v>1.05</v>
      </c>
      <c r="Q27" s="1">
        <v>3976717</v>
      </c>
      <c r="R27" s="1">
        <v>4003386</v>
      </c>
      <c r="S27" s="1">
        <v>8006772</v>
      </c>
    </row>
    <row r="28" spans="1:19" x14ac:dyDescent="0.2">
      <c r="B28" t="s">
        <v>305</v>
      </c>
      <c r="C28" s="1">
        <v>18365811</v>
      </c>
      <c r="D28" s="1">
        <v>18483821</v>
      </c>
      <c r="E28" s="1">
        <v>31218520</v>
      </c>
    </row>
    <row r="29" spans="1:19" x14ac:dyDescent="0.2">
      <c r="A29" t="s">
        <v>306</v>
      </c>
      <c r="B29" t="s">
        <v>307</v>
      </c>
      <c r="C29" t="s">
        <v>105</v>
      </c>
      <c r="E29">
        <v>800</v>
      </c>
      <c r="F29" t="s">
        <v>205</v>
      </c>
      <c r="H29" s="1">
        <v>580000</v>
      </c>
      <c r="I29">
        <v>2009</v>
      </c>
      <c r="J29" t="s">
        <v>308</v>
      </c>
      <c r="K29">
        <v>1</v>
      </c>
      <c r="L29" t="s">
        <v>223</v>
      </c>
      <c r="M29">
        <v>1</v>
      </c>
      <c r="N29">
        <v>1.5</v>
      </c>
      <c r="O29">
        <v>9</v>
      </c>
      <c r="P29">
        <v>9</v>
      </c>
      <c r="Q29" s="1">
        <v>5220000</v>
      </c>
      <c r="R29" s="1">
        <v>5255007</v>
      </c>
      <c r="S29" s="1">
        <v>7882510</v>
      </c>
    </row>
    <row r="30" spans="1:19" x14ac:dyDescent="0.2">
      <c r="A30" t="s">
        <v>309</v>
      </c>
      <c r="B30" t="s">
        <v>307</v>
      </c>
      <c r="C30" t="s">
        <v>105</v>
      </c>
      <c r="E30" t="s">
        <v>310</v>
      </c>
      <c r="F30" t="s">
        <v>205</v>
      </c>
      <c r="H30" s="1">
        <v>3420</v>
      </c>
      <c r="I30">
        <v>2009</v>
      </c>
      <c r="J30" t="s">
        <v>311</v>
      </c>
      <c r="K30">
        <v>1</v>
      </c>
      <c r="L30" t="s">
        <v>223</v>
      </c>
      <c r="M30">
        <v>1</v>
      </c>
      <c r="N30">
        <v>1.5</v>
      </c>
      <c r="O30">
        <v>4</v>
      </c>
      <c r="P30">
        <v>4</v>
      </c>
      <c r="Q30" s="1">
        <v>13680</v>
      </c>
      <c r="R30" s="1">
        <v>13772</v>
      </c>
      <c r="S30" s="1">
        <v>20658</v>
      </c>
    </row>
    <row r="31" spans="1:19" x14ac:dyDescent="0.2">
      <c r="A31" t="s">
        <v>312</v>
      </c>
      <c r="B31" t="s">
        <v>307</v>
      </c>
      <c r="C31" t="s">
        <v>105</v>
      </c>
      <c r="E31" t="s">
        <v>313</v>
      </c>
      <c r="F31" t="s">
        <v>205</v>
      </c>
      <c r="H31" s="1">
        <v>63000</v>
      </c>
      <c r="I31">
        <v>2009</v>
      </c>
      <c r="J31" t="s">
        <v>311</v>
      </c>
      <c r="K31">
        <v>1</v>
      </c>
      <c r="L31" t="s">
        <v>223</v>
      </c>
      <c r="M31">
        <v>1</v>
      </c>
      <c r="N31">
        <v>1.5</v>
      </c>
      <c r="O31">
        <v>4</v>
      </c>
      <c r="P31">
        <v>4</v>
      </c>
      <c r="Q31" s="1">
        <v>252000</v>
      </c>
      <c r="R31" s="1">
        <v>253690</v>
      </c>
      <c r="S31" s="1">
        <v>380535</v>
      </c>
    </row>
    <row r="32" spans="1:19" x14ac:dyDescent="0.2">
      <c r="A32" t="s">
        <v>314</v>
      </c>
      <c r="B32" t="s">
        <v>307</v>
      </c>
      <c r="C32" t="s">
        <v>105</v>
      </c>
      <c r="E32" t="s">
        <v>315</v>
      </c>
      <c r="F32" t="s">
        <v>205</v>
      </c>
      <c r="H32" s="1">
        <v>11000</v>
      </c>
      <c r="I32">
        <v>2009</v>
      </c>
      <c r="J32" t="s">
        <v>311</v>
      </c>
      <c r="K32">
        <v>1</v>
      </c>
      <c r="L32" t="s">
        <v>223</v>
      </c>
      <c r="M32">
        <v>1</v>
      </c>
      <c r="N32">
        <v>1.5</v>
      </c>
      <c r="O32">
        <v>4</v>
      </c>
      <c r="P32">
        <v>4</v>
      </c>
      <c r="Q32" s="1">
        <v>44000</v>
      </c>
      <c r="R32" s="1">
        <v>44295</v>
      </c>
      <c r="S32" s="1">
        <v>66443</v>
      </c>
    </row>
    <row r="33" spans="1:19" x14ac:dyDescent="0.2">
      <c r="A33" t="s">
        <v>316</v>
      </c>
      <c r="B33" t="s">
        <v>317</v>
      </c>
      <c r="C33" t="s">
        <v>105</v>
      </c>
      <c r="E33" t="s">
        <v>230</v>
      </c>
      <c r="F33" t="s">
        <v>318</v>
      </c>
      <c r="G33">
        <v>1</v>
      </c>
      <c r="H33" s="1">
        <v>8500</v>
      </c>
      <c r="I33">
        <v>2009</v>
      </c>
      <c r="J33" t="s">
        <v>319</v>
      </c>
      <c r="K33">
        <v>12255</v>
      </c>
      <c r="L33" t="s">
        <v>28</v>
      </c>
      <c r="M33">
        <v>0.5</v>
      </c>
      <c r="N33">
        <v>1.5</v>
      </c>
      <c r="O33">
        <v>0</v>
      </c>
      <c r="P33">
        <v>0</v>
      </c>
      <c r="Q33" s="1">
        <v>0</v>
      </c>
      <c r="R33" s="1">
        <v>0</v>
      </c>
      <c r="S33" s="1">
        <v>0</v>
      </c>
    </row>
    <row r="34" spans="1:19" x14ac:dyDescent="0.2">
      <c r="A34" t="s">
        <v>320</v>
      </c>
      <c r="B34" t="s">
        <v>321</v>
      </c>
      <c r="C34" t="s">
        <v>105</v>
      </c>
      <c r="E34" t="s">
        <v>322</v>
      </c>
      <c r="F34" t="s">
        <v>26</v>
      </c>
      <c r="G34">
        <v>1</v>
      </c>
      <c r="H34" s="1">
        <v>4800</v>
      </c>
      <c r="I34">
        <v>2009</v>
      </c>
      <c r="J34" t="s">
        <v>323</v>
      </c>
      <c r="K34">
        <v>174</v>
      </c>
      <c r="L34" t="s">
        <v>28</v>
      </c>
      <c r="M34">
        <v>0.5</v>
      </c>
      <c r="N34">
        <v>1.6</v>
      </c>
      <c r="O34">
        <v>224</v>
      </c>
      <c r="P34">
        <v>1.29</v>
      </c>
      <c r="Q34" s="1">
        <v>5446</v>
      </c>
      <c r="R34" s="1">
        <v>5482</v>
      </c>
      <c r="S34" s="1">
        <v>8772</v>
      </c>
    </row>
    <row r="35" spans="1:19" x14ac:dyDescent="0.2">
      <c r="A35" t="s">
        <v>324</v>
      </c>
      <c r="B35" t="s">
        <v>325</v>
      </c>
      <c r="C35" t="s">
        <v>105</v>
      </c>
      <c r="E35" t="s">
        <v>52</v>
      </c>
      <c r="F35" t="s">
        <v>205</v>
      </c>
      <c r="G35">
        <v>1</v>
      </c>
      <c r="H35" s="1">
        <v>26900</v>
      </c>
      <c r="I35">
        <v>2009</v>
      </c>
      <c r="J35" t="s">
        <v>326</v>
      </c>
      <c r="K35">
        <v>10930</v>
      </c>
      <c r="L35" t="s">
        <v>28</v>
      </c>
      <c r="M35">
        <v>0.5</v>
      </c>
      <c r="N35">
        <v>1.5</v>
      </c>
      <c r="O35">
        <v>13836</v>
      </c>
      <c r="P35">
        <v>1.27</v>
      </c>
      <c r="Q35" s="1">
        <v>30266</v>
      </c>
      <c r="R35" s="1">
        <v>30469</v>
      </c>
      <c r="S35" s="1">
        <v>45703</v>
      </c>
    </row>
    <row r="36" spans="1:19" x14ac:dyDescent="0.2">
      <c r="A36" t="s">
        <v>327</v>
      </c>
      <c r="B36" t="s">
        <v>328</v>
      </c>
      <c r="C36" t="s">
        <v>141</v>
      </c>
      <c r="D36" t="s">
        <v>329</v>
      </c>
      <c r="F36" t="s">
        <v>205</v>
      </c>
      <c r="H36" s="1">
        <v>400500</v>
      </c>
      <c r="I36">
        <v>2009</v>
      </c>
      <c r="J36" t="s">
        <v>308</v>
      </c>
      <c r="K36">
        <v>1</v>
      </c>
      <c r="L36" t="s">
        <v>223</v>
      </c>
      <c r="M36">
        <v>1</v>
      </c>
      <c r="N36">
        <v>2</v>
      </c>
      <c r="O36">
        <v>9</v>
      </c>
      <c r="P36">
        <v>9</v>
      </c>
      <c r="Q36" s="1">
        <v>3604500</v>
      </c>
      <c r="R36" s="1">
        <v>3628673</v>
      </c>
      <c r="S36" s="1">
        <v>7257345</v>
      </c>
    </row>
    <row r="37" spans="1:19" x14ac:dyDescent="0.2">
      <c r="A37" t="s">
        <v>330</v>
      </c>
      <c r="B37" t="s">
        <v>331</v>
      </c>
      <c r="C37" t="s">
        <v>247</v>
      </c>
      <c r="D37" t="s">
        <v>332</v>
      </c>
      <c r="F37" t="s">
        <v>143</v>
      </c>
      <c r="H37" s="1">
        <v>46000</v>
      </c>
      <c r="I37">
        <v>2009</v>
      </c>
      <c r="J37" t="s">
        <v>311</v>
      </c>
      <c r="K37">
        <v>1</v>
      </c>
      <c r="L37" t="s">
        <v>223</v>
      </c>
      <c r="M37">
        <v>1</v>
      </c>
      <c r="N37">
        <v>1.8</v>
      </c>
      <c r="O37">
        <v>4</v>
      </c>
      <c r="P37">
        <v>4</v>
      </c>
      <c r="Q37" s="1">
        <v>184000</v>
      </c>
      <c r="R37" s="1">
        <v>185234</v>
      </c>
      <c r="S37" s="1">
        <v>333421</v>
      </c>
    </row>
    <row r="38" spans="1:19" x14ac:dyDescent="0.2">
      <c r="A38" t="s">
        <v>333</v>
      </c>
      <c r="B38" t="s">
        <v>334</v>
      </c>
      <c r="C38" t="s">
        <v>247</v>
      </c>
      <c r="D38" t="s">
        <v>335</v>
      </c>
      <c r="F38" t="s">
        <v>143</v>
      </c>
      <c r="H38" s="1">
        <v>57500</v>
      </c>
      <c r="I38">
        <v>2009</v>
      </c>
      <c r="J38" t="s">
        <v>311</v>
      </c>
      <c r="K38">
        <v>1</v>
      </c>
      <c r="L38" t="s">
        <v>223</v>
      </c>
      <c r="M38">
        <v>1</v>
      </c>
      <c r="N38">
        <v>1.8</v>
      </c>
      <c r="O38">
        <v>4</v>
      </c>
      <c r="P38">
        <v>4</v>
      </c>
      <c r="Q38" s="1">
        <v>230000</v>
      </c>
      <c r="R38" s="1">
        <v>231542</v>
      </c>
      <c r="S38" s="1">
        <v>416776</v>
      </c>
    </row>
    <row r="39" spans="1:19" x14ac:dyDescent="0.2">
      <c r="A39" t="s">
        <v>336</v>
      </c>
      <c r="B39" t="s">
        <v>337</v>
      </c>
      <c r="C39" t="s">
        <v>247</v>
      </c>
      <c r="D39" t="s">
        <v>338</v>
      </c>
      <c r="F39" t="s">
        <v>143</v>
      </c>
      <c r="H39" s="1">
        <v>95400</v>
      </c>
      <c r="I39">
        <v>2009</v>
      </c>
      <c r="J39" t="s">
        <v>311</v>
      </c>
      <c r="K39">
        <v>1</v>
      </c>
      <c r="L39" t="s">
        <v>223</v>
      </c>
      <c r="M39">
        <v>1</v>
      </c>
      <c r="N39">
        <v>1.8</v>
      </c>
      <c r="O39">
        <v>4</v>
      </c>
      <c r="P39">
        <v>4</v>
      </c>
      <c r="Q39" s="1">
        <v>381600</v>
      </c>
      <c r="R39" s="1">
        <v>384159</v>
      </c>
      <c r="S39" s="1">
        <v>691486</v>
      </c>
    </row>
    <row r="40" spans="1:19" x14ac:dyDescent="0.2">
      <c r="A40" t="s">
        <v>339</v>
      </c>
      <c r="B40" t="s">
        <v>340</v>
      </c>
      <c r="C40" t="s">
        <v>141</v>
      </c>
      <c r="D40" t="s">
        <v>341</v>
      </c>
      <c r="F40" t="s">
        <v>143</v>
      </c>
      <c r="H40" t="s">
        <v>33</v>
      </c>
    </row>
    <row r="41" spans="1:19" x14ac:dyDescent="0.2">
      <c r="A41" t="s">
        <v>342</v>
      </c>
      <c r="B41" t="s">
        <v>343</v>
      </c>
      <c r="C41" t="s">
        <v>141</v>
      </c>
      <c r="D41" t="s">
        <v>344</v>
      </c>
      <c r="F41" t="s">
        <v>143</v>
      </c>
      <c r="G41">
        <v>1</v>
      </c>
      <c r="H41" t="s">
        <v>33</v>
      </c>
    </row>
    <row r="42" spans="1:19" x14ac:dyDescent="0.2">
      <c r="A42" t="s">
        <v>345</v>
      </c>
      <c r="B42" t="s">
        <v>346</v>
      </c>
      <c r="C42" t="s">
        <v>347</v>
      </c>
      <c r="D42" t="s">
        <v>348</v>
      </c>
      <c r="F42" t="s">
        <v>26</v>
      </c>
      <c r="G42">
        <v>2</v>
      </c>
      <c r="H42" s="1">
        <v>350000</v>
      </c>
      <c r="I42">
        <v>2009</v>
      </c>
      <c r="J42" t="s">
        <v>349</v>
      </c>
      <c r="K42">
        <v>33168</v>
      </c>
      <c r="L42" t="s">
        <v>28</v>
      </c>
      <c r="M42">
        <v>0.6</v>
      </c>
      <c r="N42">
        <v>1.6</v>
      </c>
      <c r="O42">
        <v>32583</v>
      </c>
      <c r="P42">
        <v>0.98</v>
      </c>
      <c r="Q42" s="1">
        <v>346282</v>
      </c>
      <c r="R42" s="1">
        <v>348604</v>
      </c>
      <c r="S42" s="1">
        <v>557767</v>
      </c>
    </row>
    <row r="43" spans="1:19" x14ac:dyDescent="0.2">
      <c r="A43" t="s">
        <v>350</v>
      </c>
      <c r="B43" t="s">
        <v>351</v>
      </c>
      <c r="C43" t="s">
        <v>174</v>
      </c>
      <c r="D43" t="s">
        <v>352</v>
      </c>
      <c r="E43">
        <v>3</v>
      </c>
      <c r="F43" t="s">
        <v>176</v>
      </c>
      <c r="G43">
        <v>1</v>
      </c>
      <c r="H43" s="1">
        <v>7357</v>
      </c>
      <c r="I43">
        <v>2010</v>
      </c>
      <c r="J43" t="s">
        <v>353</v>
      </c>
      <c r="K43">
        <v>13399</v>
      </c>
      <c r="L43" t="s">
        <v>28</v>
      </c>
      <c r="M43">
        <v>0.8</v>
      </c>
      <c r="N43">
        <v>2.2999999999999998</v>
      </c>
      <c r="O43">
        <v>13836</v>
      </c>
      <c r="P43">
        <v>1.03</v>
      </c>
      <c r="Q43" s="1">
        <v>7549</v>
      </c>
      <c r="R43" s="1">
        <v>7218</v>
      </c>
      <c r="S43" s="1">
        <v>16600</v>
      </c>
    </row>
    <row r="44" spans="1:19" x14ac:dyDescent="0.2">
      <c r="A44" t="s">
        <v>354</v>
      </c>
      <c r="B44" t="s">
        <v>355</v>
      </c>
      <c r="C44" t="s">
        <v>174</v>
      </c>
      <c r="D44" t="s">
        <v>356</v>
      </c>
      <c r="E44">
        <v>2</v>
      </c>
      <c r="F44" t="s">
        <v>176</v>
      </c>
      <c r="G44">
        <v>4</v>
      </c>
      <c r="H44" s="1">
        <v>29972</v>
      </c>
      <c r="I44">
        <v>2010</v>
      </c>
      <c r="J44" t="s">
        <v>357</v>
      </c>
      <c r="K44">
        <v>681</v>
      </c>
      <c r="L44" t="s">
        <v>28</v>
      </c>
      <c r="M44">
        <v>0.8</v>
      </c>
      <c r="N44">
        <v>2.2999999999999998</v>
      </c>
      <c r="O44">
        <v>770</v>
      </c>
      <c r="P44">
        <v>1.1299999999999999</v>
      </c>
      <c r="Q44" s="1">
        <v>33045</v>
      </c>
      <c r="R44" s="1">
        <v>31596</v>
      </c>
      <c r="S44" s="1">
        <v>72670</v>
      </c>
    </row>
    <row r="45" spans="1:19" x14ac:dyDescent="0.2">
      <c r="A45" t="s">
        <v>358</v>
      </c>
      <c r="B45" t="s">
        <v>359</v>
      </c>
      <c r="C45" t="s">
        <v>174</v>
      </c>
      <c r="D45" t="s">
        <v>360</v>
      </c>
      <c r="E45">
        <v>3</v>
      </c>
      <c r="F45" t="s">
        <v>176</v>
      </c>
      <c r="G45">
        <v>1</v>
      </c>
      <c r="H45" s="1">
        <v>7357</v>
      </c>
      <c r="I45">
        <v>2010</v>
      </c>
      <c r="J45" t="s">
        <v>319</v>
      </c>
      <c r="K45">
        <v>14307</v>
      </c>
      <c r="L45" t="s">
        <v>28</v>
      </c>
      <c r="M45">
        <v>0.8</v>
      </c>
      <c r="N45">
        <v>2.2999999999999998</v>
      </c>
      <c r="O45">
        <v>0</v>
      </c>
      <c r="P45">
        <v>0</v>
      </c>
      <c r="Q45" s="1">
        <v>0</v>
      </c>
      <c r="R45" s="1">
        <v>0</v>
      </c>
      <c r="S45" s="1">
        <v>0</v>
      </c>
    </row>
    <row r="46" spans="1:19" x14ac:dyDescent="0.2">
      <c r="A46" t="s">
        <v>361</v>
      </c>
      <c r="B46" t="s">
        <v>362</v>
      </c>
      <c r="C46" t="s">
        <v>180</v>
      </c>
      <c r="D46" t="s">
        <v>363</v>
      </c>
      <c r="E46">
        <v>1</v>
      </c>
      <c r="F46" t="s">
        <v>176</v>
      </c>
      <c r="G46">
        <v>1</v>
      </c>
      <c r="H46" s="1">
        <v>1500</v>
      </c>
      <c r="I46">
        <v>2009</v>
      </c>
      <c r="J46" t="s">
        <v>323</v>
      </c>
      <c r="K46">
        <v>454</v>
      </c>
      <c r="L46" t="s">
        <v>28</v>
      </c>
      <c r="M46">
        <v>0.8</v>
      </c>
      <c r="N46">
        <v>2.2999999999999998</v>
      </c>
      <c r="O46">
        <v>224</v>
      </c>
      <c r="P46">
        <v>0.49</v>
      </c>
      <c r="Q46" s="1">
        <v>852</v>
      </c>
      <c r="R46" s="1">
        <v>858</v>
      </c>
      <c r="S46" s="1">
        <v>1974</v>
      </c>
    </row>
    <row r="47" spans="1:19" x14ac:dyDescent="0.2">
      <c r="A47" t="s">
        <v>364</v>
      </c>
      <c r="B47" t="s">
        <v>365</v>
      </c>
      <c r="C47" t="s">
        <v>180</v>
      </c>
      <c r="D47" t="s">
        <v>366</v>
      </c>
      <c r="E47">
        <v>1</v>
      </c>
      <c r="F47" t="s">
        <v>176</v>
      </c>
      <c r="G47">
        <v>1</v>
      </c>
      <c r="H47" s="1">
        <v>1500</v>
      </c>
      <c r="I47">
        <v>2009</v>
      </c>
      <c r="J47" t="s">
        <v>367</v>
      </c>
      <c r="K47">
        <v>18168</v>
      </c>
      <c r="L47" t="s">
        <v>28</v>
      </c>
      <c r="M47">
        <v>0.8</v>
      </c>
      <c r="N47">
        <v>2.2999999999999998</v>
      </c>
      <c r="O47">
        <v>13836</v>
      </c>
      <c r="P47">
        <v>0.76</v>
      </c>
      <c r="Q47" s="1">
        <v>4584</v>
      </c>
      <c r="R47" s="1">
        <v>4615</v>
      </c>
      <c r="S47" s="1">
        <v>10614</v>
      </c>
    </row>
    <row r="48" spans="1:19" x14ac:dyDescent="0.2">
      <c r="A48" t="s">
        <v>368</v>
      </c>
      <c r="B48" t="s">
        <v>369</v>
      </c>
      <c r="C48" t="s">
        <v>180</v>
      </c>
      <c r="D48" t="s">
        <v>363</v>
      </c>
      <c r="E48">
        <v>1</v>
      </c>
      <c r="F48" t="s">
        <v>176</v>
      </c>
      <c r="G48">
        <v>1</v>
      </c>
      <c r="H48" s="1">
        <v>1500</v>
      </c>
      <c r="I48">
        <v>2009</v>
      </c>
      <c r="J48" t="s">
        <v>370</v>
      </c>
      <c r="K48">
        <v>11</v>
      </c>
      <c r="L48" t="s">
        <v>28</v>
      </c>
      <c r="M48">
        <v>0.8</v>
      </c>
      <c r="N48">
        <v>2.2999999999999998</v>
      </c>
      <c r="O48">
        <v>13.4</v>
      </c>
      <c r="P48">
        <v>1.26</v>
      </c>
      <c r="Q48" s="1">
        <v>1805</v>
      </c>
      <c r="R48" s="1">
        <v>1817</v>
      </c>
      <c r="S48" s="1">
        <v>4179</v>
      </c>
    </row>
    <row r="49" spans="1:19" x14ac:dyDescent="0.2">
      <c r="A49" t="s">
        <v>371</v>
      </c>
      <c r="B49" t="s">
        <v>372</v>
      </c>
      <c r="C49" t="s">
        <v>373</v>
      </c>
      <c r="D49" t="s">
        <v>374</v>
      </c>
      <c r="F49" t="s">
        <v>88</v>
      </c>
      <c r="G49">
        <v>1</v>
      </c>
      <c r="H49" s="1">
        <v>0</v>
      </c>
    </row>
    <row r="50" spans="1:19" x14ac:dyDescent="0.2">
      <c r="A50" t="s">
        <v>375</v>
      </c>
      <c r="B50" t="s">
        <v>376</v>
      </c>
      <c r="C50" t="s">
        <v>141</v>
      </c>
      <c r="D50" t="s">
        <v>377</v>
      </c>
      <c r="F50" t="s">
        <v>143</v>
      </c>
      <c r="G50">
        <v>1</v>
      </c>
      <c r="H50" s="1">
        <v>176000</v>
      </c>
      <c r="I50">
        <v>2009</v>
      </c>
      <c r="J50" t="s">
        <v>319</v>
      </c>
      <c r="K50">
        <v>12255</v>
      </c>
      <c r="L50" t="s">
        <v>28</v>
      </c>
      <c r="M50">
        <v>0.7</v>
      </c>
      <c r="N50">
        <v>1.8</v>
      </c>
      <c r="O50">
        <v>0</v>
      </c>
      <c r="P50">
        <v>0</v>
      </c>
      <c r="Q50" s="1">
        <v>0</v>
      </c>
      <c r="R50" s="1">
        <v>0</v>
      </c>
      <c r="S50" s="1">
        <v>0</v>
      </c>
    </row>
    <row r="51" spans="1:19" x14ac:dyDescent="0.2">
      <c r="A51" t="s">
        <v>378</v>
      </c>
      <c r="B51" t="s">
        <v>379</v>
      </c>
      <c r="C51" t="s">
        <v>380</v>
      </c>
      <c r="D51" t="s">
        <v>381</v>
      </c>
      <c r="F51" t="s">
        <v>382</v>
      </c>
      <c r="G51">
        <v>1</v>
      </c>
      <c r="H51" s="1">
        <v>9000</v>
      </c>
      <c r="I51">
        <v>2010</v>
      </c>
      <c r="J51" t="s">
        <v>323</v>
      </c>
      <c r="K51">
        <v>224</v>
      </c>
      <c r="L51" t="s">
        <v>28</v>
      </c>
      <c r="M51">
        <v>0.7</v>
      </c>
      <c r="N51">
        <v>3</v>
      </c>
      <c r="O51">
        <v>224</v>
      </c>
      <c r="P51">
        <v>1</v>
      </c>
      <c r="Q51" s="1">
        <v>9000</v>
      </c>
      <c r="R51" s="1">
        <v>8605</v>
      </c>
      <c r="S51" s="1">
        <v>25815</v>
      </c>
    </row>
    <row r="52" spans="1:19" x14ac:dyDescent="0.2">
      <c r="A52" t="s">
        <v>383</v>
      </c>
      <c r="B52" t="s">
        <v>384</v>
      </c>
      <c r="C52" t="s">
        <v>141</v>
      </c>
      <c r="D52" t="s">
        <v>385</v>
      </c>
      <c r="F52" t="s">
        <v>143</v>
      </c>
      <c r="G52">
        <v>1</v>
      </c>
      <c r="H52" s="1">
        <v>248070</v>
      </c>
      <c r="I52">
        <v>2009</v>
      </c>
      <c r="J52" t="s">
        <v>367</v>
      </c>
      <c r="K52">
        <v>10930</v>
      </c>
      <c r="L52" t="s">
        <v>28</v>
      </c>
      <c r="M52">
        <v>0.7</v>
      </c>
      <c r="N52">
        <v>1.8</v>
      </c>
      <c r="O52">
        <v>13836</v>
      </c>
      <c r="P52">
        <v>1.27</v>
      </c>
      <c r="Q52" s="1">
        <v>292589</v>
      </c>
      <c r="R52" s="1">
        <v>294551</v>
      </c>
      <c r="S52" s="1">
        <v>530192</v>
      </c>
    </row>
    <row r="53" spans="1:19" x14ac:dyDescent="0.2">
      <c r="B53" t="s">
        <v>386</v>
      </c>
      <c r="C53" s="1">
        <v>10661197</v>
      </c>
      <c r="D53" s="1">
        <v>10730186</v>
      </c>
      <c r="E53" s="1">
        <v>18323460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294E-F0CF-4E40-96DB-92D977FC0655}">
  <dimension ref="A1:S36"/>
  <sheetViews>
    <sheetView workbookViewId="0">
      <selection activeCell="G22" sqref="G2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</row>
    <row r="2" spans="1:1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</row>
    <row r="3" spans="1:19" x14ac:dyDescent="0.2">
      <c r="A3" t="s">
        <v>387</v>
      </c>
      <c r="B3" t="s">
        <v>388</v>
      </c>
      <c r="C3" t="s">
        <v>105</v>
      </c>
      <c r="E3" t="s">
        <v>230</v>
      </c>
      <c r="F3" t="s">
        <v>106</v>
      </c>
      <c r="G3">
        <v>1</v>
      </c>
      <c r="H3" s="1">
        <v>26000</v>
      </c>
      <c r="I3">
        <v>2009</v>
      </c>
      <c r="J3" t="s">
        <v>389</v>
      </c>
      <c r="K3">
        <v>337439</v>
      </c>
      <c r="L3" t="s">
        <v>28</v>
      </c>
      <c r="M3">
        <v>0.5</v>
      </c>
      <c r="N3">
        <v>1.5</v>
      </c>
      <c r="O3">
        <v>355024</v>
      </c>
      <c r="P3">
        <v>1.05</v>
      </c>
      <c r="Q3" s="1">
        <v>26669</v>
      </c>
      <c r="R3" s="1">
        <v>26848</v>
      </c>
      <c r="S3" s="1">
        <v>40272</v>
      </c>
    </row>
    <row r="4" spans="1:19" x14ac:dyDescent="0.2">
      <c r="A4" t="s">
        <v>390</v>
      </c>
      <c r="B4" t="s">
        <v>391</v>
      </c>
      <c r="C4" t="s">
        <v>392</v>
      </c>
      <c r="D4" t="s">
        <v>393</v>
      </c>
      <c r="E4">
        <v>10</v>
      </c>
      <c r="F4" t="s">
        <v>88</v>
      </c>
      <c r="G4">
        <v>1</v>
      </c>
      <c r="H4" s="1">
        <v>70000</v>
      </c>
      <c r="I4">
        <v>2009</v>
      </c>
      <c r="J4" t="s">
        <v>394</v>
      </c>
      <c r="K4">
        <v>28630</v>
      </c>
      <c r="L4" t="s">
        <v>28</v>
      </c>
      <c r="M4">
        <v>0.8</v>
      </c>
      <c r="N4">
        <v>1.7</v>
      </c>
      <c r="O4">
        <v>36538</v>
      </c>
      <c r="P4">
        <v>1.28</v>
      </c>
      <c r="Q4" s="1">
        <v>85082</v>
      </c>
      <c r="R4" s="1">
        <v>85653</v>
      </c>
      <c r="S4" s="1">
        <v>145610</v>
      </c>
    </row>
    <row r="5" spans="1:19" x14ac:dyDescent="0.2">
      <c r="A5" t="s">
        <v>395</v>
      </c>
      <c r="B5" t="s">
        <v>396</v>
      </c>
      <c r="C5" t="s">
        <v>392</v>
      </c>
      <c r="D5" t="s">
        <v>397</v>
      </c>
      <c r="E5">
        <v>15</v>
      </c>
      <c r="F5" t="s">
        <v>88</v>
      </c>
      <c r="G5">
        <v>1</v>
      </c>
      <c r="H5" s="1">
        <v>20000</v>
      </c>
      <c r="I5">
        <v>2009</v>
      </c>
      <c r="J5" t="s">
        <v>394</v>
      </c>
      <c r="K5">
        <v>28630</v>
      </c>
      <c r="L5" t="s">
        <v>28</v>
      </c>
      <c r="M5">
        <v>0.8</v>
      </c>
      <c r="N5">
        <v>1.7</v>
      </c>
      <c r="O5">
        <v>36538</v>
      </c>
      <c r="P5">
        <v>1.28</v>
      </c>
      <c r="Q5" s="1">
        <v>24309</v>
      </c>
      <c r="R5" s="1">
        <v>24472</v>
      </c>
      <c r="S5" s="1">
        <v>41603</v>
      </c>
    </row>
    <row r="6" spans="1:19" x14ac:dyDescent="0.2">
      <c r="A6" t="s">
        <v>398</v>
      </c>
      <c r="B6" t="s">
        <v>399</v>
      </c>
      <c r="C6" t="s">
        <v>400</v>
      </c>
      <c r="D6" t="s">
        <v>401</v>
      </c>
      <c r="F6" t="s">
        <v>176</v>
      </c>
      <c r="G6">
        <v>1</v>
      </c>
      <c r="H6" s="1">
        <v>3407000</v>
      </c>
      <c r="I6">
        <v>2009</v>
      </c>
      <c r="J6" t="s">
        <v>402</v>
      </c>
      <c r="K6">
        <v>30379</v>
      </c>
      <c r="L6" t="s">
        <v>28</v>
      </c>
      <c r="M6">
        <v>0.6</v>
      </c>
      <c r="N6">
        <v>2.4</v>
      </c>
      <c r="O6">
        <v>29213</v>
      </c>
      <c r="P6">
        <v>0.96</v>
      </c>
      <c r="Q6" s="1">
        <v>3327914</v>
      </c>
      <c r="R6" s="1">
        <v>3350232</v>
      </c>
      <c r="S6" s="1">
        <v>8040557</v>
      </c>
    </row>
    <row r="7" spans="1:19" x14ac:dyDescent="0.2">
      <c r="A7" t="s">
        <v>403</v>
      </c>
      <c r="B7" t="s">
        <v>404</v>
      </c>
      <c r="C7" t="s">
        <v>400</v>
      </c>
      <c r="D7" t="s">
        <v>405</v>
      </c>
      <c r="F7" t="s">
        <v>176</v>
      </c>
      <c r="G7">
        <v>1</v>
      </c>
      <c r="H7" t="s">
        <v>33</v>
      </c>
    </row>
    <row r="8" spans="1:19" x14ac:dyDescent="0.2">
      <c r="A8" t="s">
        <v>406</v>
      </c>
      <c r="B8" t="s">
        <v>407</v>
      </c>
      <c r="C8" t="s">
        <v>400</v>
      </c>
      <c r="D8" t="s">
        <v>408</v>
      </c>
      <c r="F8" t="s">
        <v>409</v>
      </c>
      <c r="G8">
        <v>1</v>
      </c>
      <c r="H8" t="s">
        <v>33</v>
      </c>
    </row>
    <row r="9" spans="1:19" x14ac:dyDescent="0.2">
      <c r="A9" t="s">
        <v>410</v>
      </c>
      <c r="B9" t="s">
        <v>411</v>
      </c>
      <c r="C9" t="s">
        <v>400</v>
      </c>
      <c r="D9" t="s">
        <v>408</v>
      </c>
      <c r="F9" t="s">
        <v>409</v>
      </c>
      <c r="G9">
        <v>1</v>
      </c>
      <c r="H9" t="s">
        <v>33</v>
      </c>
    </row>
    <row r="10" spans="1:19" x14ac:dyDescent="0.2">
      <c r="A10" t="s">
        <v>412</v>
      </c>
      <c r="B10" t="s">
        <v>413</v>
      </c>
      <c r="C10" t="s">
        <v>400</v>
      </c>
      <c r="D10" t="s">
        <v>408</v>
      </c>
      <c r="F10" t="s">
        <v>409</v>
      </c>
      <c r="G10">
        <v>1</v>
      </c>
      <c r="H10" t="s">
        <v>33</v>
      </c>
    </row>
    <row r="11" spans="1:19" x14ac:dyDescent="0.2">
      <c r="A11" t="s">
        <v>414</v>
      </c>
      <c r="B11" t="s">
        <v>415</v>
      </c>
      <c r="C11" t="s">
        <v>416</v>
      </c>
      <c r="D11" t="s">
        <v>417</v>
      </c>
      <c r="E11" t="s">
        <v>418</v>
      </c>
      <c r="F11" t="s">
        <v>26</v>
      </c>
      <c r="G11">
        <v>1</v>
      </c>
      <c r="H11" s="1">
        <v>487000</v>
      </c>
      <c r="I11">
        <v>2010</v>
      </c>
      <c r="J11" t="s">
        <v>419</v>
      </c>
      <c r="K11">
        <v>23</v>
      </c>
      <c r="L11" t="s">
        <v>145</v>
      </c>
      <c r="M11">
        <v>0.6</v>
      </c>
      <c r="N11">
        <v>2.8</v>
      </c>
      <c r="O11">
        <v>23</v>
      </c>
      <c r="P11">
        <v>1</v>
      </c>
      <c r="Q11" s="1">
        <v>486746</v>
      </c>
      <c r="R11" s="1">
        <v>465399</v>
      </c>
      <c r="S11" s="1">
        <v>1303116</v>
      </c>
    </row>
    <row r="12" spans="1:19" x14ac:dyDescent="0.2">
      <c r="A12" t="s">
        <v>420</v>
      </c>
      <c r="B12" t="s">
        <v>421</v>
      </c>
      <c r="C12" t="s">
        <v>400</v>
      </c>
      <c r="D12" t="s">
        <v>422</v>
      </c>
      <c r="F12" t="s">
        <v>176</v>
      </c>
      <c r="G12">
        <v>1</v>
      </c>
      <c r="H12" t="s">
        <v>33</v>
      </c>
    </row>
    <row r="13" spans="1:19" x14ac:dyDescent="0.2">
      <c r="A13" t="s">
        <v>423</v>
      </c>
      <c r="B13" t="s">
        <v>424</v>
      </c>
      <c r="C13" t="s">
        <v>425</v>
      </c>
      <c r="F13" t="s">
        <v>106</v>
      </c>
      <c r="G13">
        <v>1</v>
      </c>
      <c r="H13" s="1">
        <v>2601000</v>
      </c>
      <c r="I13">
        <v>2009</v>
      </c>
      <c r="J13" t="s">
        <v>426</v>
      </c>
      <c r="K13">
        <v>22687</v>
      </c>
      <c r="L13" t="s">
        <v>28</v>
      </c>
      <c r="M13">
        <v>0.6</v>
      </c>
      <c r="N13">
        <v>1.8</v>
      </c>
      <c r="O13">
        <v>21808</v>
      </c>
      <c r="P13">
        <v>0.96</v>
      </c>
      <c r="Q13" s="1">
        <v>2540057</v>
      </c>
      <c r="R13" s="1">
        <v>2557091</v>
      </c>
      <c r="S13" s="1">
        <v>4602764</v>
      </c>
    </row>
    <row r="14" spans="1:19" x14ac:dyDescent="0.2">
      <c r="A14" t="s">
        <v>427</v>
      </c>
      <c r="B14" t="s">
        <v>428</v>
      </c>
      <c r="C14" t="s">
        <v>429</v>
      </c>
      <c r="D14" t="s">
        <v>430</v>
      </c>
      <c r="E14" t="s">
        <v>431</v>
      </c>
      <c r="G14">
        <v>1</v>
      </c>
      <c r="H14" s="1">
        <v>75200</v>
      </c>
      <c r="I14">
        <v>2009</v>
      </c>
      <c r="J14" t="s">
        <v>432</v>
      </c>
      <c r="K14">
        <v>808</v>
      </c>
      <c r="L14" t="s">
        <v>28</v>
      </c>
      <c r="M14">
        <v>0.6</v>
      </c>
      <c r="N14">
        <v>1.6</v>
      </c>
      <c r="O14">
        <v>809</v>
      </c>
      <c r="P14">
        <v>1</v>
      </c>
      <c r="Q14" s="1">
        <v>75245</v>
      </c>
      <c r="R14" s="1">
        <v>75750</v>
      </c>
      <c r="S14" s="1">
        <v>121199</v>
      </c>
    </row>
    <row r="15" spans="1:19" x14ac:dyDescent="0.2">
      <c r="A15" t="s">
        <v>433</v>
      </c>
      <c r="B15" t="s">
        <v>434</v>
      </c>
      <c r="C15" t="s">
        <v>429</v>
      </c>
      <c r="D15" t="s">
        <v>435</v>
      </c>
      <c r="E15" t="s">
        <v>436</v>
      </c>
      <c r="G15">
        <v>2</v>
      </c>
      <c r="H15" s="1">
        <v>405000</v>
      </c>
      <c r="I15">
        <v>2009</v>
      </c>
      <c r="J15" t="s">
        <v>437</v>
      </c>
      <c r="K15">
        <v>12233</v>
      </c>
      <c r="L15" t="s">
        <v>28</v>
      </c>
      <c r="M15">
        <v>0.6</v>
      </c>
      <c r="N15">
        <v>1.6</v>
      </c>
      <c r="O15">
        <v>12105</v>
      </c>
      <c r="P15">
        <v>0.99</v>
      </c>
      <c r="Q15" s="1">
        <v>402453</v>
      </c>
      <c r="R15" s="1">
        <v>405152</v>
      </c>
      <c r="S15" s="1">
        <v>648243</v>
      </c>
    </row>
    <row r="16" spans="1:19" x14ac:dyDescent="0.2">
      <c r="A16" t="s">
        <v>438</v>
      </c>
      <c r="B16" t="s">
        <v>439</v>
      </c>
      <c r="C16" t="s">
        <v>400</v>
      </c>
      <c r="D16" t="s">
        <v>440</v>
      </c>
      <c r="E16">
        <v>200</v>
      </c>
      <c r="F16" t="s">
        <v>176</v>
      </c>
      <c r="G16">
        <v>1</v>
      </c>
      <c r="H16" t="s">
        <v>33</v>
      </c>
    </row>
    <row r="17" spans="1:19" x14ac:dyDescent="0.2">
      <c r="A17" t="s">
        <v>441</v>
      </c>
      <c r="B17" t="s">
        <v>442</v>
      </c>
      <c r="C17" t="s">
        <v>400</v>
      </c>
      <c r="D17" t="s">
        <v>443</v>
      </c>
      <c r="E17">
        <v>2</v>
      </c>
      <c r="F17" t="s">
        <v>176</v>
      </c>
      <c r="G17">
        <v>1</v>
      </c>
      <c r="H17" t="s">
        <v>33</v>
      </c>
    </row>
    <row r="18" spans="1:19" x14ac:dyDescent="0.2">
      <c r="A18" t="s">
        <v>444</v>
      </c>
      <c r="B18" t="s">
        <v>445</v>
      </c>
      <c r="C18" t="s">
        <v>400</v>
      </c>
      <c r="D18" t="s">
        <v>446</v>
      </c>
      <c r="E18">
        <v>15</v>
      </c>
      <c r="F18" t="s">
        <v>176</v>
      </c>
      <c r="G18">
        <v>1</v>
      </c>
      <c r="H18" t="s">
        <v>33</v>
      </c>
    </row>
    <row r="19" spans="1:19" x14ac:dyDescent="0.2">
      <c r="A19" t="s">
        <v>447</v>
      </c>
      <c r="B19" t="s">
        <v>448</v>
      </c>
      <c r="C19" t="s">
        <v>400</v>
      </c>
      <c r="D19" t="s">
        <v>449</v>
      </c>
      <c r="E19">
        <v>50</v>
      </c>
      <c r="F19" t="s">
        <v>176</v>
      </c>
      <c r="G19">
        <v>1</v>
      </c>
      <c r="H19" t="s">
        <v>33</v>
      </c>
    </row>
    <row r="20" spans="1:19" x14ac:dyDescent="0.2">
      <c r="A20" t="s">
        <v>450</v>
      </c>
      <c r="B20" t="s">
        <v>451</v>
      </c>
      <c r="C20" t="s">
        <v>400</v>
      </c>
      <c r="D20" t="s">
        <v>452</v>
      </c>
      <c r="E20">
        <v>75</v>
      </c>
      <c r="F20" t="s">
        <v>176</v>
      </c>
      <c r="G20">
        <v>1</v>
      </c>
      <c r="H20" t="s">
        <v>33</v>
      </c>
    </row>
    <row r="21" spans="1:19" x14ac:dyDescent="0.2">
      <c r="A21" t="s">
        <v>453</v>
      </c>
      <c r="B21" t="s">
        <v>454</v>
      </c>
      <c r="C21" t="s">
        <v>174</v>
      </c>
      <c r="D21" t="s">
        <v>455</v>
      </c>
      <c r="F21" t="s">
        <v>176</v>
      </c>
      <c r="G21">
        <v>1</v>
      </c>
      <c r="H21" s="1">
        <v>6300</v>
      </c>
      <c r="I21">
        <v>2009</v>
      </c>
      <c r="J21" t="s">
        <v>456</v>
      </c>
      <c r="K21">
        <v>24527</v>
      </c>
      <c r="L21" t="s">
        <v>28</v>
      </c>
      <c r="M21">
        <v>0.8</v>
      </c>
      <c r="N21">
        <v>2.2999999999999998</v>
      </c>
      <c r="O21">
        <v>27197</v>
      </c>
      <c r="P21">
        <v>1.1100000000000001</v>
      </c>
      <c r="Q21" s="1">
        <v>6843</v>
      </c>
      <c r="R21" s="1">
        <v>6889</v>
      </c>
      <c r="S21" s="1">
        <v>15844</v>
      </c>
    </row>
    <row r="22" spans="1:19" x14ac:dyDescent="0.2">
      <c r="A22" t="s">
        <v>457</v>
      </c>
      <c r="B22" t="s">
        <v>458</v>
      </c>
      <c r="C22" t="s">
        <v>459</v>
      </c>
      <c r="D22" t="s">
        <v>460</v>
      </c>
      <c r="F22" t="s">
        <v>106</v>
      </c>
      <c r="G22">
        <v>1</v>
      </c>
      <c r="H22" s="1">
        <v>13040</v>
      </c>
      <c r="I22">
        <v>2010</v>
      </c>
      <c r="J22" t="s">
        <v>461</v>
      </c>
      <c r="K22">
        <v>31815</v>
      </c>
      <c r="L22" t="s">
        <v>28</v>
      </c>
      <c r="M22">
        <v>0.8</v>
      </c>
      <c r="N22">
        <v>2.2999999999999998</v>
      </c>
      <c r="O22">
        <v>36538</v>
      </c>
      <c r="P22">
        <v>1.1499999999999999</v>
      </c>
      <c r="Q22" s="1">
        <v>14567</v>
      </c>
      <c r="R22" s="1">
        <v>13928</v>
      </c>
      <c r="S22" s="1">
        <v>32035</v>
      </c>
    </row>
    <row r="23" spans="1:19" x14ac:dyDescent="0.2">
      <c r="A23" t="s">
        <v>462</v>
      </c>
      <c r="B23" t="s">
        <v>463</v>
      </c>
      <c r="C23" t="s">
        <v>464</v>
      </c>
      <c r="D23" t="s">
        <v>465</v>
      </c>
      <c r="E23" t="s">
        <v>240</v>
      </c>
      <c r="F23" t="s">
        <v>106</v>
      </c>
      <c r="G23">
        <v>1</v>
      </c>
      <c r="H23" s="1">
        <v>18173</v>
      </c>
      <c r="I23">
        <v>2010</v>
      </c>
      <c r="J23" t="s">
        <v>461</v>
      </c>
      <c r="K23">
        <v>31815</v>
      </c>
      <c r="L23" t="s">
        <v>28</v>
      </c>
      <c r="M23">
        <v>0.8</v>
      </c>
      <c r="N23">
        <v>2.2999999999999998</v>
      </c>
      <c r="O23">
        <v>36538</v>
      </c>
      <c r="P23">
        <v>1.1499999999999999</v>
      </c>
      <c r="Q23" s="1">
        <v>20301</v>
      </c>
      <c r="R23" s="1">
        <v>19411</v>
      </c>
      <c r="S23" s="1">
        <v>44645</v>
      </c>
    </row>
    <row r="24" spans="1:19" x14ac:dyDescent="0.2">
      <c r="A24" t="s">
        <v>466</v>
      </c>
      <c r="B24" t="s">
        <v>467</v>
      </c>
      <c r="C24" t="s">
        <v>464</v>
      </c>
      <c r="E24" t="s">
        <v>240</v>
      </c>
      <c r="F24" t="s">
        <v>106</v>
      </c>
      <c r="G24">
        <v>1</v>
      </c>
      <c r="H24" s="1">
        <v>17057</v>
      </c>
      <c r="I24">
        <v>2010</v>
      </c>
      <c r="J24" t="s">
        <v>461</v>
      </c>
      <c r="K24">
        <v>31815</v>
      </c>
      <c r="L24" t="s">
        <v>28</v>
      </c>
      <c r="M24">
        <v>0.8</v>
      </c>
      <c r="N24">
        <v>2.2999999999999998</v>
      </c>
      <c r="O24">
        <v>36538</v>
      </c>
      <c r="P24">
        <v>1.1499999999999999</v>
      </c>
      <c r="Q24" s="1">
        <v>19054</v>
      </c>
      <c r="R24" s="1">
        <v>18219</v>
      </c>
      <c r="S24" s="1">
        <v>41903</v>
      </c>
    </row>
    <row r="25" spans="1:19" x14ac:dyDescent="0.2">
      <c r="A25" t="s">
        <v>468</v>
      </c>
      <c r="B25" t="s">
        <v>469</v>
      </c>
      <c r="C25" t="s">
        <v>464</v>
      </c>
      <c r="E25" t="s">
        <v>431</v>
      </c>
      <c r="F25" t="s">
        <v>106</v>
      </c>
      <c r="G25">
        <v>1</v>
      </c>
      <c r="H25" s="1">
        <v>29154</v>
      </c>
      <c r="I25">
        <v>2010</v>
      </c>
      <c r="J25" t="s">
        <v>461</v>
      </c>
      <c r="K25">
        <v>31815</v>
      </c>
      <c r="L25" t="s">
        <v>28</v>
      </c>
      <c r="M25">
        <v>0.8</v>
      </c>
      <c r="N25">
        <v>2.2999999999999998</v>
      </c>
      <c r="O25">
        <v>36538</v>
      </c>
      <c r="P25">
        <v>1.1499999999999999</v>
      </c>
      <c r="Q25" s="1">
        <v>32568</v>
      </c>
      <c r="R25" s="1">
        <v>31140</v>
      </c>
      <c r="S25" s="1">
        <v>71621</v>
      </c>
    </row>
    <row r="26" spans="1:19" x14ac:dyDescent="0.2">
      <c r="A26" t="s">
        <v>470</v>
      </c>
      <c r="B26" t="s">
        <v>471</v>
      </c>
      <c r="C26" t="s">
        <v>459</v>
      </c>
      <c r="D26" t="s">
        <v>460</v>
      </c>
      <c r="E26" t="s">
        <v>472</v>
      </c>
      <c r="F26" t="s">
        <v>106</v>
      </c>
      <c r="G26">
        <v>1</v>
      </c>
      <c r="H26" s="1">
        <v>13040</v>
      </c>
      <c r="I26">
        <v>2010</v>
      </c>
      <c r="J26" t="s">
        <v>461</v>
      </c>
      <c r="K26">
        <v>31815</v>
      </c>
      <c r="L26" t="s">
        <v>28</v>
      </c>
      <c r="M26">
        <v>0.8</v>
      </c>
      <c r="N26">
        <v>2.2999999999999998</v>
      </c>
      <c r="O26">
        <v>36538</v>
      </c>
      <c r="P26">
        <v>1.1499999999999999</v>
      </c>
      <c r="Q26" s="1">
        <v>14567</v>
      </c>
      <c r="R26" s="1">
        <v>13928</v>
      </c>
      <c r="S26" s="1">
        <v>32035</v>
      </c>
    </row>
    <row r="27" spans="1:19" x14ac:dyDescent="0.2">
      <c r="A27" t="s">
        <v>473</v>
      </c>
      <c r="B27" t="s">
        <v>474</v>
      </c>
      <c r="C27" t="s">
        <v>196</v>
      </c>
      <c r="D27" t="s">
        <v>475</v>
      </c>
      <c r="F27" t="s">
        <v>205</v>
      </c>
      <c r="G27">
        <v>2</v>
      </c>
      <c r="H27" s="1">
        <v>3294700</v>
      </c>
      <c r="I27">
        <v>2010</v>
      </c>
      <c r="J27" t="s">
        <v>461</v>
      </c>
      <c r="K27">
        <v>31815</v>
      </c>
      <c r="L27" t="s">
        <v>28</v>
      </c>
      <c r="M27">
        <v>0.8</v>
      </c>
      <c r="N27">
        <v>1.7</v>
      </c>
      <c r="O27">
        <v>36538</v>
      </c>
      <c r="P27">
        <v>1.1499999999999999</v>
      </c>
      <c r="Q27" s="1">
        <v>3680519</v>
      </c>
      <c r="R27" s="1">
        <v>3519098</v>
      </c>
      <c r="S27" s="1">
        <v>5982467</v>
      </c>
    </row>
    <row r="28" spans="1:19" x14ac:dyDescent="0.2">
      <c r="A28" t="s">
        <v>476</v>
      </c>
      <c r="B28" t="s">
        <v>477</v>
      </c>
      <c r="C28" t="s">
        <v>400</v>
      </c>
      <c r="D28" t="s">
        <v>478</v>
      </c>
      <c r="F28" t="s">
        <v>176</v>
      </c>
      <c r="G28">
        <v>1</v>
      </c>
      <c r="H28" t="s">
        <v>33</v>
      </c>
    </row>
    <row r="29" spans="1:19" x14ac:dyDescent="0.2">
      <c r="A29" t="s">
        <v>479</v>
      </c>
      <c r="B29" t="s">
        <v>480</v>
      </c>
      <c r="C29" t="s">
        <v>400</v>
      </c>
      <c r="D29" t="s">
        <v>478</v>
      </c>
      <c r="F29" t="s">
        <v>176</v>
      </c>
      <c r="G29">
        <v>1</v>
      </c>
      <c r="H29" t="s">
        <v>33</v>
      </c>
    </row>
    <row r="30" spans="1:19" x14ac:dyDescent="0.2">
      <c r="A30" t="s">
        <v>481</v>
      </c>
      <c r="B30" t="s">
        <v>482</v>
      </c>
      <c r="C30" t="s">
        <v>483</v>
      </c>
      <c r="D30" t="s">
        <v>484</v>
      </c>
      <c r="F30" t="s">
        <v>485</v>
      </c>
      <c r="G30">
        <v>1</v>
      </c>
      <c r="H30" s="1">
        <v>215000</v>
      </c>
      <c r="I30">
        <v>2009</v>
      </c>
      <c r="J30" t="s">
        <v>486</v>
      </c>
      <c r="K30">
        <v>22608</v>
      </c>
      <c r="L30" t="s">
        <v>28</v>
      </c>
      <c r="M30">
        <v>0.6</v>
      </c>
      <c r="N30">
        <v>2.4</v>
      </c>
      <c r="O30">
        <v>21759</v>
      </c>
      <c r="P30">
        <v>0.96</v>
      </c>
      <c r="Q30" s="1">
        <v>210121</v>
      </c>
      <c r="R30" s="1">
        <v>211530</v>
      </c>
      <c r="S30" s="1">
        <v>507673</v>
      </c>
    </row>
    <row r="31" spans="1:19" x14ac:dyDescent="0.2">
      <c r="A31" t="s">
        <v>487</v>
      </c>
      <c r="B31" t="s">
        <v>488</v>
      </c>
      <c r="D31" t="s">
        <v>489</v>
      </c>
      <c r="F31" t="s">
        <v>106</v>
      </c>
      <c r="G31">
        <v>1</v>
      </c>
      <c r="H31" s="1">
        <v>103000</v>
      </c>
      <c r="I31">
        <v>2010</v>
      </c>
      <c r="J31" t="s">
        <v>461</v>
      </c>
      <c r="K31">
        <v>31815</v>
      </c>
      <c r="L31" t="s">
        <v>28</v>
      </c>
      <c r="M31">
        <v>0.7</v>
      </c>
      <c r="N31">
        <v>2</v>
      </c>
      <c r="O31">
        <v>36538</v>
      </c>
      <c r="P31">
        <v>1.1499999999999999</v>
      </c>
      <c r="Q31" s="1">
        <v>113480</v>
      </c>
      <c r="R31" s="1">
        <v>108503</v>
      </c>
      <c r="S31" s="1">
        <v>217006</v>
      </c>
    </row>
    <row r="32" spans="1:19" x14ac:dyDescent="0.2">
      <c r="A32" t="s">
        <v>490</v>
      </c>
      <c r="B32" t="s">
        <v>491</v>
      </c>
      <c r="D32" t="s">
        <v>492</v>
      </c>
      <c r="F32" t="s">
        <v>106</v>
      </c>
      <c r="G32">
        <v>1</v>
      </c>
      <c r="H32" s="1">
        <v>174800</v>
      </c>
      <c r="I32">
        <v>2010</v>
      </c>
      <c r="J32" t="s">
        <v>461</v>
      </c>
      <c r="K32">
        <v>31815</v>
      </c>
      <c r="L32" t="s">
        <v>28</v>
      </c>
      <c r="M32">
        <v>0.7</v>
      </c>
      <c r="N32">
        <v>2</v>
      </c>
      <c r="O32">
        <v>36538</v>
      </c>
      <c r="P32">
        <v>1.1499999999999999</v>
      </c>
      <c r="Q32" s="1">
        <v>192585</v>
      </c>
      <c r="R32" s="1">
        <v>184139</v>
      </c>
      <c r="S32" s="1">
        <v>368278</v>
      </c>
    </row>
    <row r="33" spans="1:19" x14ac:dyDescent="0.2">
      <c r="A33" t="s">
        <v>493</v>
      </c>
      <c r="B33" t="s">
        <v>494</v>
      </c>
      <c r="C33" t="s">
        <v>495</v>
      </c>
      <c r="D33" t="s">
        <v>496</v>
      </c>
      <c r="F33" t="s">
        <v>382</v>
      </c>
      <c r="G33">
        <v>1</v>
      </c>
      <c r="H33" s="1">
        <v>1520</v>
      </c>
      <c r="I33">
        <v>2010</v>
      </c>
      <c r="J33" t="s">
        <v>461</v>
      </c>
      <c r="K33">
        <v>31815</v>
      </c>
      <c r="L33" t="s">
        <v>28</v>
      </c>
      <c r="M33">
        <v>0.7</v>
      </c>
      <c r="N33">
        <v>3</v>
      </c>
      <c r="O33">
        <v>36538</v>
      </c>
      <c r="P33">
        <v>1.1499999999999999</v>
      </c>
      <c r="Q33" s="1">
        <v>1675</v>
      </c>
      <c r="R33" s="1">
        <v>1601</v>
      </c>
      <c r="S33" s="1">
        <v>4804</v>
      </c>
    </row>
    <row r="34" spans="1:19" x14ac:dyDescent="0.2">
      <c r="A34" t="s">
        <v>497</v>
      </c>
      <c r="B34" t="s">
        <v>498</v>
      </c>
      <c r="D34" t="s">
        <v>499</v>
      </c>
      <c r="F34" t="s">
        <v>26</v>
      </c>
      <c r="G34">
        <v>1</v>
      </c>
      <c r="H34" s="1">
        <v>8000</v>
      </c>
      <c r="I34">
        <v>2010</v>
      </c>
      <c r="J34" t="s">
        <v>461</v>
      </c>
      <c r="K34">
        <v>31815</v>
      </c>
      <c r="L34" t="s">
        <v>28</v>
      </c>
      <c r="M34">
        <v>0.7</v>
      </c>
      <c r="N34">
        <v>3.1</v>
      </c>
      <c r="O34">
        <v>36538</v>
      </c>
      <c r="P34">
        <v>1.1499999999999999</v>
      </c>
      <c r="Q34" s="1">
        <v>8814</v>
      </c>
      <c r="R34" s="1">
        <v>8427</v>
      </c>
      <c r="S34" s="1">
        <v>26125</v>
      </c>
    </row>
    <row r="35" spans="1:19" x14ac:dyDescent="0.2">
      <c r="A35" t="s">
        <v>500</v>
      </c>
      <c r="B35" t="s">
        <v>501</v>
      </c>
      <c r="D35" t="s">
        <v>502</v>
      </c>
      <c r="F35" t="s">
        <v>26</v>
      </c>
      <c r="G35">
        <v>2</v>
      </c>
      <c r="H35" s="1">
        <v>17000</v>
      </c>
      <c r="I35">
        <v>2010</v>
      </c>
      <c r="J35" t="s">
        <v>461</v>
      </c>
      <c r="K35">
        <v>31815</v>
      </c>
      <c r="L35" t="s">
        <v>28</v>
      </c>
      <c r="M35">
        <v>0.7</v>
      </c>
      <c r="N35">
        <v>3.1</v>
      </c>
      <c r="O35">
        <v>36538</v>
      </c>
      <c r="P35">
        <v>1.1499999999999999</v>
      </c>
      <c r="Q35" s="1">
        <v>18730</v>
      </c>
      <c r="R35" s="1">
        <v>17908</v>
      </c>
      <c r="S35" s="1">
        <v>55516</v>
      </c>
    </row>
    <row r="36" spans="1:19" x14ac:dyDescent="0.2">
      <c r="B36" t="s">
        <v>503</v>
      </c>
      <c r="C36" s="1">
        <v>11302300</v>
      </c>
      <c r="D36" s="1">
        <v>11145318</v>
      </c>
      <c r="E36" s="1">
        <v>22343314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4D76-C34B-BB43-9043-B660D5E93946}">
  <dimension ref="A1:S45"/>
  <sheetViews>
    <sheetView topLeftCell="B14" workbookViewId="0">
      <selection activeCell="B22" sqref="B2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</row>
    <row r="2" spans="1:1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</row>
    <row r="3" spans="1:19" x14ac:dyDescent="0.2">
      <c r="A3" t="s">
        <v>504</v>
      </c>
      <c r="B3" t="s">
        <v>505</v>
      </c>
      <c r="C3" t="s">
        <v>506</v>
      </c>
      <c r="D3" t="s">
        <v>507</v>
      </c>
      <c r="E3">
        <v>200</v>
      </c>
      <c r="G3">
        <v>4</v>
      </c>
      <c r="H3" t="s">
        <v>33</v>
      </c>
    </row>
    <row r="4" spans="1:19" x14ac:dyDescent="0.2">
      <c r="A4" t="s">
        <v>508</v>
      </c>
      <c r="B4" t="s">
        <v>509</v>
      </c>
      <c r="C4" t="s">
        <v>506</v>
      </c>
      <c r="D4" t="s">
        <v>510</v>
      </c>
      <c r="E4" s="2">
        <v>1000</v>
      </c>
      <c r="G4">
        <v>8</v>
      </c>
      <c r="H4" s="1">
        <v>1933750</v>
      </c>
      <c r="I4">
        <v>2010</v>
      </c>
      <c r="J4" t="s">
        <v>511</v>
      </c>
      <c r="K4">
        <v>393100</v>
      </c>
      <c r="L4" t="s">
        <v>28</v>
      </c>
      <c r="M4">
        <v>0.6</v>
      </c>
      <c r="N4">
        <v>1</v>
      </c>
      <c r="O4">
        <v>411178</v>
      </c>
      <c r="P4">
        <v>1.05</v>
      </c>
      <c r="Q4" s="1">
        <v>1986627</v>
      </c>
      <c r="R4" s="1">
        <v>1899498</v>
      </c>
      <c r="S4" s="1">
        <v>1899498</v>
      </c>
    </row>
    <row r="5" spans="1:19" x14ac:dyDescent="0.2">
      <c r="A5" t="s">
        <v>512</v>
      </c>
      <c r="B5" t="s">
        <v>513</v>
      </c>
      <c r="F5" t="s">
        <v>26</v>
      </c>
      <c r="G5">
        <v>1</v>
      </c>
      <c r="H5" s="1">
        <v>25000</v>
      </c>
      <c r="I5">
        <v>2010</v>
      </c>
      <c r="J5" t="s">
        <v>511</v>
      </c>
      <c r="K5">
        <v>393100</v>
      </c>
      <c r="L5" t="s">
        <v>28</v>
      </c>
      <c r="M5">
        <v>0.6</v>
      </c>
      <c r="N5">
        <v>1</v>
      </c>
      <c r="O5">
        <v>411178</v>
      </c>
      <c r="P5">
        <v>1.05</v>
      </c>
      <c r="Q5" s="1">
        <v>25684</v>
      </c>
      <c r="R5" s="1">
        <v>24557</v>
      </c>
      <c r="S5" s="1">
        <v>24557</v>
      </c>
    </row>
    <row r="6" spans="1:19" x14ac:dyDescent="0.2">
      <c r="A6" t="s">
        <v>514</v>
      </c>
      <c r="B6" t="s">
        <v>515</v>
      </c>
      <c r="C6" t="s">
        <v>516</v>
      </c>
      <c r="D6" t="s">
        <v>517</v>
      </c>
      <c r="F6" t="s">
        <v>518</v>
      </c>
      <c r="G6">
        <v>1</v>
      </c>
      <c r="H6" s="1">
        <v>83863</v>
      </c>
      <c r="I6">
        <v>2010</v>
      </c>
      <c r="J6" t="s">
        <v>511</v>
      </c>
      <c r="K6">
        <v>393100</v>
      </c>
      <c r="L6" t="s">
        <v>28</v>
      </c>
      <c r="M6">
        <v>0.6</v>
      </c>
      <c r="N6">
        <v>1</v>
      </c>
      <c r="O6">
        <v>411178</v>
      </c>
      <c r="P6">
        <v>1.05</v>
      </c>
      <c r="Q6" s="1">
        <v>86156</v>
      </c>
      <c r="R6" s="1">
        <v>82378</v>
      </c>
      <c r="S6" s="1">
        <v>82378</v>
      </c>
    </row>
    <row r="7" spans="1:19" x14ac:dyDescent="0.2">
      <c r="A7" t="s">
        <v>519</v>
      </c>
      <c r="B7" t="s">
        <v>520</v>
      </c>
      <c r="C7" t="s">
        <v>506</v>
      </c>
      <c r="G7">
        <v>4</v>
      </c>
      <c r="H7" s="1">
        <v>32955</v>
      </c>
      <c r="I7">
        <v>2010</v>
      </c>
      <c r="J7" t="s">
        <v>511</v>
      </c>
      <c r="K7">
        <v>393100</v>
      </c>
      <c r="L7" t="s">
        <v>28</v>
      </c>
      <c r="M7">
        <v>0.6</v>
      </c>
      <c r="N7">
        <v>1</v>
      </c>
      <c r="O7">
        <v>411178</v>
      </c>
      <c r="P7">
        <v>1.05</v>
      </c>
      <c r="Q7" s="1">
        <v>33856</v>
      </c>
      <c r="R7" s="1">
        <v>32371</v>
      </c>
      <c r="S7" s="1">
        <v>32371</v>
      </c>
    </row>
    <row r="8" spans="1:19" x14ac:dyDescent="0.2">
      <c r="A8" t="s">
        <v>521</v>
      </c>
      <c r="B8" t="s">
        <v>522</v>
      </c>
      <c r="C8" t="s">
        <v>506</v>
      </c>
      <c r="D8" t="s">
        <v>523</v>
      </c>
      <c r="E8">
        <v>10</v>
      </c>
      <c r="G8">
        <v>1</v>
      </c>
      <c r="H8" s="1">
        <v>9300</v>
      </c>
      <c r="I8">
        <v>2010</v>
      </c>
      <c r="J8" t="s">
        <v>511</v>
      </c>
      <c r="K8">
        <v>393100</v>
      </c>
      <c r="L8" t="s">
        <v>28</v>
      </c>
      <c r="M8">
        <v>0.6</v>
      </c>
      <c r="N8">
        <v>1</v>
      </c>
      <c r="O8">
        <v>411178</v>
      </c>
      <c r="P8">
        <v>1.05</v>
      </c>
      <c r="Q8" s="1">
        <v>9554</v>
      </c>
      <c r="R8" s="1">
        <v>9135</v>
      </c>
      <c r="S8" s="1">
        <v>9135</v>
      </c>
    </row>
    <row r="9" spans="1:19" x14ac:dyDescent="0.2">
      <c r="A9" t="s">
        <v>524</v>
      </c>
      <c r="B9" t="s">
        <v>525</v>
      </c>
      <c r="C9" t="s">
        <v>506</v>
      </c>
      <c r="D9" t="s">
        <v>526</v>
      </c>
      <c r="E9">
        <v>1.5</v>
      </c>
      <c r="G9">
        <v>3</v>
      </c>
      <c r="H9" s="1">
        <v>22800</v>
      </c>
      <c r="I9">
        <v>2010</v>
      </c>
      <c r="J9" t="s">
        <v>511</v>
      </c>
      <c r="K9">
        <v>393100</v>
      </c>
      <c r="L9" t="s">
        <v>28</v>
      </c>
      <c r="M9">
        <v>0.6</v>
      </c>
      <c r="N9">
        <v>1</v>
      </c>
      <c r="O9">
        <v>411178</v>
      </c>
      <c r="P9">
        <v>1.05</v>
      </c>
      <c r="Q9" s="1">
        <v>23423</v>
      </c>
      <c r="R9" s="1">
        <v>22396</v>
      </c>
      <c r="S9" s="1">
        <v>22396</v>
      </c>
    </row>
    <row r="10" spans="1:19" x14ac:dyDescent="0.2">
      <c r="A10" t="s">
        <v>527</v>
      </c>
      <c r="B10" t="s">
        <v>528</v>
      </c>
      <c r="H10" s="1">
        <v>3801095</v>
      </c>
      <c r="I10">
        <v>2010</v>
      </c>
      <c r="J10" t="s">
        <v>511</v>
      </c>
      <c r="K10">
        <v>393100</v>
      </c>
      <c r="L10" t="s">
        <v>28</v>
      </c>
      <c r="M10">
        <v>0.6</v>
      </c>
      <c r="N10">
        <v>1</v>
      </c>
      <c r="O10">
        <v>411178</v>
      </c>
      <c r="P10">
        <v>1.05</v>
      </c>
      <c r="Q10" s="1">
        <v>3905034</v>
      </c>
      <c r="R10" s="1">
        <v>3733767</v>
      </c>
      <c r="S10" s="1">
        <v>3733767</v>
      </c>
    </row>
    <row r="11" spans="1:19" x14ac:dyDescent="0.2">
      <c r="A11" t="s">
        <v>529</v>
      </c>
      <c r="B11" t="s">
        <v>530</v>
      </c>
      <c r="C11" t="s">
        <v>506</v>
      </c>
      <c r="D11" t="s">
        <v>531</v>
      </c>
      <c r="E11">
        <v>50</v>
      </c>
      <c r="F11" t="s">
        <v>26</v>
      </c>
      <c r="G11">
        <v>4</v>
      </c>
      <c r="H11" s="1">
        <v>231488</v>
      </c>
      <c r="I11">
        <v>2010</v>
      </c>
      <c r="J11" t="s">
        <v>511</v>
      </c>
      <c r="K11">
        <v>393100</v>
      </c>
      <c r="L11" t="s">
        <v>28</v>
      </c>
      <c r="M11">
        <v>0.6</v>
      </c>
      <c r="N11">
        <v>1</v>
      </c>
      <c r="O11">
        <v>411178</v>
      </c>
      <c r="P11">
        <v>1.05</v>
      </c>
      <c r="Q11" s="1">
        <v>237818</v>
      </c>
      <c r="R11" s="1">
        <v>227388</v>
      </c>
      <c r="S11" s="1">
        <v>227388</v>
      </c>
    </row>
    <row r="12" spans="1:19" x14ac:dyDescent="0.2">
      <c r="A12" t="s">
        <v>532</v>
      </c>
      <c r="B12" t="s">
        <v>533</v>
      </c>
      <c r="C12" t="s">
        <v>506</v>
      </c>
      <c r="D12" t="s">
        <v>534</v>
      </c>
      <c r="E12">
        <v>7.5</v>
      </c>
      <c r="G12">
        <v>4</v>
      </c>
      <c r="H12" t="s">
        <v>33</v>
      </c>
    </row>
    <row r="13" spans="1:19" x14ac:dyDescent="0.2">
      <c r="A13" t="s">
        <v>535</v>
      </c>
      <c r="B13" t="s">
        <v>536</v>
      </c>
      <c r="C13" t="s">
        <v>506</v>
      </c>
      <c r="D13" t="s">
        <v>537</v>
      </c>
      <c r="E13">
        <v>3</v>
      </c>
      <c r="G13">
        <v>6</v>
      </c>
      <c r="H13" s="1">
        <v>93300</v>
      </c>
      <c r="I13">
        <v>2010</v>
      </c>
      <c r="J13" t="s">
        <v>511</v>
      </c>
      <c r="K13">
        <v>393100</v>
      </c>
      <c r="L13" t="s">
        <v>28</v>
      </c>
      <c r="M13">
        <v>0.6</v>
      </c>
      <c r="N13">
        <v>1</v>
      </c>
      <c r="O13">
        <v>411178</v>
      </c>
      <c r="P13">
        <v>1.05</v>
      </c>
      <c r="Q13" s="1">
        <v>95851</v>
      </c>
      <c r="R13" s="1">
        <v>91647</v>
      </c>
      <c r="S13" s="1">
        <v>91647</v>
      </c>
    </row>
    <row r="14" spans="1:19" x14ac:dyDescent="0.2">
      <c r="A14" t="s">
        <v>538</v>
      </c>
      <c r="B14" t="s">
        <v>539</v>
      </c>
      <c r="C14" t="s">
        <v>506</v>
      </c>
      <c r="E14">
        <v>15</v>
      </c>
      <c r="G14">
        <v>4</v>
      </c>
      <c r="H14" s="1">
        <v>84000</v>
      </c>
      <c r="I14">
        <v>2010</v>
      </c>
      <c r="J14" t="s">
        <v>511</v>
      </c>
      <c r="K14">
        <v>393100</v>
      </c>
      <c r="L14" t="s">
        <v>28</v>
      </c>
      <c r="M14">
        <v>0.6</v>
      </c>
      <c r="N14">
        <v>1</v>
      </c>
      <c r="O14">
        <v>411178</v>
      </c>
      <c r="P14">
        <v>1.05</v>
      </c>
      <c r="Q14" s="1">
        <v>86297</v>
      </c>
      <c r="R14" s="1">
        <v>82512</v>
      </c>
      <c r="S14" s="1">
        <v>82512</v>
      </c>
    </row>
    <row r="15" spans="1:19" x14ac:dyDescent="0.2">
      <c r="A15" t="s">
        <v>540</v>
      </c>
      <c r="B15" t="s">
        <v>541</v>
      </c>
      <c r="C15" t="s">
        <v>506</v>
      </c>
      <c r="E15">
        <v>40</v>
      </c>
      <c r="G15">
        <v>6</v>
      </c>
      <c r="H15" s="1">
        <v>177300</v>
      </c>
      <c r="I15">
        <v>2010</v>
      </c>
      <c r="J15" t="s">
        <v>511</v>
      </c>
      <c r="K15">
        <v>393100</v>
      </c>
      <c r="L15" t="s">
        <v>28</v>
      </c>
      <c r="M15">
        <v>0.6</v>
      </c>
      <c r="N15">
        <v>1</v>
      </c>
      <c r="O15">
        <v>411178</v>
      </c>
      <c r="P15">
        <v>1.05</v>
      </c>
      <c r="Q15" s="1">
        <v>182148</v>
      </c>
      <c r="R15" s="1">
        <v>174160</v>
      </c>
      <c r="S15" s="1">
        <v>174160</v>
      </c>
    </row>
    <row r="16" spans="1:19" x14ac:dyDescent="0.2">
      <c r="A16" t="s">
        <v>542</v>
      </c>
      <c r="B16" t="s">
        <v>543</v>
      </c>
      <c r="C16" t="s">
        <v>506</v>
      </c>
      <c r="E16" t="s">
        <v>544</v>
      </c>
      <c r="G16">
        <v>1</v>
      </c>
      <c r="H16" t="s">
        <v>33</v>
      </c>
    </row>
    <row r="17" spans="1:19" x14ac:dyDescent="0.2">
      <c r="A17" t="s">
        <v>545</v>
      </c>
      <c r="B17" t="s">
        <v>546</v>
      </c>
      <c r="C17" t="s">
        <v>506</v>
      </c>
      <c r="E17">
        <v>10</v>
      </c>
      <c r="G17">
        <v>2</v>
      </c>
      <c r="H17" s="1">
        <v>61200</v>
      </c>
      <c r="I17">
        <v>2010</v>
      </c>
      <c r="J17" t="s">
        <v>511</v>
      </c>
      <c r="K17">
        <v>393100</v>
      </c>
      <c r="L17" t="s">
        <v>28</v>
      </c>
      <c r="M17">
        <v>0.6</v>
      </c>
      <c r="N17">
        <v>1</v>
      </c>
      <c r="O17">
        <v>411178</v>
      </c>
      <c r="P17">
        <v>1.05</v>
      </c>
      <c r="Q17" s="1">
        <v>62873</v>
      </c>
      <c r="R17" s="1">
        <v>60116</v>
      </c>
      <c r="S17" s="1">
        <v>60116</v>
      </c>
    </row>
    <row r="18" spans="1:19" x14ac:dyDescent="0.2">
      <c r="A18" t="s">
        <v>547</v>
      </c>
      <c r="B18" t="s">
        <v>548</v>
      </c>
      <c r="C18" t="s">
        <v>506</v>
      </c>
      <c r="E18">
        <v>15</v>
      </c>
      <c r="G18">
        <v>2</v>
      </c>
      <c r="H18" s="1">
        <v>70800</v>
      </c>
      <c r="I18">
        <v>2010</v>
      </c>
      <c r="J18" t="s">
        <v>511</v>
      </c>
      <c r="K18">
        <v>393100</v>
      </c>
      <c r="L18" t="s">
        <v>28</v>
      </c>
      <c r="M18">
        <v>0.6</v>
      </c>
      <c r="N18">
        <v>1</v>
      </c>
      <c r="O18">
        <v>411178</v>
      </c>
      <c r="P18">
        <v>1.05</v>
      </c>
      <c r="Q18" s="1">
        <v>72736</v>
      </c>
      <c r="R18" s="1">
        <v>69546</v>
      </c>
      <c r="S18" s="1">
        <v>69546</v>
      </c>
    </row>
    <row r="19" spans="1:19" x14ac:dyDescent="0.2">
      <c r="A19" t="s">
        <v>549</v>
      </c>
      <c r="B19" t="s">
        <v>550</v>
      </c>
      <c r="F19" t="s">
        <v>26</v>
      </c>
      <c r="G19">
        <v>1</v>
      </c>
      <c r="H19" t="s">
        <v>33</v>
      </c>
    </row>
    <row r="20" spans="1:19" x14ac:dyDescent="0.2">
      <c r="A20" t="s">
        <v>551</v>
      </c>
      <c r="B20" t="s">
        <v>552</v>
      </c>
      <c r="C20" t="s">
        <v>506</v>
      </c>
      <c r="D20" t="s">
        <v>553</v>
      </c>
      <c r="G20">
        <v>3</v>
      </c>
      <c r="H20" s="1">
        <v>5248750</v>
      </c>
      <c r="I20">
        <v>2010</v>
      </c>
      <c r="J20" t="s">
        <v>511</v>
      </c>
      <c r="K20">
        <v>393100</v>
      </c>
      <c r="L20" t="s">
        <v>28</v>
      </c>
      <c r="M20">
        <v>0.6</v>
      </c>
      <c r="N20">
        <v>1</v>
      </c>
      <c r="O20">
        <v>411178</v>
      </c>
      <c r="P20">
        <v>1.05</v>
      </c>
      <c r="Q20" s="1">
        <v>5392274</v>
      </c>
      <c r="R20" s="1">
        <v>5155780</v>
      </c>
      <c r="S20" s="1">
        <v>5155780</v>
      </c>
    </row>
    <row r="21" spans="1:19" x14ac:dyDescent="0.2">
      <c r="A21" t="s">
        <v>554</v>
      </c>
      <c r="B21" t="s">
        <v>555</v>
      </c>
      <c r="C21" t="s">
        <v>506</v>
      </c>
      <c r="G21">
        <v>1</v>
      </c>
      <c r="H21" s="1">
        <v>2210979</v>
      </c>
      <c r="I21">
        <v>2010</v>
      </c>
      <c r="J21" t="s">
        <v>511</v>
      </c>
      <c r="K21">
        <v>393100</v>
      </c>
      <c r="L21" t="s">
        <v>28</v>
      </c>
      <c r="M21">
        <v>0.6</v>
      </c>
      <c r="N21">
        <v>1</v>
      </c>
      <c r="O21">
        <v>411178</v>
      </c>
      <c r="P21">
        <v>1.05</v>
      </c>
      <c r="Q21" s="1">
        <v>2271437</v>
      </c>
      <c r="R21" s="1">
        <v>2171816</v>
      </c>
      <c r="S21" s="1">
        <v>2171816</v>
      </c>
    </row>
    <row r="22" spans="1:19" x14ac:dyDescent="0.2">
      <c r="A22" t="s">
        <v>556</v>
      </c>
      <c r="B22" t="s">
        <v>557</v>
      </c>
      <c r="G22">
        <v>3</v>
      </c>
      <c r="H22" s="1">
        <v>6493500</v>
      </c>
      <c r="I22">
        <v>2010</v>
      </c>
      <c r="J22" t="s">
        <v>511</v>
      </c>
      <c r="K22">
        <v>393100</v>
      </c>
      <c r="L22" t="s">
        <v>28</v>
      </c>
      <c r="M22">
        <v>0.6</v>
      </c>
      <c r="N22">
        <v>1</v>
      </c>
      <c r="O22">
        <v>411178</v>
      </c>
      <c r="P22">
        <v>1.05</v>
      </c>
      <c r="Q22" s="1">
        <v>6671062</v>
      </c>
      <c r="R22" s="1">
        <v>6378482</v>
      </c>
      <c r="S22" s="1">
        <v>6378482</v>
      </c>
    </row>
    <row r="23" spans="1:19" x14ac:dyDescent="0.2">
      <c r="A23" t="s">
        <v>558</v>
      </c>
      <c r="B23" t="s">
        <v>559</v>
      </c>
      <c r="C23" t="s">
        <v>506</v>
      </c>
      <c r="D23" t="s">
        <v>560</v>
      </c>
      <c r="F23" t="s">
        <v>61</v>
      </c>
      <c r="G23">
        <v>4</v>
      </c>
      <c r="H23" s="1">
        <v>27000000</v>
      </c>
      <c r="I23">
        <v>2010</v>
      </c>
      <c r="J23" t="s">
        <v>511</v>
      </c>
      <c r="K23">
        <v>393100</v>
      </c>
      <c r="L23" t="s">
        <v>28</v>
      </c>
      <c r="M23">
        <v>0.6</v>
      </c>
      <c r="N23">
        <v>1</v>
      </c>
      <c r="O23">
        <v>411178</v>
      </c>
      <c r="P23">
        <v>1.05</v>
      </c>
      <c r="Q23" s="1">
        <v>27738302</v>
      </c>
      <c r="R23" s="1">
        <v>26521754</v>
      </c>
      <c r="S23" s="1">
        <v>26521754</v>
      </c>
    </row>
    <row r="24" spans="1:19" x14ac:dyDescent="0.2">
      <c r="A24" t="s">
        <v>561</v>
      </c>
      <c r="B24" t="s">
        <v>562</v>
      </c>
      <c r="C24" t="s">
        <v>506</v>
      </c>
      <c r="D24" t="s">
        <v>563</v>
      </c>
      <c r="F24" t="s">
        <v>61</v>
      </c>
      <c r="G24">
        <v>3</v>
      </c>
      <c r="H24" s="1">
        <v>2700000</v>
      </c>
      <c r="I24">
        <v>2010</v>
      </c>
      <c r="J24" t="s">
        <v>511</v>
      </c>
      <c r="K24">
        <v>393100</v>
      </c>
      <c r="L24" t="s">
        <v>28</v>
      </c>
      <c r="M24">
        <v>0.6</v>
      </c>
      <c r="N24">
        <v>1</v>
      </c>
      <c r="O24">
        <v>411178</v>
      </c>
      <c r="P24">
        <v>1.05</v>
      </c>
      <c r="Q24" s="1">
        <v>2773830</v>
      </c>
      <c r="R24" s="1">
        <v>2652175</v>
      </c>
      <c r="S24" s="1">
        <v>2652175</v>
      </c>
    </row>
    <row r="25" spans="1:19" x14ac:dyDescent="0.2">
      <c r="A25" t="s">
        <v>564</v>
      </c>
      <c r="B25" t="s">
        <v>565</v>
      </c>
      <c r="C25" t="s">
        <v>506</v>
      </c>
      <c r="G25">
        <v>1</v>
      </c>
      <c r="H25" t="s">
        <v>33</v>
      </c>
    </row>
    <row r="26" spans="1:19" x14ac:dyDescent="0.2">
      <c r="B26" t="s">
        <v>566</v>
      </c>
      <c r="C26" s="1">
        <v>51654964</v>
      </c>
      <c r="D26" s="1">
        <v>49389478</v>
      </c>
      <c r="E26" s="1">
        <v>49389478</v>
      </c>
    </row>
    <row r="27" spans="1:19" x14ac:dyDescent="0.2">
      <c r="A27" t="s">
        <v>567</v>
      </c>
      <c r="B27" t="s">
        <v>568</v>
      </c>
      <c r="D27" t="s">
        <v>569</v>
      </c>
      <c r="F27" t="s">
        <v>88</v>
      </c>
      <c r="G27">
        <v>1</v>
      </c>
      <c r="H27" s="1">
        <v>3850</v>
      </c>
      <c r="I27">
        <v>2009</v>
      </c>
      <c r="J27" t="s">
        <v>570</v>
      </c>
      <c r="K27">
        <v>23154</v>
      </c>
      <c r="L27" t="s">
        <v>28</v>
      </c>
      <c r="M27">
        <v>0.5</v>
      </c>
      <c r="N27">
        <v>1</v>
      </c>
      <c r="O27">
        <v>22273</v>
      </c>
      <c r="P27">
        <v>0.96</v>
      </c>
      <c r="Q27" s="1">
        <v>3776</v>
      </c>
      <c r="R27" s="1">
        <v>3801</v>
      </c>
      <c r="S27" s="1">
        <v>3801</v>
      </c>
    </row>
    <row r="28" spans="1:19" x14ac:dyDescent="0.2">
      <c r="A28" t="s">
        <v>571</v>
      </c>
      <c r="B28" t="s">
        <v>572</v>
      </c>
      <c r="C28" t="s">
        <v>105</v>
      </c>
      <c r="E28" t="s">
        <v>52</v>
      </c>
      <c r="F28" t="s">
        <v>88</v>
      </c>
      <c r="G28">
        <v>1</v>
      </c>
      <c r="H28" s="1">
        <v>21200</v>
      </c>
      <c r="I28">
        <v>2009</v>
      </c>
      <c r="J28" t="s">
        <v>573</v>
      </c>
      <c r="K28">
        <v>1393</v>
      </c>
      <c r="L28" t="s">
        <v>28</v>
      </c>
      <c r="M28">
        <v>0.5</v>
      </c>
      <c r="N28">
        <v>1.5</v>
      </c>
      <c r="O28">
        <v>1323</v>
      </c>
      <c r="P28">
        <v>0.95</v>
      </c>
      <c r="Q28" s="1">
        <v>20660</v>
      </c>
      <c r="R28" s="1">
        <v>20798</v>
      </c>
      <c r="S28" s="1">
        <v>31198</v>
      </c>
    </row>
    <row r="29" spans="1:19" x14ac:dyDescent="0.2">
      <c r="A29" t="s">
        <v>574</v>
      </c>
      <c r="B29" t="s">
        <v>575</v>
      </c>
      <c r="C29" t="s">
        <v>105</v>
      </c>
      <c r="E29" t="s">
        <v>576</v>
      </c>
      <c r="F29" t="s">
        <v>88</v>
      </c>
      <c r="G29">
        <v>1</v>
      </c>
      <c r="H29" s="1">
        <v>9800</v>
      </c>
      <c r="I29">
        <v>2009</v>
      </c>
      <c r="J29" t="s">
        <v>577</v>
      </c>
      <c r="K29">
        <v>163</v>
      </c>
      <c r="L29" t="s">
        <v>28</v>
      </c>
      <c r="M29">
        <v>0.5</v>
      </c>
      <c r="N29">
        <v>1.5</v>
      </c>
      <c r="O29">
        <v>142</v>
      </c>
      <c r="P29">
        <v>0.87</v>
      </c>
      <c r="Q29" s="1">
        <v>9152</v>
      </c>
      <c r="R29" s="1">
        <v>9214</v>
      </c>
      <c r="S29" s="1">
        <v>13820</v>
      </c>
    </row>
    <row r="30" spans="1:19" x14ac:dyDescent="0.2">
      <c r="A30" t="s">
        <v>578</v>
      </c>
      <c r="B30" t="s">
        <v>579</v>
      </c>
      <c r="C30" t="s">
        <v>580</v>
      </c>
      <c r="D30" t="s">
        <v>581</v>
      </c>
      <c r="G30">
        <v>1</v>
      </c>
      <c r="H30" s="1">
        <v>30000</v>
      </c>
      <c r="I30">
        <v>2009</v>
      </c>
      <c r="J30" t="s">
        <v>577</v>
      </c>
      <c r="K30">
        <v>163</v>
      </c>
      <c r="L30" t="s">
        <v>28</v>
      </c>
      <c r="M30">
        <v>0.6</v>
      </c>
      <c r="N30">
        <v>1.7</v>
      </c>
      <c r="O30">
        <v>142</v>
      </c>
      <c r="P30">
        <v>0.87</v>
      </c>
      <c r="Q30" s="1">
        <v>27636</v>
      </c>
      <c r="R30" s="1">
        <v>27822</v>
      </c>
      <c r="S30" s="1">
        <v>47297</v>
      </c>
    </row>
    <row r="31" spans="1:19" x14ac:dyDescent="0.2">
      <c r="A31" t="s">
        <v>582</v>
      </c>
      <c r="B31" t="s">
        <v>583</v>
      </c>
      <c r="C31" t="s">
        <v>174</v>
      </c>
      <c r="D31" t="s">
        <v>584</v>
      </c>
      <c r="E31">
        <v>5</v>
      </c>
      <c r="F31" t="s">
        <v>26</v>
      </c>
      <c r="G31">
        <v>2</v>
      </c>
      <c r="H31" s="1">
        <v>9200</v>
      </c>
      <c r="I31">
        <v>2009</v>
      </c>
      <c r="J31" t="s">
        <v>426</v>
      </c>
      <c r="K31">
        <v>22681</v>
      </c>
      <c r="L31" t="s">
        <v>28</v>
      </c>
      <c r="M31">
        <v>0.8</v>
      </c>
      <c r="N31">
        <v>3.1</v>
      </c>
      <c r="O31">
        <v>21808</v>
      </c>
      <c r="P31">
        <v>0.96</v>
      </c>
      <c r="Q31" s="1">
        <v>8916</v>
      </c>
      <c r="R31" s="1">
        <v>8975</v>
      </c>
      <c r="S31" s="1">
        <v>27824</v>
      </c>
    </row>
    <row r="32" spans="1:19" x14ac:dyDescent="0.2">
      <c r="A32" t="s">
        <v>585</v>
      </c>
      <c r="B32" t="s">
        <v>173</v>
      </c>
      <c r="C32" t="s">
        <v>174</v>
      </c>
      <c r="D32" t="s">
        <v>586</v>
      </c>
      <c r="E32">
        <v>0.5</v>
      </c>
      <c r="F32" t="s">
        <v>205</v>
      </c>
      <c r="G32">
        <v>1</v>
      </c>
      <c r="H32" s="1">
        <v>7493</v>
      </c>
      <c r="I32">
        <v>2010</v>
      </c>
      <c r="J32" t="s">
        <v>177</v>
      </c>
      <c r="K32">
        <v>1981</v>
      </c>
      <c r="L32" t="s">
        <v>28</v>
      </c>
      <c r="M32">
        <v>0.8</v>
      </c>
      <c r="N32">
        <v>2.2999999999999998</v>
      </c>
      <c r="O32">
        <v>1981</v>
      </c>
      <c r="P32">
        <v>1</v>
      </c>
      <c r="Q32" s="1">
        <v>7492</v>
      </c>
      <c r="R32" s="1">
        <v>7163</v>
      </c>
      <c r="S32" s="1">
        <v>16475</v>
      </c>
    </row>
    <row r="33" spans="1:19" x14ac:dyDescent="0.2">
      <c r="A33" t="s">
        <v>587</v>
      </c>
      <c r="B33" t="s">
        <v>588</v>
      </c>
      <c r="C33" t="s">
        <v>174</v>
      </c>
      <c r="D33" t="s">
        <v>589</v>
      </c>
      <c r="E33">
        <v>125</v>
      </c>
      <c r="F33" t="s">
        <v>26</v>
      </c>
      <c r="G33">
        <v>1</v>
      </c>
      <c r="H33" s="1">
        <v>15000</v>
      </c>
      <c r="I33">
        <v>2009</v>
      </c>
      <c r="J33" t="s">
        <v>590</v>
      </c>
      <c r="K33">
        <v>8343</v>
      </c>
      <c r="L33" t="s">
        <v>28</v>
      </c>
      <c r="M33">
        <v>0.8</v>
      </c>
      <c r="N33">
        <v>3.1</v>
      </c>
      <c r="O33">
        <v>8021</v>
      </c>
      <c r="P33">
        <v>0.96</v>
      </c>
      <c r="Q33" s="1">
        <v>14536</v>
      </c>
      <c r="R33" s="1">
        <v>14633</v>
      </c>
      <c r="S33" s="1">
        <v>45362</v>
      </c>
    </row>
    <row r="34" spans="1:19" x14ac:dyDescent="0.2">
      <c r="A34" t="s">
        <v>591</v>
      </c>
      <c r="B34" t="s">
        <v>592</v>
      </c>
      <c r="C34" t="s">
        <v>174</v>
      </c>
      <c r="D34" t="s">
        <v>593</v>
      </c>
      <c r="E34">
        <v>0.5</v>
      </c>
      <c r="F34" t="s">
        <v>26</v>
      </c>
      <c r="G34">
        <v>1</v>
      </c>
      <c r="H34" s="1">
        <v>3000</v>
      </c>
      <c r="I34">
        <v>2009</v>
      </c>
      <c r="J34" t="s">
        <v>594</v>
      </c>
      <c r="K34">
        <v>473</v>
      </c>
      <c r="L34" t="s">
        <v>28</v>
      </c>
      <c r="M34">
        <v>0.8</v>
      </c>
      <c r="N34">
        <v>3.1</v>
      </c>
      <c r="O34">
        <v>465</v>
      </c>
      <c r="P34">
        <v>0.98</v>
      </c>
      <c r="Q34" s="1">
        <v>2959</v>
      </c>
      <c r="R34" s="1">
        <v>2979</v>
      </c>
      <c r="S34" s="1">
        <v>9234</v>
      </c>
    </row>
    <row r="35" spans="1:19" x14ac:dyDescent="0.2">
      <c r="A35" t="s">
        <v>595</v>
      </c>
      <c r="B35" t="s">
        <v>596</v>
      </c>
      <c r="C35" t="s">
        <v>174</v>
      </c>
      <c r="D35" t="s">
        <v>597</v>
      </c>
      <c r="E35">
        <v>0.5</v>
      </c>
      <c r="F35" t="s">
        <v>26</v>
      </c>
      <c r="G35">
        <v>1</v>
      </c>
      <c r="H35" s="1">
        <v>3000</v>
      </c>
      <c r="I35">
        <v>2009</v>
      </c>
      <c r="J35" t="s">
        <v>573</v>
      </c>
      <c r="K35">
        <v>1393</v>
      </c>
      <c r="L35" t="s">
        <v>28</v>
      </c>
      <c r="M35">
        <v>0.8</v>
      </c>
      <c r="N35">
        <v>3.1</v>
      </c>
      <c r="O35">
        <v>1323</v>
      </c>
      <c r="P35">
        <v>0.95</v>
      </c>
      <c r="Q35" s="1">
        <v>2879</v>
      </c>
      <c r="R35" s="1">
        <v>2898</v>
      </c>
      <c r="S35" s="1">
        <v>8984</v>
      </c>
    </row>
    <row r="36" spans="1:19" x14ac:dyDescent="0.2">
      <c r="A36" t="s">
        <v>598</v>
      </c>
      <c r="B36" t="s">
        <v>599</v>
      </c>
      <c r="C36" t="s">
        <v>174</v>
      </c>
      <c r="D36" t="s">
        <v>600</v>
      </c>
      <c r="E36">
        <v>0.5</v>
      </c>
      <c r="F36" t="s">
        <v>26</v>
      </c>
      <c r="G36">
        <v>1</v>
      </c>
      <c r="H36" s="1">
        <v>3000</v>
      </c>
      <c r="I36">
        <v>2009</v>
      </c>
      <c r="J36" t="s">
        <v>577</v>
      </c>
      <c r="K36">
        <v>163</v>
      </c>
      <c r="L36" t="s">
        <v>28</v>
      </c>
      <c r="M36">
        <v>0.8</v>
      </c>
      <c r="N36">
        <v>3.1</v>
      </c>
      <c r="O36">
        <v>142</v>
      </c>
      <c r="P36">
        <v>0.87</v>
      </c>
      <c r="Q36" s="1">
        <v>2689</v>
      </c>
      <c r="R36" s="1">
        <v>2707</v>
      </c>
      <c r="S36" s="1">
        <v>8392</v>
      </c>
    </row>
    <row r="37" spans="1:19" x14ac:dyDescent="0.2">
      <c r="A37" t="s">
        <v>601</v>
      </c>
      <c r="B37" t="s">
        <v>602</v>
      </c>
      <c r="C37" t="s">
        <v>141</v>
      </c>
      <c r="D37" t="s">
        <v>603</v>
      </c>
      <c r="F37" t="s">
        <v>318</v>
      </c>
      <c r="G37">
        <v>2</v>
      </c>
      <c r="H37" s="1">
        <v>1340000</v>
      </c>
      <c r="I37">
        <v>2009</v>
      </c>
      <c r="J37" t="s">
        <v>426</v>
      </c>
      <c r="K37">
        <v>22681</v>
      </c>
      <c r="L37" t="s">
        <v>28</v>
      </c>
      <c r="M37">
        <v>0.7</v>
      </c>
      <c r="N37">
        <v>1.7</v>
      </c>
      <c r="O37">
        <v>21808</v>
      </c>
      <c r="P37">
        <v>0.96</v>
      </c>
      <c r="Q37" s="1">
        <v>1303683</v>
      </c>
      <c r="R37" s="1">
        <v>1312426</v>
      </c>
      <c r="S37" s="1">
        <v>2231125</v>
      </c>
    </row>
    <row r="38" spans="1:19" x14ac:dyDescent="0.2">
      <c r="A38" t="s">
        <v>604</v>
      </c>
      <c r="B38" t="s">
        <v>605</v>
      </c>
      <c r="D38" t="s">
        <v>606</v>
      </c>
      <c r="F38" t="s">
        <v>106</v>
      </c>
      <c r="G38">
        <v>1</v>
      </c>
      <c r="H38" s="1">
        <v>96000</v>
      </c>
      <c r="I38">
        <v>2010</v>
      </c>
      <c r="J38" t="s">
        <v>177</v>
      </c>
      <c r="K38">
        <v>1981</v>
      </c>
      <c r="L38" t="s">
        <v>28</v>
      </c>
      <c r="M38">
        <v>0.7</v>
      </c>
      <c r="N38">
        <v>1.5</v>
      </c>
      <c r="O38">
        <v>1981</v>
      </c>
      <c r="P38">
        <v>1</v>
      </c>
      <c r="Q38" s="1">
        <v>95987</v>
      </c>
      <c r="R38" s="1">
        <v>91777</v>
      </c>
      <c r="S38" s="1">
        <v>137666</v>
      </c>
    </row>
    <row r="39" spans="1:19" x14ac:dyDescent="0.2">
      <c r="A39" t="s">
        <v>607</v>
      </c>
      <c r="B39" t="s">
        <v>608</v>
      </c>
      <c r="D39" t="s">
        <v>609</v>
      </c>
      <c r="F39" t="s">
        <v>610</v>
      </c>
      <c r="G39">
        <v>1</v>
      </c>
      <c r="H39" s="1">
        <v>803000</v>
      </c>
      <c r="I39">
        <v>2009</v>
      </c>
      <c r="J39" t="s">
        <v>590</v>
      </c>
      <c r="K39">
        <v>8343</v>
      </c>
      <c r="L39" t="s">
        <v>28</v>
      </c>
      <c r="M39">
        <v>0.7</v>
      </c>
      <c r="N39">
        <v>1.7</v>
      </c>
      <c r="O39">
        <v>8021</v>
      </c>
      <c r="P39">
        <v>0.96</v>
      </c>
      <c r="Q39" s="1">
        <v>781201</v>
      </c>
      <c r="R39" s="1">
        <v>786440</v>
      </c>
      <c r="S39" s="1">
        <v>1336948</v>
      </c>
    </row>
    <row r="40" spans="1:19" x14ac:dyDescent="0.2">
      <c r="A40" t="s">
        <v>611</v>
      </c>
      <c r="B40" t="s">
        <v>612</v>
      </c>
      <c r="C40" t="s">
        <v>613</v>
      </c>
      <c r="D40" t="s">
        <v>614</v>
      </c>
      <c r="F40" t="s">
        <v>615</v>
      </c>
      <c r="G40">
        <v>2</v>
      </c>
      <c r="H40" s="1">
        <v>196000</v>
      </c>
      <c r="I40">
        <v>2010</v>
      </c>
      <c r="J40" t="s">
        <v>616</v>
      </c>
      <c r="K40">
        <v>1171</v>
      </c>
      <c r="L40" t="s">
        <v>28</v>
      </c>
      <c r="M40">
        <v>0.7</v>
      </c>
      <c r="N40">
        <v>2</v>
      </c>
      <c r="O40">
        <v>1166</v>
      </c>
      <c r="P40">
        <v>1</v>
      </c>
      <c r="Q40" s="1">
        <v>195389</v>
      </c>
      <c r="R40" s="1">
        <v>186820</v>
      </c>
      <c r="S40" s="1">
        <v>373639</v>
      </c>
    </row>
    <row r="41" spans="1:19" x14ac:dyDescent="0.2">
      <c r="A41" t="s">
        <v>617</v>
      </c>
      <c r="B41" t="s">
        <v>618</v>
      </c>
      <c r="D41" t="s">
        <v>619</v>
      </c>
      <c r="F41" t="s">
        <v>26</v>
      </c>
      <c r="G41">
        <v>1</v>
      </c>
      <c r="H41" s="1">
        <v>200000</v>
      </c>
      <c r="I41">
        <v>2009</v>
      </c>
      <c r="J41" t="s">
        <v>594</v>
      </c>
      <c r="K41">
        <v>473</v>
      </c>
      <c r="L41" t="s">
        <v>28</v>
      </c>
      <c r="M41">
        <v>0.7</v>
      </c>
      <c r="N41">
        <v>1.7</v>
      </c>
      <c r="O41">
        <v>465</v>
      </c>
      <c r="P41">
        <v>0.98</v>
      </c>
      <c r="Q41" s="1">
        <v>197602</v>
      </c>
      <c r="R41" s="1">
        <v>198927</v>
      </c>
      <c r="S41" s="1">
        <v>338176</v>
      </c>
    </row>
    <row r="42" spans="1:19" x14ac:dyDescent="0.2">
      <c r="A42" t="s">
        <v>620</v>
      </c>
      <c r="B42" t="s">
        <v>621</v>
      </c>
      <c r="D42" t="s">
        <v>622</v>
      </c>
      <c r="F42" t="s">
        <v>623</v>
      </c>
      <c r="G42">
        <v>1</v>
      </c>
      <c r="H42" s="1">
        <v>70000</v>
      </c>
      <c r="I42">
        <v>2009</v>
      </c>
      <c r="J42" t="s">
        <v>573</v>
      </c>
      <c r="K42">
        <v>1393</v>
      </c>
      <c r="L42" t="s">
        <v>28</v>
      </c>
      <c r="M42">
        <v>0.7</v>
      </c>
      <c r="N42">
        <v>2.6</v>
      </c>
      <c r="O42">
        <v>1323</v>
      </c>
      <c r="P42">
        <v>0.95</v>
      </c>
      <c r="Q42" s="1">
        <v>67516</v>
      </c>
      <c r="R42" s="1">
        <v>67969</v>
      </c>
      <c r="S42" s="1">
        <v>176720</v>
      </c>
    </row>
    <row r="43" spans="1:19" x14ac:dyDescent="0.2">
      <c r="A43" t="s">
        <v>624</v>
      </c>
      <c r="B43" t="s">
        <v>625</v>
      </c>
      <c r="C43" t="s">
        <v>580</v>
      </c>
      <c r="D43" t="s">
        <v>626</v>
      </c>
      <c r="G43">
        <v>1</v>
      </c>
      <c r="H43" t="s">
        <v>33</v>
      </c>
    </row>
    <row r="44" spans="1:19" x14ac:dyDescent="0.2">
      <c r="A44" t="s">
        <v>627</v>
      </c>
      <c r="B44" t="s">
        <v>628</v>
      </c>
      <c r="D44" t="s">
        <v>629</v>
      </c>
      <c r="F44" t="s">
        <v>88</v>
      </c>
      <c r="G44">
        <v>1</v>
      </c>
      <c r="H44" s="1">
        <v>102000</v>
      </c>
      <c r="I44">
        <v>2009</v>
      </c>
      <c r="J44" t="s">
        <v>616</v>
      </c>
      <c r="K44">
        <v>1615</v>
      </c>
      <c r="L44" t="s">
        <v>28</v>
      </c>
      <c r="M44">
        <v>0.7</v>
      </c>
      <c r="N44">
        <v>1.8</v>
      </c>
      <c r="O44">
        <v>1166</v>
      </c>
      <c r="P44">
        <v>0.72</v>
      </c>
      <c r="Q44" s="1">
        <v>81192</v>
      </c>
      <c r="R44" s="1">
        <v>81737</v>
      </c>
      <c r="S44" s="1">
        <v>147126</v>
      </c>
    </row>
    <row r="45" spans="1:19" x14ac:dyDescent="0.2">
      <c r="A45" t="s">
        <v>630</v>
      </c>
      <c r="B45" t="s">
        <v>631</v>
      </c>
      <c r="C45" s="1">
        <v>2823265</v>
      </c>
      <c r="D45" s="1">
        <v>2827086</v>
      </c>
      <c r="E45" s="1">
        <v>4953786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7BED-731D-1244-A4C0-764898ABDBDB}">
  <dimension ref="A1:S38"/>
  <sheetViews>
    <sheetView workbookViewId="0">
      <selection activeCell="B8" sqref="B8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</row>
    <row r="2" spans="1:1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</row>
    <row r="3" spans="1:19" x14ac:dyDescent="0.2">
      <c r="A3" t="s">
        <v>632</v>
      </c>
      <c r="B3" t="s">
        <v>633</v>
      </c>
      <c r="C3" t="s">
        <v>634</v>
      </c>
      <c r="G3">
        <v>1</v>
      </c>
      <c r="H3" t="s">
        <v>33</v>
      </c>
    </row>
    <row r="4" spans="1:19" x14ac:dyDescent="0.2">
      <c r="A4" t="s">
        <v>635</v>
      </c>
      <c r="B4" t="s">
        <v>636</v>
      </c>
      <c r="C4" t="s">
        <v>634</v>
      </c>
      <c r="G4">
        <v>1</v>
      </c>
      <c r="H4" t="s">
        <v>33</v>
      </c>
    </row>
    <row r="5" spans="1:19" x14ac:dyDescent="0.2">
      <c r="A5" t="s">
        <v>637</v>
      </c>
      <c r="B5" t="s">
        <v>638</v>
      </c>
      <c r="C5" t="s">
        <v>141</v>
      </c>
      <c r="D5" t="s">
        <v>639</v>
      </c>
      <c r="F5" t="s">
        <v>88</v>
      </c>
      <c r="G5">
        <v>1</v>
      </c>
      <c r="H5" s="1">
        <v>41000</v>
      </c>
      <c r="I5">
        <v>2009</v>
      </c>
      <c r="J5" t="s">
        <v>640</v>
      </c>
      <c r="K5">
        <v>-2</v>
      </c>
      <c r="L5" t="s">
        <v>145</v>
      </c>
      <c r="M5">
        <v>0.7</v>
      </c>
      <c r="N5">
        <v>2.2000000000000002</v>
      </c>
      <c r="O5">
        <v>-2</v>
      </c>
      <c r="P5">
        <v>0.93</v>
      </c>
      <c r="Q5" s="1">
        <v>38856</v>
      </c>
      <c r="R5" s="1">
        <v>39117</v>
      </c>
      <c r="S5" s="1">
        <v>86057</v>
      </c>
    </row>
    <row r="6" spans="1:19" x14ac:dyDescent="0.2">
      <c r="A6" t="s">
        <v>641</v>
      </c>
      <c r="B6" t="s">
        <v>642</v>
      </c>
      <c r="C6" t="s">
        <v>634</v>
      </c>
      <c r="H6" t="s">
        <v>33</v>
      </c>
    </row>
    <row r="7" spans="1:19" x14ac:dyDescent="0.2">
      <c r="A7" t="s">
        <v>643</v>
      </c>
      <c r="B7" t="s">
        <v>644</v>
      </c>
      <c r="C7" t="s">
        <v>634</v>
      </c>
      <c r="D7" t="s">
        <v>645</v>
      </c>
      <c r="E7" t="s">
        <v>646</v>
      </c>
      <c r="F7" t="s">
        <v>26</v>
      </c>
      <c r="G7">
        <v>1</v>
      </c>
      <c r="H7" s="1">
        <v>28550000</v>
      </c>
      <c r="I7">
        <v>2010</v>
      </c>
      <c r="J7" t="s">
        <v>647</v>
      </c>
      <c r="K7">
        <v>238686</v>
      </c>
      <c r="L7" t="s">
        <v>28</v>
      </c>
      <c r="M7">
        <v>0.6</v>
      </c>
      <c r="N7">
        <v>1.8</v>
      </c>
      <c r="O7">
        <v>234784</v>
      </c>
      <c r="P7">
        <v>0.98</v>
      </c>
      <c r="Q7" s="1">
        <v>28269041</v>
      </c>
      <c r="R7" s="1">
        <v>27029216</v>
      </c>
      <c r="S7" s="1">
        <v>48652589</v>
      </c>
    </row>
    <row r="8" spans="1:19" x14ac:dyDescent="0.2">
      <c r="A8" t="s">
        <v>648</v>
      </c>
      <c r="B8" t="s">
        <v>649</v>
      </c>
      <c r="C8" t="s">
        <v>634</v>
      </c>
      <c r="D8" t="s">
        <v>650</v>
      </c>
      <c r="H8" t="s">
        <v>33</v>
      </c>
    </row>
    <row r="9" spans="1:19" x14ac:dyDescent="0.2">
      <c r="A9" t="s">
        <v>651</v>
      </c>
      <c r="B9" t="s">
        <v>652</v>
      </c>
      <c r="C9" t="s">
        <v>653</v>
      </c>
      <c r="D9" t="s">
        <v>654</v>
      </c>
      <c r="G9">
        <v>1</v>
      </c>
      <c r="H9" s="1">
        <v>9500000</v>
      </c>
      <c r="I9">
        <v>2010</v>
      </c>
      <c r="J9" t="s">
        <v>655</v>
      </c>
      <c r="K9">
        <v>-42200</v>
      </c>
      <c r="L9" t="s">
        <v>656</v>
      </c>
      <c r="M9">
        <v>0.6</v>
      </c>
      <c r="N9">
        <v>1.8</v>
      </c>
      <c r="O9">
        <v>-41324</v>
      </c>
      <c r="P9">
        <v>0.98</v>
      </c>
      <c r="Q9" s="1">
        <v>9381215</v>
      </c>
      <c r="R9" s="1">
        <v>8969773</v>
      </c>
      <c r="S9" s="1">
        <v>16145591</v>
      </c>
    </row>
    <row r="10" spans="1:19" x14ac:dyDescent="0.2">
      <c r="A10" t="s">
        <v>657</v>
      </c>
      <c r="B10" t="s">
        <v>658</v>
      </c>
      <c r="C10" t="s">
        <v>659</v>
      </c>
      <c r="G10">
        <v>1</v>
      </c>
      <c r="H10" s="1">
        <v>78000</v>
      </c>
      <c r="I10">
        <v>2010</v>
      </c>
      <c r="J10" t="s">
        <v>647</v>
      </c>
      <c r="K10">
        <v>235803</v>
      </c>
      <c r="L10" t="s">
        <v>28</v>
      </c>
      <c r="M10">
        <v>0.6</v>
      </c>
      <c r="N10">
        <v>1.8</v>
      </c>
      <c r="O10">
        <v>234784</v>
      </c>
      <c r="P10">
        <v>1</v>
      </c>
      <c r="Q10" s="1">
        <v>77798</v>
      </c>
      <c r="R10" s="1">
        <v>74386</v>
      </c>
      <c r="S10" s="1">
        <v>133894</v>
      </c>
    </row>
    <row r="11" spans="1:19" x14ac:dyDescent="0.2">
      <c r="A11" t="s">
        <v>660</v>
      </c>
      <c r="B11" t="s">
        <v>661</v>
      </c>
      <c r="C11" t="s">
        <v>659</v>
      </c>
      <c r="G11">
        <v>1</v>
      </c>
      <c r="H11" s="1">
        <v>40000</v>
      </c>
      <c r="I11">
        <v>2010</v>
      </c>
      <c r="J11" t="s">
        <v>647</v>
      </c>
      <c r="K11">
        <v>235803</v>
      </c>
      <c r="L11" t="s">
        <v>28</v>
      </c>
      <c r="M11">
        <v>0</v>
      </c>
      <c r="N11">
        <v>1.8</v>
      </c>
      <c r="O11">
        <v>234784</v>
      </c>
      <c r="P11">
        <v>1</v>
      </c>
      <c r="Q11" s="1">
        <v>40000</v>
      </c>
      <c r="R11" s="1">
        <v>38246</v>
      </c>
      <c r="S11" s="1">
        <v>68842</v>
      </c>
    </row>
    <row r="12" spans="1:19" x14ac:dyDescent="0.2">
      <c r="A12" t="s">
        <v>662</v>
      </c>
      <c r="B12" t="s">
        <v>663</v>
      </c>
      <c r="C12" t="s">
        <v>659</v>
      </c>
      <c r="G12">
        <v>1</v>
      </c>
      <c r="H12" t="s">
        <v>33</v>
      </c>
    </row>
    <row r="13" spans="1:19" x14ac:dyDescent="0.2">
      <c r="A13" t="s">
        <v>664</v>
      </c>
      <c r="B13" t="s">
        <v>665</v>
      </c>
      <c r="C13" t="s">
        <v>659</v>
      </c>
      <c r="G13">
        <v>1</v>
      </c>
      <c r="H13" t="s">
        <v>33</v>
      </c>
    </row>
    <row r="14" spans="1:19" x14ac:dyDescent="0.2">
      <c r="A14" t="s">
        <v>666</v>
      </c>
      <c r="B14" t="s">
        <v>667</v>
      </c>
      <c r="C14" t="s">
        <v>659</v>
      </c>
      <c r="F14" t="s">
        <v>205</v>
      </c>
      <c r="G14">
        <v>2</v>
      </c>
      <c r="H14" t="s">
        <v>33</v>
      </c>
    </row>
    <row r="15" spans="1:19" x14ac:dyDescent="0.2">
      <c r="A15" t="s">
        <v>668</v>
      </c>
      <c r="B15" t="s">
        <v>669</v>
      </c>
      <c r="C15" t="s">
        <v>659</v>
      </c>
      <c r="F15" t="s">
        <v>88</v>
      </c>
      <c r="G15">
        <v>2</v>
      </c>
      <c r="H15" t="s">
        <v>33</v>
      </c>
    </row>
    <row r="16" spans="1:19" x14ac:dyDescent="0.2">
      <c r="A16" t="s">
        <v>670</v>
      </c>
      <c r="B16" t="s">
        <v>671</v>
      </c>
      <c r="C16" t="s">
        <v>659</v>
      </c>
      <c r="F16" t="s">
        <v>88</v>
      </c>
      <c r="G16">
        <v>2</v>
      </c>
      <c r="H16" t="s">
        <v>33</v>
      </c>
    </row>
    <row r="17" spans="1:19" x14ac:dyDescent="0.2">
      <c r="A17" t="s">
        <v>672</v>
      </c>
      <c r="B17" t="s">
        <v>673</v>
      </c>
      <c r="C17" t="s">
        <v>659</v>
      </c>
      <c r="F17" t="s">
        <v>205</v>
      </c>
      <c r="G17">
        <v>5</v>
      </c>
      <c r="H17" t="s">
        <v>33</v>
      </c>
    </row>
    <row r="18" spans="1:19" x14ac:dyDescent="0.2">
      <c r="A18" t="s">
        <v>674</v>
      </c>
      <c r="B18" t="s">
        <v>675</v>
      </c>
      <c r="C18" t="s">
        <v>659</v>
      </c>
      <c r="F18" t="s">
        <v>26</v>
      </c>
      <c r="G18">
        <v>2</v>
      </c>
      <c r="H18" t="s">
        <v>33</v>
      </c>
    </row>
    <row r="19" spans="1:19" x14ac:dyDescent="0.2">
      <c r="A19" t="s">
        <v>676</v>
      </c>
      <c r="B19" t="s">
        <v>677</v>
      </c>
      <c r="C19" t="s">
        <v>659</v>
      </c>
      <c r="F19" t="s">
        <v>26</v>
      </c>
      <c r="G19">
        <v>1</v>
      </c>
      <c r="H19" t="s">
        <v>33</v>
      </c>
    </row>
    <row r="20" spans="1:19" x14ac:dyDescent="0.2">
      <c r="A20" t="s">
        <v>678</v>
      </c>
      <c r="B20" t="s">
        <v>679</v>
      </c>
      <c r="C20" t="s">
        <v>659</v>
      </c>
      <c r="F20" t="s">
        <v>318</v>
      </c>
      <c r="G20">
        <v>1</v>
      </c>
      <c r="H20" t="s">
        <v>33</v>
      </c>
    </row>
    <row r="21" spans="1:19" x14ac:dyDescent="0.2">
      <c r="A21" t="s">
        <v>680</v>
      </c>
      <c r="B21" t="s">
        <v>681</v>
      </c>
      <c r="C21" t="s">
        <v>659</v>
      </c>
      <c r="F21" t="s">
        <v>88</v>
      </c>
      <c r="G21">
        <v>1</v>
      </c>
      <c r="H21" t="s">
        <v>33</v>
      </c>
    </row>
    <row r="22" spans="1:19" x14ac:dyDescent="0.2">
      <c r="A22" t="s">
        <v>682</v>
      </c>
      <c r="B22" t="s">
        <v>683</v>
      </c>
      <c r="C22" t="s">
        <v>659</v>
      </c>
      <c r="D22" t="s">
        <v>684</v>
      </c>
      <c r="F22" t="s">
        <v>685</v>
      </c>
      <c r="G22">
        <v>1</v>
      </c>
      <c r="H22" s="1">
        <v>305000</v>
      </c>
      <c r="I22">
        <v>2010</v>
      </c>
      <c r="J22" t="s">
        <v>647</v>
      </c>
      <c r="K22">
        <v>235803</v>
      </c>
      <c r="L22" t="s">
        <v>28</v>
      </c>
      <c r="M22">
        <v>0.6</v>
      </c>
      <c r="N22">
        <v>3</v>
      </c>
      <c r="O22">
        <v>234784</v>
      </c>
      <c r="P22">
        <v>1</v>
      </c>
      <c r="Q22" s="1">
        <v>304209</v>
      </c>
      <c r="R22" s="1">
        <v>290867</v>
      </c>
      <c r="S22" s="1">
        <v>872600</v>
      </c>
    </row>
    <row r="23" spans="1:19" x14ac:dyDescent="0.2">
      <c r="A23" t="s">
        <v>686</v>
      </c>
      <c r="B23" t="s">
        <v>687</v>
      </c>
      <c r="C23" t="s">
        <v>659</v>
      </c>
      <c r="F23" t="s">
        <v>26</v>
      </c>
      <c r="G23">
        <v>1</v>
      </c>
      <c r="H23" t="s">
        <v>33</v>
      </c>
    </row>
    <row r="24" spans="1:19" x14ac:dyDescent="0.2">
      <c r="A24" t="s">
        <v>688</v>
      </c>
      <c r="B24" t="s">
        <v>689</v>
      </c>
      <c r="C24" t="s">
        <v>659</v>
      </c>
      <c r="F24" t="s">
        <v>205</v>
      </c>
      <c r="G24">
        <v>1</v>
      </c>
      <c r="H24" t="s">
        <v>33</v>
      </c>
    </row>
    <row r="25" spans="1:19" x14ac:dyDescent="0.2">
      <c r="B25" t="s">
        <v>690</v>
      </c>
      <c r="C25" s="1">
        <v>38111118</v>
      </c>
      <c r="D25" s="1">
        <v>36441604</v>
      </c>
      <c r="E25" s="1">
        <v>65959573</v>
      </c>
    </row>
    <row r="26" spans="1:19" x14ac:dyDescent="0.2">
      <c r="A26" t="s">
        <v>691</v>
      </c>
      <c r="B26" t="s">
        <v>692</v>
      </c>
      <c r="C26" t="s">
        <v>693</v>
      </c>
      <c r="D26" t="s">
        <v>694</v>
      </c>
      <c r="E26" t="s">
        <v>695</v>
      </c>
      <c r="F26" t="s">
        <v>696</v>
      </c>
      <c r="G26">
        <v>1</v>
      </c>
      <c r="H26" s="1">
        <v>1375000</v>
      </c>
      <c r="I26">
        <v>2010</v>
      </c>
      <c r="J26" t="s">
        <v>697</v>
      </c>
      <c r="K26">
        <v>10037820</v>
      </c>
      <c r="L26" t="s">
        <v>28</v>
      </c>
      <c r="M26">
        <v>0.6</v>
      </c>
      <c r="N26">
        <v>1.5</v>
      </c>
      <c r="O26">
        <v>11923904</v>
      </c>
      <c r="P26">
        <v>1.19</v>
      </c>
      <c r="Q26" s="1">
        <v>1524650</v>
      </c>
      <c r="R26" s="1">
        <v>1457782</v>
      </c>
      <c r="S26" s="1">
        <v>2186673</v>
      </c>
    </row>
    <row r="27" spans="1:19" x14ac:dyDescent="0.2">
      <c r="A27" t="s">
        <v>698</v>
      </c>
      <c r="B27" t="s">
        <v>699</v>
      </c>
      <c r="C27" t="s">
        <v>700</v>
      </c>
      <c r="D27" t="s">
        <v>701</v>
      </c>
      <c r="E27" t="s">
        <v>431</v>
      </c>
      <c r="G27">
        <v>1</v>
      </c>
      <c r="H27" s="1">
        <v>28000</v>
      </c>
      <c r="I27">
        <v>2010</v>
      </c>
      <c r="J27" t="s">
        <v>171</v>
      </c>
      <c r="K27">
        <v>83333</v>
      </c>
      <c r="L27" t="s">
        <v>28</v>
      </c>
      <c r="M27">
        <v>0.6</v>
      </c>
      <c r="N27">
        <v>1.6</v>
      </c>
      <c r="O27">
        <v>83333</v>
      </c>
      <c r="P27">
        <v>1</v>
      </c>
      <c r="Q27" s="1">
        <v>28000</v>
      </c>
      <c r="R27" s="1">
        <v>26772</v>
      </c>
      <c r="S27" s="1">
        <v>42835</v>
      </c>
    </row>
    <row r="28" spans="1:19" x14ac:dyDescent="0.2">
      <c r="A28" t="s">
        <v>702</v>
      </c>
      <c r="B28" t="s">
        <v>703</v>
      </c>
      <c r="C28" t="s">
        <v>704</v>
      </c>
      <c r="D28" t="s">
        <v>705</v>
      </c>
      <c r="E28" t="s">
        <v>706</v>
      </c>
      <c r="G28">
        <v>1</v>
      </c>
      <c r="H28" s="1">
        <v>1275750</v>
      </c>
      <c r="I28">
        <v>2010</v>
      </c>
      <c r="J28" t="s">
        <v>707</v>
      </c>
      <c r="K28">
        <v>14</v>
      </c>
      <c r="L28" t="s">
        <v>145</v>
      </c>
      <c r="M28">
        <v>0.6</v>
      </c>
      <c r="N28">
        <v>1.6</v>
      </c>
      <c r="O28">
        <v>13</v>
      </c>
      <c r="P28">
        <v>0.95</v>
      </c>
      <c r="Q28" s="1">
        <v>1234354</v>
      </c>
      <c r="R28" s="1">
        <v>1180217</v>
      </c>
      <c r="S28" s="1">
        <v>1888348</v>
      </c>
    </row>
    <row r="29" spans="1:19" x14ac:dyDescent="0.2">
      <c r="A29" t="s">
        <v>708</v>
      </c>
      <c r="B29" t="s">
        <v>709</v>
      </c>
      <c r="D29" t="s">
        <v>710</v>
      </c>
      <c r="F29" t="s">
        <v>711</v>
      </c>
      <c r="G29">
        <v>1</v>
      </c>
      <c r="H29" s="1">
        <v>421000</v>
      </c>
      <c r="I29">
        <v>2009</v>
      </c>
      <c r="J29" t="s">
        <v>712</v>
      </c>
      <c r="K29">
        <v>63</v>
      </c>
      <c r="L29" t="s">
        <v>28</v>
      </c>
      <c r="M29">
        <v>0.6</v>
      </c>
      <c r="N29">
        <v>1.8</v>
      </c>
      <c r="O29">
        <v>145</v>
      </c>
      <c r="P29">
        <v>2.2999999999999998</v>
      </c>
      <c r="Q29" s="1">
        <v>694222</v>
      </c>
      <c r="R29" s="1">
        <v>698878</v>
      </c>
      <c r="S29" s="1">
        <v>1257980</v>
      </c>
    </row>
    <row r="30" spans="1:19" x14ac:dyDescent="0.2">
      <c r="A30" t="s">
        <v>713</v>
      </c>
      <c r="B30" t="s">
        <v>714</v>
      </c>
      <c r="C30" t="s">
        <v>174</v>
      </c>
      <c r="D30" t="s">
        <v>715</v>
      </c>
      <c r="E30">
        <v>500</v>
      </c>
      <c r="F30" t="s">
        <v>26</v>
      </c>
      <c r="G30">
        <v>3</v>
      </c>
      <c r="H30" s="1">
        <v>283671</v>
      </c>
      <c r="I30">
        <v>2010</v>
      </c>
      <c r="J30" t="s">
        <v>697</v>
      </c>
      <c r="K30">
        <v>10982556</v>
      </c>
      <c r="L30" t="s">
        <v>28</v>
      </c>
      <c r="M30">
        <v>0.8</v>
      </c>
      <c r="N30">
        <v>3.1</v>
      </c>
      <c r="O30">
        <v>11923904</v>
      </c>
      <c r="P30">
        <v>1.0900000000000001</v>
      </c>
      <c r="Q30" s="1">
        <v>302961</v>
      </c>
      <c r="R30" s="1">
        <v>289674</v>
      </c>
      <c r="S30" s="1">
        <v>897989</v>
      </c>
    </row>
    <row r="31" spans="1:19" x14ac:dyDescent="0.2">
      <c r="A31" t="s">
        <v>716</v>
      </c>
      <c r="B31" t="s">
        <v>717</v>
      </c>
      <c r="C31" t="s">
        <v>174</v>
      </c>
      <c r="D31" t="s">
        <v>718</v>
      </c>
      <c r="E31">
        <v>20</v>
      </c>
      <c r="F31" t="s">
        <v>26</v>
      </c>
      <c r="G31">
        <v>1</v>
      </c>
      <c r="H31" s="1">
        <v>6864</v>
      </c>
      <c r="I31">
        <v>2010</v>
      </c>
      <c r="J31" t="s">
        <v>719</v>
      </c>
      <c r="K31">
        <v>155564</v>
      </c>
      <c r="L31" t="s">
        <v>28</v>
      </c>
      <c r="M31">
        <v>0.8</v>
      </c>
      <c r="N31">
        <v>3.1</v>
      </c>
      <c r="O31">
        <v>147140</v>
      </c>
      <c r="P31">
        <v>0.95</v>
      </c>
      <c r="Q31" s="1">
        <v>6565</v>
      </c>
      <c r="R31" s="1">
        <v>6277</v>
      </c>
      <c r="S31" s="1">
        <v>19459</v>
      </c>
    </row>
    <row r="32" spans="1:19" x14ac:dyDescent="0.2">
      <c r="A32" t="s">
        <v>720</v>
      </c>
      <c r="B32" t="s">
        <v>721</v>
      </c>
      <c r="C32" t="s">
        <v>174</v>
      </c>
      <c r="D32" t="s">
        <v>722</v>
      </c>
      <c r="E32">
        <v>75</v>
      </c>
      <c r="F32" t="s">
        <v>26</v>
      </c>
      <c r="G32">
        <v>1</v>
      </c>
      <c r="H32" s="1">
        <v>15292</v>
      </c>
      <c r="I32">
        <v>2010</v>
      </c>
      <c r="J32" t="s">
        <v>723</v>
      </c>
      <c r="K32">
        <v>518924</v>
      </c>
      <c r="L32" t="s">
        <v>28</v>
      </c>
      <c r="M32">
        <v>0.8</v>
      </c>
      <c r="N32">
        <v>3.1</v>
      </c>
      <c r="O32">
        <v>523463</v>
      </c>
      <c r="P32">
        <v>1.01</v>
      </c>
      <c r="Q32" s="1">
        <v>15399</v>
      </c>
      <c r="R32" s="1">
        <v>14724</v>
      </c>
      <c r="S32" s="1">
        <v>45643</v>
      </c>
    </row>
    <row r="33" spans="1:19" x14ac:dyDescent="0.2">
      <c r="A33" t="s">
        <v>724</v>
      </c>
      <c r="B33" t="s">
        <v>725</v>
      </c>
      <c r="C33" t="s">
        <v>726</v>
      </c>
      <c r="D33" t="s">
        <v>727</v>
      </c>
      <c r="F33" t="s">
        <v>26</v>
      </c>
      <c r="G33">
        <v>1</v>
      </c>
      <c r="H33" s="1">
        <v>15000</v>
      </c>
      <c r="I33">
        <v>2009</v>
      </c>
      <c r="J33" t="s">
        <v>171</v>
      </c>
      <c r="K33">
        <v>83333</v>
      </c>
      <c r="L33" t="s">
        <v>28</v>
      </c>
      <c r="M33">
        <v>0.6</v>
      </c>
      <c r="N33">
        <v>1.8</v>
      </c>
      <c r="O33">
        <v>83333</v>
      </c>
      <c r="P33">
        <v>1</v>
      </c>
      <c r="Q33" s="1">
        <v>15000</v>
      </c>
      <c r="R33" s="1">
        <v>15101</v>
      </c>
      <c r="S33" s="1">
        <v>27181</v>
      </c>
    </row>
    <row r="34" spans="1:19" x14ac:dyDescent="0.2">
      <c r="A34" t="s">
        <v>728</v>
      </c>
      <c r="B34" t="s">
        <v>729</v>
      </c>
      <c r="C34" t="s">
        <v>700</v>
      </c>
      <c r="D34" t="s">
        <v>730</v>
      </c>
      <c r="F34" t="s">
        <v>26</v>
      </c>
      <c r="G34">
        <v>1</v>
      </c>
      <c r="H34" s="1">
        <v>16000</v>
      </c>
      <c r="I34">
        <v>2009</v>
      </c>
      <c r="J34" t="s">
        <v>171</v>
      </c>
      <c r="K34">
        <v>83333</v>
      </c>
      <c r="L34" t="s">
        <v>28</v>
      </c>
      <c r="M34">
        <v>0.6</v>
      </c>
      <c r="N34">
        <v>3.1</v>
      </c>
      <c r="O34">
        <v>83333</v>
      </c>
      <c r="P34">
        <v>1</v>
      </c>
      <c r="Q34" s="1">
        <v>16000</v>
      </c>
      <c r="R34" s="1">
        <v>16107</v>
      </c>
      <c r="S34" s="1">
        <v>49933</v>
      </c>
    </row>
    <row r="35" spans="1:19" x14ac:dyDescent="0.2">
      <c r="A35" t="s">
        <v>731</v>
      </c>
      <c r="B35" t="s">
        <v>732</v>
      </c>
      <c r="D35" t="s">
        <v>733</v>
      </c>
      <c r="F35" t="s">
        <v>26</v>
      </c>
      <c r="G35">
        <v>1</v>
      </c>
      <c r="H35" s="1">
        <v>250000</v>
      </c>
      <c r="I35">
        <v>2009</v>
      </c>
      <c r="J35" t="s">
        <v>723</v>
      </c>
      <c r="K35">
        <v>451555</v>
      </c>
      <c r="L35" t="s">
        <v>28</v>
      </c>
      <c r="M35">
        <v>0.7</v>
      </c>
      <c r="N35">
        <v>1.7</v>
      </c>
      <c r="O35">
        <v>523463</v>
      </c>
      <c r="P35">
        <v>1.1599999999999999</v>
      </c>
      <c r="Q35" s="1">
        <v>277245</v>
      </c>
      <c r="R35" s="1">
        <v>279104</v>
      </c>
      <c r="S35" s="1">
        <v>474476</v>
      </c>
    </row>
    <row r="36" spans="1:19" x14ac:dyDescent="0.2">
      <c r="B36" t="s">
        <v>734</v>
      </c>
      <c r="C36" s="1">
        <v>4114396</v>
      </c>
      <c r="D36" s="1">
        <v>3984635</v>
      </c>
      <c r="E36" s="1">
        <v>6890517</v>
      </c>
    </row>
    <row r="38" spans="1:19" x14ac:dyDescent="0.2">
      <c r="A38" t="s">
        <v>735</v>
      </c>
      <c r="B38" s="1">
        <v>158381833</v>
      </c>
      <c r="C38" s="1">
        <v>154486458</v>
      </c>
      <c r="D38" s="1">
        <v>232035959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Aden-200</vt:lpstr>
      <vt:lpstr>Humbird-100</vt:lpstr>
      <vt:lpstr>Humbird-200</vt:lpstr>
      <vt:lpstr>Humbird-300&amp;400</vt:lpstr>
      <vt:lpstr>Humbird-500</vt:lpstr>
      <vt:lpstr>Humbird-600&amp;700</vt:lpstr>
      <vt:lpstr>Humbird-800&amp;900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2020-04-02T17:49:57Z</dcterms:created>
  <dcterms:modified xsi:type="dcterms:W3CDTF">2020-06-11T21:18:36Z</dcterms:modified>
</cp:coreProperties>
</file>