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733a0933307f0df0/Code/Bioindustrial-Park/BioSTEAM 2.x.x/biorefineries/triacetic_acid_lactone/"/>
    </mc:Choice>
  </mc:AlternateContent>
  <xr:revisionPtr revIDLastSave="2933" documentId="8_{35EDA23A-08C8-43F2-9B00-81BBF3EEBCD7}" xr6:coauthVersionLast="45" xr6:coauthVersionMax="45" xr10:uidLastSave="{CAF05E59-65E0-40B4-8934-924F0FA35EB9}"/>
  <bookViews>
    <workbookView xWindow="1428" yWindow="1428" windowWidth="20532" windowHeight="10980" tabRatio="50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definedNames>
    <definedName name="solver_adj" localSheetId="0" hidden="1">Sheet1!$B$30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Sheet1!$B$30</definedName>
    <definedName name="solver_lhs2" localSheetId="0" hidden="1">Sheet1!$B$30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Sheet1!$M$32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-1000</definedName>
    <definedName name="solver_rhs2" localSheetId="0" hidden="1">-10000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28" i="1" l="1"/>
  <c r="R26" i="1"/>
  <c r="R27" i="1"/>
  <c r="R25" i="1"/>
  <c r="B33" i="1"/>
  <c r="N26" i="1"/>
  <c r="O26" i="1"/>
  <c r="N27" i="1"/>
  <c r="O27" i="1"/>
  <c r="N28" i="1"/>
  <c r="O28" i="1"/>
  <c r="N25" i="1"/>
  <c r="O25" i="1"/>
  <c r="J26" i="1"/>
  <c r="J27" i="1"/>
  <c r="J28" i="1"/>
  <c r="J25" i="1"/>
  <c r="M25" i="1"/>
  <c r="M26" i="1"/>
  <c r="M27" i="1"/>
  <c r="B35" i="1" a="1"/>
  <c r="B35" i="1"/>
  <c r="B37" i="1"/>
  <c r="R29" i="1"/>
  <c r="M28" i="1"/>
  <c r="M29" i="1"/>
  <c r="A25" i="1"/>
  <c r="B21" i="1"/>
  <c r="F25" i="1"/>
  <c r="A26" i="1"/>
  <c r="F26" i="1"/>
  <c r="A27" i="1"/>
  <c r="F27" i="1"/>
  <c r="C29" i="1"/>
  <c r="P25" i="1"/>
  <c r="P26" i="1"/>
  <c r="P27" i="1"/>
  <c r="P29" i="1"/>
  <c r="A28" i="1"/>
  <c r="F28" i="1"/>
  <c r="P28" i="1"/>
  <c r="B31" i="1"/>
  <c r="D31" i="1"/>
  <c r="E25" i="1"/>
  <c r="E26" i="1"/>
  <c r="E27" i="1"/>
  <c r="E28" i="1"/>
  <c r="H25" i="1"/>
  <c r="K25" i="1"/>
  <c r="L25" i="1"/>
  <c r="H26" i="1"/>
  <c r="K26" i="1"/>
  <c r="L26" i="1"/>
  <c r="H27" i="1"/>
  <c r="K27" i="1"/>
  <c r="L27" i="1"/>
  <c r="H28" i="1"/>
  <c r="K28" i="1"/>
  <c r="L28" i="1"/>
  <c r="D28" i="1"/>
  <c r="M3" i="2"/>
  <c r="M4" i="2"/>
  <c r="M5" i="2"/>
  <c r="M2" i="2"/>
  <c r="K3" i="2"/>
  <c r="K4" i="2"/>
  <c r="K5" i="2"/>
  <c r="K2" i="2"/>
  <c r="I3" i="2"/>
  <c r="I4" i="2"/>
  <c r="I5" i="2"/>
  <c r="I2" i="2"/>
  <c r="G3" i="2"/>
  <c r="G4" i="2"/>
  <c r="G5" i="2"/>
  <c r="G2" i="2"/>
  <c r="F5" i="1"/>
  <c r="D26" i="1"/>
  <c r="B3" i="2"/>
  <c r="D3" i="2"/>
  <c r="D27" i="1"/>
  <c r="B4" i="2"/>
  <c r="D4" i="2"/>
  <c r="B5" i="2"/>
  <c r="D5" i="2"/>
  <c r="D25" i="1"/>
  <c r="B2" i="2"/>
  <c r="D2" i="2"/>
  <c r="A2" i="2"/>
  <c r="A3" i="2"/>
  <c r="A4" i="2"/>
  <c r="A5" i="2"/>
  <c r="F6" i="1"/>
  <c r="F7" i="1"/>
  <c r="F8" i="1"/>
  <c r="F9" i="1"/>
  <c r="H21" i="1"/>
  <c r="G21" i="1"/>
  <c r="H20" i="1"/>
  <c r="G20" i="1"/>
  <c r="H19" i="1"/>
  <c r="G19" i="1"/>
  <c r="H18" i="1"/>
  <c r="G18" i="1"/>
  <c r="C18" i="1"/>
  <c r="B18" i="1"/>
  <c r="C17" i="1"/>
  <c r="B17" i="1"/>
  <c r="C12" i="1"/>
  <c r="B12" i="1"/>
  <c r="C11" i="1"/>
  <c r="B11" i="1"/>
  <c r="I5" i="1"/>
  <c r="I6" i="1"/>
  <c r="M6" i="1"/>
  <c r="I7" i="1"/>
  <c r="I8" i="1"/>
  <c r="M8" i="1"/>
  <c r="M10" i="1"/>
  <c r="H5" i="1"/>
  <c r="H6" i="1"/>
  <c r="L6" i="1"/>
  <c r="H7" i="1"/>
  <c r="H8" i="1"/>
  <c r="L8" i="1"/>
  <c r="L10" i="1"/>
  <c r="G5" i="1"/>
  <c r="G6" i="1"/>
  <c r="K6" i="1"/>
  <c r="G7" i="1"/>
  <c r="G8" i="1"/>
  <c r="K8" i="1"/>
  <c r="K10" i="1"/>
  <c r="J6" i="1"/>
  <c r="J8" i="1"/>
  <c r="J10" i="1"/>
  <c r="I9" i="1"/>
  <c r="H9" i="1"/>
  <c r="G9" i="1"/>
  <c r="S26" i="1"/>
  <c r="S27" i="1"/>
  <c r="S25" i="1"/>
  <c r="S29" i="1"/>
  <c r="N32" i="1"/>
  <c r="S28" i="1"/>
  <c r="Q26" i="1"/>
  <c r="Q27" i="1"/>
  <c r="Q25" i="1"/>
  <c r="Q29" i="1"/>
  <c r="M32" i="1"/>
  <c r="Q28" i="1"/>
  <c r="B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<sst xmlns="http://schemas.openxmlformats.org/spreadsheetml/2006/main" count="87" uniqueCount="69">
  <si>
    <t>11-16 Solubility tesst</t>
  </si>
  <si>
    <t>0℃</t>
  </si>
  <si>
    <t>22℃</t>
  </si>
  <si>
    <t>42℃</t>
  </si>
  <si>
    <t>65℃*</t>
  </si>
  <si>
    <t>65℃</t>
  </si>
  <si>
    <t>Average</t>
  </si>
  <si>
    <t>Solubility</t>
  </si>
  <si>
    <t>SD</t>
  </si>
  <si>
    <t>TAL Total/extracellular</t>
  </si>
  <si>
    <t>2% glucose</t>
  </si>
  <si>
    <t>4% glucose</t>
  </si>
  <si>
    <t>Extracellular</t>
  </si>
  <si>
    <t>Total (cell lysis)</t>
  </si>
  <si>
    <t>11.18 at 120 h</t>
  </si>
  <si>
    <t>4ml</t>
  </si>
  <si>
    <t>Extracellular (4 ml)</t>
  </si>
  <si>
    <t>4ml-sonication</t>
  </si>
  <si>
    <t>Total (cell lysis of 4 ml)</t>
  </si>
  <si>
    <t>washed by H20 6 ml</t>
  </si>
  <si>
    <t xml:space="preserve">Washed pellet in 4 ml H20 </t>
  </si>
  <si>
    <t>Sonication in 2.5 ml H2O</t>
  </si>
  <si>
    <t>Sonicate pellet in 4 ml H2O</t>
  </si>
  <si>
    <t>Sandard curve-1</t>
  </si>
  <si>
    <t>Sandard curve-2</t>
  </si>
  <si>
    <t>Predicted-HS_Dortmund</t>
  </si>
  <si>
    <t>Predicted-HS_UNIFAC</t>
  </si>
  <si>
    <t>Temperature (℃)</t>
  </si>
  <si>
    <t>Measured; average</t>
  </si>
  <si>
    <t>Measured-1</t>
  </si>
  <si>
    <t>Measured-2</t>
  </si>
  <si>
    <t>Measured-3</t>
  </si>
  <si>
    <t>Measured-4</t>
  </si>
  <si>
    <t>Residual-HS_Dortmund vs Measured;average</t>
  </si>
  <si>
    <t>Residual-HS_Dortmund vs Measured-1</t>
  </si>
  <si>
    <t>Residual-HS_Dortmund vs Measured-2</t>
  </si>
  <si>
    <t>Residual-HS_Dortmund vs Measured-3</t>
  </si>
  <si>
    <t>Residual-HS_Dortmund vs Measured-4</t>
  </si>
  <si>
    <t>T [K]</t>
  </si>
  <si>
    <t>T [degC]</t>
  </si>
  <si>
    <t>x [g/L]</t>
  </si>
  <si>
    <t>x [by mol]</t>
  </si>
  <si>
    <t>1 / T [K]</t>
  </si>
  <si>
    <t>gamma</t>
  </si>
  <si>
    <t>xgamma</t>
  </si>
  <si>
    <t>ln(x [by mol] gamma)</t>
  </si>
  <si>
    <t>(1 - T/Tm)/T</t>
  </si>
  <si>
    <t>Tm [K]</t>
  </si>
  <si>
    <t>TAL MW [g/mol]</t>
  </si>
  <si>
    <t>Hm [J/mol]</t>
  </si>
  <si>
    <t>Hm [J/g]</t>
  </si>
  <si>
    <t>ln(Tm/T) - (Tm - T)/T</t>
  </si>
  <si>
    <t>dCp [J/mol/K]</t>
  </si>
  <si>
    <t>slope</t>
  </si>
  <si>
    <t>intercept</t>
  </si>
  <si>
    <t>gamma original</t>
  </si>
  <si>
    <t>ln(x [by mol] gamma [approx])</t>
  </si>
  <si>
    <t>y_fitted</t>
  </si>
  <si>
    <t>Stot</t>
  </si>
  <si>
    <t>y_real</t>
  </si>
  <si>
    <t>Sres</t>
  </si>
  <si>
    <t>sum</t>
  </si>
  <si>
    <t>mean</t>
  </si>
  <si>
    <t>x fitted [solubility]</t>
  </si>
  <si>
    <t>R2 solubility</t>
  </si>
  <si>
    <t>R2 model</t>
  </si>
  <si>
    <t>ln xgamma [model]</t>
  </si>
  <si>
    <t>fitted slope</t>
  </si>
  <si>
    <t>dslope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</si>
</sst>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0" fontId="0" fillId="0" borderId="0" xfId="0" applyFill="1"/>
    <xf numFmtId="0" fontId="0" fillId="2" borderId="0" xfId="0" applyFill="1"/>
    <xf numFmtId="0" fontId="1" fillId="2" borderId="0" xfId="0" applyFont="1" applyFill="1"/>
    <xf numFmtId="2" fontId="0" fillId="2" borderId="0" xfId="0" applyNumberFormat="1" applyFill="1"/>
    <xf numFmtId="2" fontId="1" fillId="2" borderId="0" xfId="0" applyNumberFormat="1" applyFont="1" applyFill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3" fillId="0" borderId="0" xfId="0" applyFont="1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r>
              <a:rPr lang="en-US"/>
              <a:t>Solubility</a:t>
            </a:r>
            <a:r>
              <a:rPr lang="zh-CN"/>
              <a:t> </a:t>
            </a:r>
            <a:r>
              <a:rPr lang="en-US"/>
              <a:t>of</a:t>
            </a:r>
            <a:r>
              <a:rPr lang="zh-CN"/>
              <a:t> </a:t>
            </a:r>
            <a:r>
              <a:rPr lang="en-US"/>
              <a:t>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[1]Sheet1!$A$315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[1]Sheet1!$B$316:$E$316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Ref>
                <c:f>[1]Sheet1!$B$316:$E$316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[1]Sheet1!$B$314:$E$314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[1]Sheet1!$B$315:$D$315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E0-4B7A-B638-DBE8205924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15976912"/>
        <c:axId val="-1815952352"/>
      </c:barChart>
      <c:catAx>
        <c:axId val="-181597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815952352"/>
        <c:crossesAt val="0"/>
        <c:auto val="1"/>
        <c:lblAlgn val="ctr"/>
        <c:lblOffset val="100"/>
        <c:noMultiLvlLbl val="0"/>
      </c:catAx>
      <c:valAx>
        <c:axId val="-181595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1815976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10870516185477"/>
          <c:y val="0.19486111111111112"/>
          <c:w val="0.8585579615048119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Sheet1!$B$25:$B$28</c:f>
              <c:numCache>
                <c:formatCode>General</c:formatCode>
                <c:ptCount val="4"/>
                <c:pt idx="0">
                  <c:v>0</c:v>
                </c:pt>
                <c:pt idx="1">
                  <c:v>22</c:v>
                </c:pt>
                <c:pt idx="2">
                  <c:v>42</c:v>
                </c:pt>
                <c:pt idx="3">
                  <c:v>65</c:v>
                </c:pt>
              </c:numCache>
            </c:numRef>
          </c:xVal>
          <c:yVal>
            <c:numRef>
              <c:f>Sheet1!$D$25:$D$28</c:f>
              <c:numCache>
                <c:formatCode>0.00</c:formatCode>
                <c:ptCount val="4"/>
                <c:pt idx="0">
                  <c:v>3.5228186985611694</c:v>
                </c:pt>
                <c:pt idx="1">
                  <c:v>8.9240721555179672</c:v>
                </c:pt>
                <c:pt idx="2">
                  <c:v>16.457105411143683</c:v>
                </c:pt>
                <c:pt idx="3">
                  <c:v>21.132341047446026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D0-474E-8429-599FB55EC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6056800"/>
        <c:axId val="1035714480"/>
      </c:scatterChart>
      <c:valAx>
        <c:axId val="1156056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714480"/>
        <c:crosses val="autoZero"/>
        <c:crossBetween val="midCat"/>
      </c:valAx>
      <c:valAx>
        <c:axId val="103571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05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99759405074366E-2"/>
          <c:y val="7.407407407407407E-2"/>
          <c:w val="0.8617386264216973"/>
          <c:h val="0.841674686497521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Sheet1!$E$25:$E$28</c:f>
              <c:numCache>
                <c:formatCode>General</c:formatCode>
                <c:ptCount val="4"/>
                <c:pt idx="0">
                  <c:v>3.6609921288669233E-3</c:v>
                </c:pt>
                <c:pt idx="1">
                  <c:v>3.3881077418261903E-3</c:v>
                </c:pt>
                <c:pt idx="2">
                  <c:v>3.1730921783277807E-3</c:v>
                </c:pt>
                <c:pt idx="3">
                  <c:v>2.9572674848440043E-3</c:v>
                </c:pt>
              </c:numCache>
            </c:numRef>
          </c:xVal>
          <c:yVal>
            <c:numRef>
              <c:f>Sheet1!$K$25:$K$28</c:f>
              <c:numCache>
                <c:formatCode>General</c:formatCode>
                <c:ptCount val="4"/>
                <c:pt idx="0">
                  <c:v>-8.8915174797910108</c:v>
                </c:pt>
                <c:pt idx="1">
                  <c:v>-7.5208592314052707</c:v>
                </c:pt>
                <c:pt idx="2">
                  <c:v>-6.5960253008501306</c:v>
                </c:pt>
                <c:pt idx="3">
                  <c:v>-6.0613250843037632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22-4DBF-9C48-777FFFFA84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6056800"/>
        <c:axId val="1035714480"/>
      </c:scatterChart>
      <c:valAx>
        <c:axId val="1156056800"/>
        <c:scaling>
          <c:orientation val="minMax"/>
          <c:min val="2.5000000000000005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714480"/>
        <c:crosses val="autoZero"/>
        <c:crossBetween val="midCat"/>
      </c:valAx>
      <c:valAx>
        <c:axId val="103571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05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6650481189851271E-2"/>
          <c:y val="7.6354257801108188E-2"/>
          <c:w val="0.85408573928258968"/>
          <c:h val="0.8981481481481481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20480052493438319"/>
                  <c:y val="7.393700787401574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Sheet1!$F$25:$F$27</c:f>
              <c:numCache>
                <c:formatCode>General</c:formatCode>
                <c:ptCount val="3"/>
                <c:pt idx="0">
                  <c:v>1.4783008705454128E-3</c:v>
                </c:pt>
                <c:pt idx="1">
                  <c:v>1.20541648350468E-3</c:v>
                </c:pt>
                <c:pt idx="2">
                  <c:v>9.9040092000627017E-4</c:v>
                </c:pt>
              </c:numCache>
            </c:numRef>
          </c:xVal>
          <c:yVal>
            <c:numRef>
              <c:f>Sheet1!$M$25:$M$27</c:f>
              <c:numCache>
                <c:formatCode>General</c:formatCode>
                <c:ptCount val="3"/>
                <c:pt idx="0">
                  <c:v>-8.8915174797910108</c:v>
                </c:pt>
                <c:pt idx="1">
                  <c:v>-7.5208592314052707</c:v>
                </c:pt>
                <c:pt idx="2">
                  <c:v>-6.5960253008501306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A85-47BF-904A-BB00DC3C71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407551"/>
        <c:axId val="520416703"/>
      </c:scatterChart>
      <c:valAx>
        <c:axId val="520407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416703"/>
        <c:crosses val="autoZero"/>
        <c:crossBetween val="midCat"/>
      </c:valAx>
      <c:valAx>
        <c:axId val="52041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407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997524245639501"/>
          <c:y val="2.9387069689336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Sheet1!$C$24</c:f>
              <c:strCache>
                <c:ptCount val="1"/>
                <c:pt idx="0">
                  <c:v>x [by mol]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Sheet1!$A$25:$A$27</c:f>
              <c:numCache>
                <c:formatCode>General</c:formatCode>
                <c:ptCount val="3"/>
                <c:pt idx="0">
                  <c:v>273.14999999999998</c:v>
                </c:pt>
                <c:pt idx="1">
                  <c:v>295.14999999999998</c:v>
                </c:pt>
                <c:pt idx="2">
                  <c:v>315.14999999999998</c:v>
                </c:pt>
              </c:numCache>
            </c:numRef>
          </c:xVal>
          <c:yVal>
            <c:numRef>
              <c:f>Sheet1!$C$25:$C$27</c:f>
              <c:numCache>
                <c:formatCode>General</c:formatCode>
                <c:ptCount val="3"/>
                <c:pt idx="0">
                  <c:v>5.0266848275838899E-4</c:v>
                </c:pt>
                <c:pt idx="1">
                  <c:v>1.2728261064031601E-3</c:v>
                </c:pt>
                <c:pt idx="2">
                  <c:v>2.34621085991105E-3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05-4264-84B5-02B36661B357}"/>
            </c:ext>
          </c:extLst>
        </c:ser>
        <c:ser>
          <c:idx val="1"/>
          <c:order val="1"/>
          <c:tx>
            <c:strRef>
              <c:f>Sheet1!$O$24</c:f>
              <c:strCache>
                <c:ptCount val="1"/>
                <c:pt idx="0">
                  <c:v>x fitted [solubility]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Sheet1!$A$25:$A$27</c:f>
              <c:numCache>
                <c:formatCode>General</c:formatCode>
                <c:ptCount val="3"/>
                <c:pt idx="0">
                  <c:v>273.14999999999998</c:v>
                </c:pt>
                <c:pt idx="1">
                  <c:v>295.14999999999998</c:v>
                </c:pt>
                <c:pt idx="2">
                  <c:v>315.14999999999998</c:v>
                </c:pt>
              </c:numCache>
            </c:numRef>
          </c:xVal>
          <c:yVal>
            <c:numRef>
              <c:f>Sheet1!$O$25:$O$27</c:f>
              <c:numCache>
                <c:formatCode>General</c:formatCode>
                <c:ptCount val="3"/>
                <c:pt idx="0">
                  <c:v>2.1977708237460968E-4</c:v>
                </c:pt>
                <c:pt idx="1">
                  <c:v>8.4984252067094566E-4</c:v>
                </c:pt>
                <c:pt idx="2">
                  <c:v>2.5538616288930741E-3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05-4264-84B5-02B36661B3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6949280"/>
        <c:axId val="1986948032"/>
      </c:scatterChart>
      <c:valAx>
        <c:axId val="1986949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948032"/>
        <c:crosses val="autoZero"/>
        <c:crossBetween val="midCat"/>
      </c:valAx>
      <c:valAx>
        <c:axId val="198694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949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Residual-HS_Dortmund vs Measured;average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Sheet2!$A$2:$A$5</c:f>
              <c:numCache>
                <c:formatCode>General</c:formatCode>
                <c:ptCount val="4"/>
                <c:pt idx="0">
                  <c:v>0</c:v>
                </c:pt>
                <c:pt idx="1">
                  <c:v>22</c:v>
                </c:pt>
                <c:pt idx="2">
                  <c:v>42</c:v>
                </c:pt>
                <c:pt idx="3">
                  <c:v>65</c:v>
                </c:pt>
              </c:numCache>
            </c:numRef>
          </c:xVal>
          <c:yVal>
            <c:numRef>
              <c:f>Sheet2!$D$2:$D$4</c:f>
              <c:numCache>
                <c:formatCode>0.00</c:formatCode>
                <c:ptCount val="3"/>
                <c:pt idx="0">
                  <c:v>-4.5761813014388313</c:v>
                </c:pt>
                <c:pt idx="1">
                  <c:v>-1.9479278444820327</c:v>
                </c:pt>
                <c:pt idx="2">
                  <c:v>3.3291054111436829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A3-4933-93A3-10233F4E4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799439"/>
        <c:axId val="502840655"/>
      </c:scatterChart>
      <c:valAx>
        <c:axId val="540799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latin typeface="Arial" panose="020B0604020202020204" pitchFamily="34" charset="0"/>
                    <a:cs typeface="Arial" panose="020B0604020202020204" pitchFamily="34" charset="0"/>
                  </a:rPr>
                  <a:t>Temperature 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840655"/>
        <c:crosses val="autoZero"/>
        <c:crossBetween val="midCat"/>
      </c:valAx>
      <c:valAx>
        <c:axId val="50284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>
                    <a:latin typeface="Arial" panose="020B0604020202020204" pitchFamily="34" charset="0"/>
                    <a:cs typeface="Arial" panose="020B0604020202020204" pitchFamily="34" charset="0"/>
                  </a:rPr>
                  <a:t>Redidual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99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Residual-HS_Dortmund vs Measured;average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Sheet2!$A$2:$A$5</c:f>
              <c:numCache>
                <c:formatCode>General</c:formatCode>
                <c:ptCount val="4"/>
                <c:pt idx="0">
                  <c:v>0</c:v>
                </c:pt>
                <c:pt idx="1">
                  <c:v>22</c:v>
                </c:pt>
                <c:pt idx="2">
                  <c:v>42</c:v>
                </c:pt>
                <c:pt idx="3">
                  <c:v>65</c:v>
                </c:pt>
              </c:numCache>
            </c:numRef>
          </c:xVal>
          <c:yVal>
            <c:numRef>
              <c:f>Sheet2!$D$2:$D$5</c:f>
              <c:numCache>
                <c:formatCode>0.00</c:formatCode>
                <c:ptCount val="4"/>
                <c:pt idx="0">
                  <c:v>-4.5761813014388313</c:v>
                </c:pt>
                <c:pt idx="1">
                  <c:v>-1.9479278444820327</c:v>
                </c:pt>
                <c:pt idx="2">
                  <c:v>3.3291054111436829</c:v>
                </c:pt>
                <c:pt idx="3">
                  <c:v>5.9553410474460264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C7-4629-AF05-83992CC25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799439"/>
        <c:axId val="502840655"/>
      </c:scatterChart>
      <c:valAx>
        <c:axId val="540799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latin typeface="Arial" panose="020B0604020202020204" pitchFamily="34" charset="0"/>
                    <a:cs typeface="Arial" panose="020B0604020202020204" pitchFamily="34" charset="0"/>
                  </a:rPr>
                  <a:t>Temperature 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840655"/>
        <c:crosses val="autoZero"/>
        <c:crossBetween val="midCat"/>
      </c:valAx>
      <c:valAx>
        <c:axId val="50284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>
                    <a:latin typeface="Arial" panose="020B0604020202020204" pitchFamily="34" charset="0"/>
                    <a:cs typeface="Arial" panose="020B0604020202020204" pitchFamily="34" charset="0"/>
                  </a:rPr>
                  <a:t>Redidual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99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386981828613711E-2"/>
          <c:y val="3.0555555555555555E-2"/>
          <c:w val="0.88675333368563836"/>
          <c:h val="0.7896666666666665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Residual-HS_Dortmund vs Measured;average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Sheet2!$A$2:$A$5</c:f>
              <c:numCache>
                <c:formatCode>General</c:formatCode>
                <c:ptCount val="4"/>
                <c:pt idx="0">
                  <c:v>0</c:v>
                </c:pt>
                <c:pt idx="1">
                  <c:v>22</c:v>
                </c:pt>
                <c:pt idx="2">
                  <c:v>42</c:v>
                </c:pt>
                <c:pt idx="3">
                  <c:v>65</c:v>
                </c:pt>
              </c:numCache>
            </c:numRef>
          </c:xVal>
          <c:yVal>
            <c:numRef>
              <c:f>Sheet2!$D$2:$D$5</c:f>
              <c:numCache>
                <c:formatCode>0.00</c:formatCode>
                <c:ptCount val="4"/>
                <c:pt idx="0">
                  <c:v>-4.5761813014388313</c:v>
                </c:pt>
                <c:pt idx="1">
                  <c:v>-1.9479278444820327</c:v>
                </c:pt>
                <c:pt idx="2">
                  <c:v>3.3291054111436829</c:v>
                </c:pt>
                <c:pt idx="3">
                  <c:v>5.9553410474460264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3D-49BD-8DE3-865AA6248F39}"/>
            </c:ext>
          </c:extLst>
        </c:ser>
        <c:ser>
          <c:idx val="1"/>
          <c:order val="1"/>
          <c:tx>
            <c:strRef>
              <c:f>Sheet2!$G$1</c:f>
              <c:strCache>
                <c:ptCount val="1"/>
                <c:pt idx="0">
                  <c:v>Residual-HS_Dortmund vs Measured-1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Sheet2!$A$2:$A$5</c:f>
              <c:numCache>
                <c:formatCode>General</c:formatCode>
                <c:ptCount val="4"/>
                <c:pt idx="0">
                  <c:v>0</c:v>
                </c:pt>
                <c:pt idx="1">
                  <c:v>22</c:v>
                </c:pt>
                <c:pt idx="2">
                  <c:v>42</c:v>
                </c:pt>
                <c:pt idx="3">
                  <c:v>65</c:v>
                </c:pt>
              </c:numCache>
            </c:numRef>
          </c:xVal>
          <c:yVal>
            <c:numRef>
              <c:f>Sheet2!$G$2:$G$5</c:f>
              <c:numCache>
                <c:formatCode>0.00</c:formatCode>
                <c:ptCount val="4"/>
                <c:pt idx="0">
                  <c:v>-4.1070375083724056</c:v>
                </c:pt>
                <c:pt idx="1">
                  <c:v>-0.84855726724715375</c:v>
                </c:pt>
                <c:pt idx="2">
                  <c:v>4.3100442062960482</c:v>
                </c:pt>
                <c:pt idx="3">
                  <c:v>7.13378365706631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3D-49BD-8DE3-865AA6248F39}"/>
            </c:ext>
          </c:extLst>
        </c:ser>
        <c:ser>
          <c:idx val="2"/>
          <c:order val="2"/>
          <c:tx>
            <c:strRef>
              <c:f>Sheet2!$I$1</c:f>
              <c:strCache>
                <c:ptCount val="1"/>
                <c:pt idx="0">
                  <c:v>Residual-HS_Dortmund vs Measured-2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Sheet2!$A$2:$A$5</c:f>
              <c:numCache>
                <c:formatCode>General</c:formatCode>
                <c:ptCount val="4"/>
                <c:pt idx="0">
                  <c:v>0</c:v>
                </c:pt>
                <c:pt idx="1">
                  <c:v>22</c:v>
                </c:pt>
                <c:pt idx="2">
                  <c:v>42</c:v>
                </c:pt>
                <c:pt idx="3">
                  <c:v>65</c:v>
                </c:pt>
              </c:numCache>
            </c:numRef>
          </c:xVal>
          <c:yVal>
            <c:numRef>
              <c:f>Sheet2!$I$2:$I$5</c:f>
              <c:numCache>
                <c:formatCode>0.00</c:formatCode>
                <c:ptCount val="4"/>
                <c:pt idx="0">
                  <c:v>-3.7453496316142001</c:v>
                </c:pt>
                <c:pt idx="1">
                  <c:v>-1.2135941058271928</c:v>
                </c:pt>
                <c:pt idx="2">
                  <c:v>4.9262531815137294</c:v>
                </c:pt>
                <c:pt idx="3">
                  <c:v>7.8169718687206995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43D-49BD-8DE3-865AA6248F39}"/>
            </c:ext>
          </c:extLst>
        </c:ser>
        <c:ser>
          <c:idx val="3"/>
          <c:order val="3"/>
          <c:tx>
            <c:strRef>
              <c:f>Sheet2!$K$1</c:f>
              <c:strCache>
                <c:ptCount val="1"/>
                <c:pt idx="0">
                  <c:v>Residual-HS_Dortmund vs Measured-3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xVal>
            <c:numRef>
              <c:f>Sheet2!$A$2:$A$5</c:f>
              <c:numCache>
                <c:formatCode>General</c:formatCode>
                <c:ptCount val="4"/>
                <c:pt idx="0">
                  <c:v>0</c:v>
                </c:pt>
                <c:pt idx="1">
                  <c:v>22</c:v>
                </c:pt>
                <c:pt idx="2">
                  <c:v>42</c:v>
                </c:pt>
                <c:pt idx="3">
                  <c:v>65</c:v>
                </c:pt>
              </c:numCache>
            </c:numRef>
          </c:xVal>
          <c:yVal>
            <c:numRef>
              <c:f>Sheet2!$K$2:$K$5</c:f>
              <c:numCache>
                <c:formatCode>0.00</c:formatCode>
                <c:ptCount val="4"/>
                <c:pt idx="0">
                  <c:v>-5.3899841038708898</c:v>
                </c:pt>
                <c:pt idx="1">
                  <c:v>-2.6994481252275211</c:v>
                </c:pt>
                <c:pt idx="2">
                  <c:v>1.7609697852202402</c:v>
                </c:pt>
                <c:pt idx="3">
                  <c:v>4.125875864579541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43D-49BD-8DE3-865AA6248F39}"/>
            </c:ext>
          </c:extLst>
        </c:ser>
        <c:ser>
          <c:idx val="4"/>
          <c:order val="4"/>
          <c:tx>
            <c:strRef>
              <c:f>Sheet2!$M$1</c:f>
              <c:strCache>
                <c:ptCount val="1"/>
                <c:pt idx="0">
                  <c:v>Residual-HS_Dortmund vs Measured-4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noFill/>
              </a:ln>
              <a:effectLst/>
            </c:spPr>
          </c:marker>
          <c:xVal>
            <c:numRef>
              <c:f>Sheet2!$A$2:$A$5</c:f>
              <c:numCache>
                <c:formatCode>General</c:formatCode>
                <c:ptCount val="4"/>
                <c:pt idx="0">
                  <c:v>0</c:v>
                </c:pt>
                <c:pt idx="1">
                  <c:v>22</c:v>
                </c:pt>
                <c:pt idx="2">
                  <c:v>42</c:v>
                </c:pt>
                <c:pt idx="3">
                  <c:v>65</c:v>
                </c:pt>
              </c:numCache>
            </c:numRef>
          </c:xVal>
          <c:yVal>
            <c:numRef>
              <c:f>Sheet2!$M$2:$M$5</c:f>
              <c:numCache>
                <c:formatCode>0.00</c:formatCode>
                <c:ptCount val="4"/>
                <c:pt idx="0">
                  <c:v>-5.0623539618978288</c:v>
                </c:pt>
                <c:pt idx="1">
                  <c:v>-3.0301118796262587</c:v>
                </c:pt>
                <c:pt idx="2">
                  <c:v>2.3191544715447154</c:v>
                </c:pt>
                <c:pt idx="3">
                  <c:v>4.7447327994175481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43D-49BD-8DE3-865AA6248F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799439"/>
        <c:axId val="502840655"/>
      </c:scatterChart>
      <c:valAx>
        <c:axId val="540799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latin typeface="Arial" panose="020B0604020202020204" pitchFamily="34" charset="0"/>
                    <a:cs typeface="Arial" panose="020B0604020202020204" pitchFamily="34" charset="0"/>
                  </a:rPr>
                  <a:t>Temperature 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840655"/>
        <c:crosses val="autoZero"/>
        <c:crossBetween val="midCat"/>
      </c:valAx>
      <c:valAx>
        <c:axId val="50284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>
                    <a:latin typeface="Arial" panose="020B0604020202020204" pitchFamily="34" charset="0"/>
                    <a:cs typeface="Arial" panose="020B0604020202020204" pitchFamily="34" charset="0"/>
                  </a:rPr>
                  <a:t>Redidual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99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6.4005128553561663E-2"/>
          <c:y val="0.86058945756780414"/>
          <c:w val="0.89604600599421713"/>
          <c:h val="0.126043307086614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279400</xdr:colOff>
      <xdr:row>1</xdr:row>
      <xdr:rowOff>63500</xdr:rowOff>
    </xdr:from>
    <xdr:to>
      <xdr:col>20</xdr:col>
      <xdr:colOff>429</xdr:colOff>
      <xdr:row>14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430530</xdr:colOff>
      <xdr:row>35</xdr:row>
      <xdr:rowOff>118110</xdr:rowOff>
    </xdr:from>
    <xdr:to>
      <xdr:col>20</xdr:col>
      <xdr:colOff>735330</xdr:colOff>
      <xdr:row>49</xdr:row>
      <xdr:rowOff>87630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785A4DC-FD46-4552-95FC-6B6BBC574A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53340</xdr:colOff>
      <xdr:row>0</xdr:row>
      <xdr:rowOff>0</xdr:rowOff>
    </xdr:from>
    <xdr:to>
      <xdr:col>10</xdr:col>
      <xdr:colOff>68580</xdr:colOff>
      <xdr:row>13</xdr:row>
      <xdr:rowOff>167640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962C735-4F10-4E3A-B1B8-D3864875FD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541020</xdr:colOff>
      <xdr:row>39</xdr:row>
      <xdr:rowOff>22860</xdr:rowOff>
    </xdr:from>
    <xdr:to>
      <xdr:col>6</xdr:col>
      <xdr:colOff>510540</xdr:colOff>
      <xdr:row>52</xdr:row>
      <xdr:rowOff>190500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08E3B10-F4B7-4DC9-B654-B37A210A62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125730</xdr:colOff>
      <xdr:row>38</xdr:row>
      <xdr:rowOff>91440</xdr:rowOff>
    </xdr:from>
    <xdr:to>
      <xdr:col>13</xdr:col>
      <xdr:colOff>533400</xdr:colOff>
      <xdr:row>53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B994CC-FBC8-4CF5-9C10-C5AFCF0A10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781050</xdr:colOff>
      <xdr:row>7</xdr:row>
      <xdr:rowOff>34290</xdr:rowOff>
    </xdr:from>
    <xdr:to>
      <xdr:col>5</xdr:col>
      <xdr:colOff>468630</xdr:colOff>
      <xdr:row>21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452B68-35F8-4BD7-AD28-79C1DBC291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739140</xdr:colOff>
      <xdr:row>21</xdr:row>
      <xdr:rowOff>129540</xdr:rowOff>
    </xdr:from>
    <xdr:to>
      <xdr:col>5</xdr:col>
      <xdr:colOff>426720</xdr:colOff>
      <xdr:row>35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D21EB5-9E61-4AF8-8669-FF74C99204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586740</xdr:colOff>
      <xdr:row>7</xdr:row>
      <xdr:rowOff>0</xdr:rowOff>
    </xdr:from>
    <xdr:to>
      <xdr:col>15</xdr:col>
      <xdr:colOff>68580</xdr:colOff>
      <xdr:row>30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86364B-3F35-40E5-8723-74FFF30887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ingfeng\Documents\&#23398;&#20064;\Study\UIUC\Rhodosporidum%20toruloides\TAL\HPLC\2020-11-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topLeftCell="F36" workbookViewId="0">
      <selection activeCell="P30" sqref="P30"/>
    </sheetView>
  </sheetViews>
  <sheetFormatPr defaultColWidth="11.19921875" defaultRowHeight="15.6" x14ac:dyDescent="0.3"/>
  <cols>
    <col min="1" max="1" width="25.796875" customWidth="1"/>
    <col min="5" max="5" width="11.796875" customWidth="1"/>
    <col min="6" max="6" width="15" customWidth="1"/>
    <col min="9" max="9" width="23.09765625" customWidth="1"/>
    <col min="10" max="10" width="26.59765625" bestFit="1" customWidth="1"/>
    <col min="11" max="11" width="18.796875" bestFit="1" customWidth="1"/>
    <col min="12" max="12" width="18.09765625" bestFit="1" customWidth="1"/>
    <col min="14" max="14" width="11.8984375" bestFit="1" customWidth="1"/>
    <col min="16" max="16" width="11.8984375" bestFit="1" customWidth="1"/>
  </cols>
  <sheetData>
    <row r="1" spans="1:13" x14ac:dyDescent="0.3">
      <c r="A1" t="s">
        <v>0</v>
      </c>
      <c r="J1" s="2"/>
      <c r="K1" s="2"/>
      <c r="L1" s="2"/>
      <c r="M1" s="2"/>
    </row>
    <row r="2" spans="1:13" x14ac:dyDescent="0.3">
      <c r="A2" s="3"/>
      <c r="B2" s="3" t="s">
        <v>1</v>
      </c>
      <c r="C2" s="3" t="s">
        <v>2</v>
      </c>
      <c r="D2" s="3" t="s">
        <v>3</v>
      </c>
      <c r="E2" s="4" t="s">
        <v>4</v>
      </c>
      <c r="F2" t="s">
        <v>1</v>
      </c>
      <c r="G2" t="s">
        <v>2</v>
      </c>
      <c r="H2" t="s">
        <v>3</v>
      </c>
      <c r="I2" t="s">
        <v>5</v>
      </c>
      <c r="J2" s="2"/>
      <c r="K2" s="2"/>
      <c r="L2" s="2"/>
      <c r="M2" s="2"/>
    </row>
    <row r="3" spans="1:13" x14ac:dyDescent="0.3">
      <c r="A3" s="3" t="s">
        <v>7</v>
      </c>
      <c r="B3" s="5">
        <v>3.5228186985611694</v>
      </c>
      <c r="C3" s="5">
        <v>8.9240721555179672</v>
      </c>
      <c r="D3" s="5">
        <v>16.457105411143683</v>
      </c>
      <c r="E3" s="6">
        <v>21.132341047446026</v>
      </c>
      <c r="F3">
        <v>1392</v>
      </c>
      <c r="G3">
        <v>3193</v>
      </c>
      <c r="H3">
        <v>5407</v>
      </c>
      <c r="I3">
        <v>6862</v>
      </c>
      <c r="J3" s="2"/>
      <c r="K3" s="2"/>
      <c r="L3" s="2"/>
      <c r="M3" s="2"/>
    </row>
    <row r="4" spans="1:13" x14ac:dyDescent="0.3">
      <c r="A4" s="3" t="s">
        <v>8</v>
      </c>
      <c r="B4" s="5">
        <v>0.24371072271947705</v>
      </c>
      <c r="C4" s="5">
        <v>0.24596730348539764</v>
      </c>
      <c r="D4" s="5">
        <v>0.41521086092947901</v>
      </c>
      <c r="E4" s="6">
        <v>0.46034247624790298</v>
      </c>
      <c r="F4">
        <v>1500</v>
      </c>
      <c r="G4">
        <v>3084</v>
      </c>
      <c r="H4">
        <v>5591</v>
      </c>
      <c r="I4">
        <v>7066</v>
      </c>
      <c r="J4" s="2"/>
      <c r="K4" s="2"/>
      <c r="L4" s="2"/>
      <c r="M4" s="2"/>
    </row>
    <row r="5" spans="1:13" x14ac:dyDescent="0.3">
      <c r="E5" t="s">
        <v>23</v>
      </c>
      <c r="F5">
        <f>(F3-200)/14930*50</f>
        <v>3.9919624916275951</v>
      </c>
      <c r="G5">
        <f t="shared" ref="G5:I6" si="0">(G3-200)/14930*50</f>
        <v>10.023442732752846</v>
      </c>
      <c r="H5">
        <f t="shared" si="0"/>
        <v>17.438044206296048</v>
      </c>
      <c r="I5">
        <f t="shared" si="0"/>
        <v>22.31078365706631</v>
      </c>
    </row>
    <row r="6" spans="1:13" x14ac:dyDescent="0.3">
      <c r="F6">
        <f>(F4-200)/14930*50</f>
        <v>4.3536503683858001</v>
      </c>
      <c r="G6">
        <f t="shared" si="0"/>
        <v>9.658405894172807</v>
      </c>
      <c r="H6">
        <f t="shared" si="0"/>
        <v>18.054253181513729</v>
      </c>
      <c r="I6">
        <f t="shared" si="0"/>
        <v>22.993971868720699</v>
      </c>
      <c r="J6">
        <f>STDEV(F5:F6)</f>
        <v>0.25575195032869108</v>
      </c>
      <c r="K6">
        <f t="shared" ref="K6:M6" si="1">STDEV(G5:G6)</f>
        <v>0.25812002394284478</v>
      </c>
      <c r="L6">
        <f t="shared" si="1"/>
        <v>0.43572554500443555</v>
      </c>
      <c r="M6">
        <f t="shared" si="1"/>
        <v>0.48308701728752912</v>
      </c>
    </row>
    <row r="7" spans="1:13" x14ac:dyDescent="0.3">
      <c r="E7" t="s">
        <v>24</v>
      </c>
      <c r="F7">
        <f t="shared" ref="F7:I8" si="2">(F3-499)/16482*50</f>
        <v>2.7090158961291104</v>
      </c>
      <c r="G7">
        <f t="shared" si="2"/>
        <v>8.1725518747724788</v>
      </c>
      <c r="H7">
        <f t="shared" si="2"/>
        <v>14.88896978522024</v>
      </c>
      <c r="I7">
        <f t="shared" si="2"/>
        <v>19.302875864579541</v>
      </c>
    </row>
    <row r="8" spans="1:13" x14ac:dyDescent="0.3">
      <c r="F8">
        <f>(F4-499)/16482*50</f>
        <v>3.0366460381021718</v>
      </c>
      <c r="G8">
        <f t="shared" si="2"/>
        <v>7.8418881203737412</v>
      </c>
      <c r="H8">
        <f t="shared" si="2"/>
        <v>15.447154471544716</v>
      </c>
      <c r="I8">
        <f t="shared" si="2"/>
        <v>19.921732799417548</v>
      </c>
      <c r="J8">
        <f>STDEV(F7:F8)</f>
        <v>0.23166949511026302</v>
      </c>
      <c r="K8">
        <f>STDEV(G7:G8)</f>
        <v>0.23381458302795047</v>
      </c>
      <c r="L8">
        <f>STDEV(H7:H8)</f>
        <v>0.39469617685452241</v>
      </c>
      <c r="M8">
        <f>STDEV(I7:I8)</f>
        <v>0.43759793520827617</v>
      </c>
    </row>
    <row r="9" spans="1:13" x14ac:dyDescent="0.3">
      <c r="A9" t="s">
        <v>9</v>
      </c>
      <c r="E9" t="s">
        <v>6</v>
      </c>
      <c r="F9">
        <f>AVERAGE(F5:F6,F7:F8)</f>
        <v>3.5228186985611694</v>
      </c>
      <c r="G9">
        <f>AVERAGE(G5:G6,G7:G8)</f>
        <v>8.9240721555179672</v>
      </c>
      <c r="H9">
        <f>AVERAGE(H5:H6,H7:H8)</f>
        <v>16.457105411143683</v>
      </c>
      <c r="I9">
        <f>AVERAGE(I5:I6,I7:I8)</f>
        <v>21.132341047446026</v>
      </c>
    </row>
    <row r="10" spans="1:13" x14ac:dyDescent="0.3">
      <c r="B10" t="s">
        <v>10</v>
      </c>
      <c r="C10" t="s">
        <v>11</v>
      </c>
      <c r="I10" t="s">
        <v>8</v>
      </c>
      <c r="J10">
        <f>AVERAGE(J6:J8)</f>
        <v>0.24371072271947705</v>
      </c>
      <c r="K10">
        <f t="shared" ref="K10:M10" si="3">AVERAGE(K6:K8)</f>
        <v>0.24596730348539764</v>
      </c>
      <c r="L10">
        <f t="shared" si="3"/>
        <v>0.41521086092947901</v>
      </c>
      <c r="M10">
        <f t="shared" si="3"/>
        <v>0.46034247624790264</v>
      </c>
    </row>
    <row r="11" spans="1:13" x14ac:dyDescent="0.3">
      <c r="A11" t="s">
        <v>12</v>
      </c>
      <c r="B11" s="1">
        <f>(E11-200)/14930*10</f>
        <v>1.1078365706630944</v>
      </c>
      <c r="C11" s="1">
        <f>(F11-200)/14930*10</f>
        <v>3.0803750837240456</v>
      </c>
      <c r="D11" t="s">
        <v>12</v>
      </c>
      <c r="E11">
        <v>1854</v>
      </c>
      <c r="F11">
        <v>4799</v>
      </c>
    </row>
    <row r="12" spans="1:13" x14ac:dyDescent="0.3">
      <c r="A12" t="s">
        <v>13</v>
      </c>
      <c r="B12" s="1">
        <f>(E12-200)/14930*10</f>
        <v>1.0971198928332218</v>
      </c>
      <c r="C12" s="1">
        <f>(F12-200)/14930*10</f>
        <v>3.2136637642330879</v>
      </c>
      <c r="D12" t="s">
        <v>13</v>
      </c>
      <c r="E12">
        <v>1838</v>
      </c>
      <c r="F12">
        <v>4998</v>
      </c>
    </row>
    <row r="13" spans="1:13" x14ac:dyDescent="0.3">
      <c r="G13" t="s">
        <v>10</v>
      </c>
      <c r="H13" t="s">
        <v>11</v>
      </c>
    </row>
    <row r="14" spans="1:13" x14ac:dyDescent="0.3">
      <c r="A14" t="s">
        <v>14</v>
      </c>
      <c r="B14" t="s">
        <v>10</v>
      </c>
      <c r="C14" t="s">
        <v>11</v>
      </c>
      <c r="F14" t="s">
        <v>15</v>
      </c>
      <c r="G14">
        <v>1669</v>
      </c>
      <c r="H14">
        <v>6365</v>
      </c>
    </row>
    <row r="15" spans="1:13" x14ac:dyDescent="0.3">
      <c r="A15" t="s">
        <v>16</v>
      </c>
      <c r="B15">
        <v>0.98392498325519095</v>
      </c>
      <c r="C15" s="1">
        <v>4.1292699263228396</v>
      </c>
      <c r="F15" t="s">
        <v>17</v>
      </c>
      <c r="G15">
        <v>1588</v>
      </c>
      <c r="H15">
        <v>6090</v>
      </c>
    </row>
    <row r="16" spans="1:13" x14ac:dyDescent="0.3">
      <c r="A16" t="s">
        <v>18</v>
      </c>
      <c r="B16">
        <v>0.92967180174146014</v>
      </c>
      <c r="C16" s="1">
        <v>3.9450770261219019</v>
      </c>
      <c r="F16" t="s">
        <v>19</v>
      </c>
      <c r="G16">
        <v>67</v>
      </c>
      <c r="H16">
        <v>239</v>
      </c>
    </row>
    <row r="17" spans="1:19" x14ac:dyDescent="0.3">
      <c r="A17" t="s">
        <v>20</v>
      </c>
      <c r="B17">
        <f>G20*1.5</f>
        <v>-0.13362357669122571</v>
      </c>
      <c r="C17">
        <f>H20*1.5</f>
        <v>3.6570663094440722E-2</v>
      </c>
      <c r="F17" t="s">
        <v>21</v>
      </c>
      <c r="G17">
        <v>13</v>
      </c>
      <c r="H17">
        <v>63</v>
      </c>
    </row>
    <row r="18" spans="1:19" x14ac:dyDescent="0.3">
      <c r="A18" t="s">
        <v>22</v>
      </c>
      <c r="B18">
        <f>G21/1.6</f>
        <v>-7.8281982585398521E-2</v>
      </c>
      <c r="C18">
        <f>H21/1.6</f>
        <v>-5.7350971198928333E-2</v>
      </c>
      <c r="F18" t="s">
        <v>15</v>
      </c>
      <c r="G18">
        <f>(G14-200)/14930*10</f>
        <v>0.98392498325519095</v>
      </c>
      <c r="H18">
        <f>(H14-200)/14930*10</f>
        <v>4.1292699263228396</v>
      </c>
    </row>
    <row r="19" spans="1:19" x14ac:dyDescent="0.3">
      <c r="F19" t="s">
        <v>17</v>
      </c>
      <c r="G19">
        <f t="shared" ref="G19:H19" si="4">(G15-200)/14930*10</f>
        <v>0.92967180174146014</v>
      </c>
      <c r="H19">
        <f t="shared" si="4"/>
        <v>3.9450770261219019</v>
      </c>
    </row>
    <row r="20" spans="1:19" x14ac:dyDescent="0.3">
      <c r="A20" t="s">
        <v>48</v>
      </c>
      <c r="B20">
        <v>126.11004</v>
      </c>
      <c r="F20" t="s">
        <v>19</v>
      </c>
      <c r="G20">
        <f>(G16-200)/14930*10</f>
        <v>-8.9082384460817135E-2</v>
      </c>
      <c r="H20">
        <f>(H16-200)/14930*10*5.6/6</f>
        <v>2.4380442062960483E-2</v>
      </c>
    </row>
    <row r="21" spans="1:19" x14ac:dyDescent="0.3">
      <c r="A21" t="s">
        <v>47</v>
      </c>
      <c r="B21">
        <f>185 + 273.15</f>
        <v>458.15</v>
      </c>
      <c r="F21" t="s">
        <v>21</v>
      </c>
      <c r="G21">
        <f>(G17-200)/14930*10</f>
        <v>-0.12525117213663764</v>
      </c>
      <c r="H21">
        <f>(H17-200)/14930*10</f>
        <v>-9.1761553918285332E-2</v>
      </c>
    </row>
    <row r="22" spans="1:19" x14ac:dyDescent="0.3">
      <c r="A22" t="s">
        <v>52</v>
      </c>
      <c r="B22">
        <v>0</v>
      </c>
    </row>
    <row r="23" spans="1:19" x14ac:dyDescent="0.3">
      <c r="P23" s="13" t="s">
        <v>7</v>
      </c>
      <c r="Q23" s="13"/>
      <c r="R23" s="13" t="s">
        <v>66</v>
      </c>
      <c r="S23" s="13"/>
    </row>
    <row r="24" spans="1:19" x14ac:dyDescent="0.3">
      <c r="A24" t="s">
        <v>38</v>
      </c>
      <c r="B24" t="s">
        <v>39</v>
      </c>
      <c r="C24" t="s">
        <v>41</v>
      </c>
      <c r="D24" t="s">
        <v>40</v>
      </c>
      <c r="E24" t="s">
        <v>42</v>
      </c>
      <c r="F24" t="s">
        <v>46</v>
      </c>
      <c r="G24" t="s">
        <v>43</v>
      </c>
      <c r="H24" t="s">
        <v>44</v>
      </c>
      <c r="J24" t="s">
        <v>56</v>
      </c>
      <c r="K24" t="s">
        <v>45</v>
      </c>
      <c r="L24" t="s">
        <v>51</v>
      </c>
      <c r="M24" t="s">
        <v>59</v>
      </c>
      <c r="N24" t="s">
        <v>57</v>
      </c>
      <c r="O24" t="s">
        <v>63</v>
      </c>
      <c r="P24" t="s">
        <v>58</v>
      </c>
      <c r="Q24" t="s">
        <v>60</v>
      </c>
      <c r="R24" t="s">
        <v>58</v>
      </c>
      <c r="S24" t="s">
        <v>60</v>
      </c>
    </row>
    <row r="25" spans="1:19" x14ac:dyDescent="0.3">
      <c r="A25">
        <f>B25+273.15</f>
        <v>273.14999999999998</v>
      </c>
      <c r="B25">
        <v>0</v>
      </c>
      <c r="C25">
        <v>5.0266848275838899E-4</v>
      </c>
      <c r="D25" s="1">
        <f>B3</f>
        <v>3.5228186985611694</v>
      </c>
      <c r="E25">
        <f>1/A25</f>
        <v>3.6609921288669233E-3</v>
      </c>
      <c r="F25">
        <f>(1 - A25/$B$21)/A25</f>
        <v>1.4783008705454128E-3</v>
      </c>
      <c r="G25">
        <v>0.27364112478715502</v>
      </c>
      <c r="H25">
        <f>C25*G25</f>
        <v>1.3755076901705821E-4</v>
      </c>
      <c r="J25">
        <f>LN(H25)</f>
        <v>-8.8915174797910108</v>
      </c>
      <c r="K25">
        <f>LN(H25)</f>
        <v>-8.8915174797910108</v>
      </c>
      <c r="L25">
        <f>LN($B$21/A25) - ($B$21 -A25)/A25</f>
        <v>-0.16010799727088521</v>
      </c>
      <c r="M25">
        <f>J25</f>
        <v>-8.8915174797910108</v>
      </c>
      <c r="N25">
        <f>$B$30*F25</f>
        <v>-9.7188345818769832</v>
      </c>
      <c r="O25">
        <f>EXP(N25)/G25</f>
        <v>2.1977708237460968E-4</v>
      </c>
      <c r="P25">
        <f>(C25-$C$29)^2</f>
        <v>7.590475215742775E-7</v>
      </c>
      <c r="Q25" s="12">
        <f>(C25-O25)^2</f>
        <v>8.0027544411095735E-8</v>
      </c>
      <c r="R25">
        <f>(M25-$M$29)^2</f>
        <v>1.4934065506430201</v>
      </c>
      <c r="S25" s="12">
        <f>(M25-N25)^2</f>
        <v>0.68445358740393136</v>
      </c>
    </row>
    <row r="26" spans="1:19" x14ac:dyDescent="0.3">
      <c r="A26">
        <f t="shared" ref="A26:A28" si="5">B26+273.15</f>
        <v>295.14999999999998</v>
      </c>
      <c r="B26">
        <v>22</v>
      </c>
      <c r="C26">
        <v>1.2728261064031601E-3</v>
      </c>
      <c r="D26" s="1">
        <f>C3</f>
        <v>8.9240721555179672</v>
      </c>
      <c r="E26">
        <f t="shared" ref="E26:E28" si="6">1/A26</f>
        <v>3.3881077418261903E-3</v>
      </c>
      <c r="F26">
        <f>(1 - A26/$B$21)/A26</f>
        <v>1.20541648350468E-3</v>
      </c>
      <c r="G26">
        <v>0.42556241253962601</v>
      </c>
      <c r="H26">
        <f>C26*G26</f>
        <v>5.4166694858434747E-4</v>
      </c>
      <c r="J26">
        <f t="shared" ref="J26:J28" si="7">LN(H26)</f>
        <v>-7.5208592314052707</v>
      </c>
      <c r="K26">
        <f>LN(H26)</f>
        <v>-7.5208592314052707</v>
      </c>
      <c r="L26">
        <f>LN($B$21/A26) - ($B$21 -A26)/A26</f>
        <v>-0.11254862219314521</v>
      </c>
      <c r="M26">
        <f t="shared" ref="M26:M28" si="8">J26</f>
        <v>-7.5208592314052707</v>
      </c>
      <c r="N26">
        <f>$B$30*F26</f>
        <v>-7.9248031566994488</v>
      </c>
      <c r="O26">
        <f t="shared" ref="O26:O28" si="9">EXP(N26)/G26</f>
        <v>8.4984252067094566E-4</v>
      </c>
      <c r="P26">
        <f>(C26-$C$29)^2</f>
        <v>1.021629914278054E-8</v>
      </c>
      <c r="Q26" s="12">
        <f>(C26-O26)^2</f>
        <v>1.7891511379888156E-7</v>
      </c>
      <c r="R26">
        <f t="shared" ref="R26:R28" si="10">(M26-$M$29)^2</f>
        <v>2.208436915212417E-2</v>
      </c>
      <c r="S26" s="12">
        <f t="shared" ref="S26:S28" si="11">(M26-N26)^2</f>
        <v>0.16317069478206855</v>
      </c>
    </row>
    <row r="27" spans="1:19" x14ac:dyDescent="0.3">
      <c r="A27">
        <f t="shared" si="5"/>
        <v>315.14999999999998</v>
      </c>
      <c r="B27">
        <v>42</v>
      </c>
      <c r="C27">
        <v>2.34621085991105E-3</v>
      </c>
      <c r="D27" s="1">
        <f>D3</f>
        <v>16.457105411143683</v>
      </c>
      <c r="E27">
        <f t="shared" si="6"/>
        <v>3.1730921783277807E-3</v>
      </c>
      <c r="F27">
        <f>(1 - A27/$B$21)/A27</f>
        <v>9.9040092000627017E-4</v>
      </c>
      <c r="G27">
        <v>0.58212408548778205</v>
      </c>
      <c r="H27">
        <f>C27*G27</f>
        <v>1.3657858511872227E-3</v>
      </c>
      <c r="J27">
        <f t="shared" si="7"/>
        <v>-6.5960253008501306</v>
      </c>
      <c r="K27">
        <f>LN(H27)</f>
        <v>-6.5960253008501306</v>
      </c>
      <c r="L27">
        <f>LN($B$21/A27) - ($B$21 -A27)/A27</f>
        <v>-7.9604256048769473E-2</v>
      </c>
      <c r="M27">
        <f t="shared" si="8"/>
        <v>-6.5960253008501306</v>
      </c>
      <c r="N27">
        <f>$B$30*F27</f>
        <v>-6.5112203497035184</v>
      </c>
      <c r="O27">
        <f t="shared" si="9"/>
        <v>2.5538616288930741E-3</v>
      </c>
      <c r="P27">
        <f>(C27-$C$29)^2</f>
        <v>9.4538487617595475E-7</v>
      </c>
      <c r="Q27" s="12">
        <f>(C27-O27)^2</f>
        <v>4.3118841858825938E-8</v>
      </c>
      <c r="R27">
        <f t="shared" si="10"/>
        <v>1.1522778057224174</v>
      </c>
      <c r="S27" s="12">
        <f t="shared" si="11"/>
        <v>7.1918797389792883E-3</v>
      </c>
    </row>
    <row r="28" spans="1:19" x14ac:dyDescent="0.3">
      <c r="A28">
        <f t="shared" si="5"/>
        <v>338.15</v>
      </c>
      <c r="B28">
        <v>65</v>
      </c>
      <c r="C28">
        <v>3.0098698003826101E-3</v>
      </c>
      <c r="D28" s="1">
        <f>E3</f>
        <v>21.132341047446026</v>
      </c>
      <c r="E28">
        <f t="shared" si="6"/>
        <v>2.9572674848440043E-3</v>
      </c>
      <c r="F28">
        <f>(1 - A28/$B$21)/A28</f>
        <v>7.7457622652249392E-4</v>
      </c>
      <c r="G28">
        <v>0.77455498499641096</v>
      </c>
      <c r="H28">
        <f>C28*G28</f>
        <v>2.3313096580765032E-3</v>
      </c>
      <c r="J28">
        <f t="shared" si="7"/>
        <v>-6.0613250843037632</v>
      </c>
      <c r="K28">
        <f>LN(H28)</f>
        <v>-6.0613250843037632</v>
      </c>
      <c r="L28">
        <f>LN($B$21/A28) - ($B$21 -A28)/A28</f>
        <v>-5.1165040791007199E-2</v>
      </c>
      <c r="M28">
        <f t="shared" si="8"/>
        <v>-6.0613250843037632</v>
      </c>
      <c r="N28">
        <f>$B$30*F28</f>
        <v>-5.0923180569116342</v>
      </c>
      <c r="O28">
        <f t="shared" si="9"/>
        <v>7.9319892035477381E-3</v>
      </c>
      <c r="P28">
        <f>(C28-$C$29)^2</f>
        <v>2.6763912447550747E-6</v>
      </c>
      <c r="Q28" s="12">
        <f>(C28-O28)^2</f>
        <v>2.4227259419014635E-5</v>
      </c>
      <c r="R28">
        <f t="shared" si="10"/>
        <v>2.5861215060287774</v>
      </c>
      <c r="S28" s="12">
        <f t="shared" si="11"/>
        <v>0.9389746191353302</v>
      </c>
    </row>
    <row r="29" spans="1:19" x14ac:dyDescent="0.3">
      <c r="B29" t="s">
        <v>62</v>
      </c>
      <c r="C29">
        <f>AVERAGE(C25:C27)</f>
        <v>1.3739018163575331E-3</v>
      </c>
      <c r="L29" t="s">
        <v>62</v>
      </c>
      <c r="M29">
        <f>AVERAGE(M25:M27)</f>
        <v>-7.6694673373488031</v>
      </c>
      <c r="O29" t="s">
        <v>61</v>
      </c>
      <c r="P29">
        <f>SUM(P25:P27)</f>
        <v>1.7146486968930128E-6</v>
      </c>
      <c r="Q29" s="12">
        <f>SUM(Q25:Q27)</f>
        <v>3.020615000688032E-7</v>
      </c>
      <c r="R29">
        <f>SUM(R25:R27)</f>
        <v>2.6677687255175617</v>
      </c>
      <c r="S29" s="12">
        <f>SUM(S25:S27)</f>
        <v>0.85481616192497922</v>
      </c>
    </row>
    <row r="30" spans="1:19" x14ac:dyDescent="0.3">
      <c r="A30" t="s">
        <v>53</v>
      </c>
      <c r="B30">
        <v>-6574.3278486274994</v>
      </c>
      <c r="F30" t="s">
        <v>55</v>
      </c>
    </row>
    <row r="31" spans="1:19" x14ac:dyDescent="0.3">
      <c r="A31" t="s">
        <v>54</v>
      </c>
      <c r="B31">
        <f>3.6635</f>
        <v>3.6635</v>
      </c>
      <c r="D31">
        <f>EXP(B31)</f>
        <v>38.997595875047047</v>
      </c>
      <c r="F31">
        <v>65.467470771517895</v>
      </c>
      <c r="M31" t="s">
        <v>64</v>
      </c>
      <c r="N31" t="s">
        <v>65</v>
      </c>
    </row>
    <row r="32" spans="1:19" x14ac:dyDescent="0.3">
      <c r="A32" t="s">
        <v>49</v>
      </c>
      <c r="B32">
        <f>B30* -8.314</f>
        <v>54658.961733489028</v>
      </c>
      <c r="F32">
        <v>103.838047588555</v>
      </c>
      <c r="M32" s="12">
        <f>1 - Q29/P29</f>
        <v>0.82383475949554774</v>
      </c>
      <c r="N32" s="12">
        <f>1 - S29/R29</f>
        <v>0.67957636141823341</v>
      </c>
    </row>
    <row r="33" spans="1:6" x14ac:dyDescent="0.3">
      <c r="A33" t="s">
        <v>50</v>
      </c>
      <c r="B33">
        <f>B32/B20</f>
        <v>433.42276105446507</v>
      </c>
      <c r="F33">
        <v>142.666314457342</v>
      </c>
    </row>
    <row r="34" spans="1:6" x14ac:dyDescent="0.3">
      <c r="F34">
        <v>191.77773257347201</v>
      </c>
    </row>
    <row r="35" spans="1:6" x14ac:dyDescent="0.3">
      <c r="A35" t="s">
        <v>67</v>
      </c>
      <c r="B35" cm="1">
        <f t="array" ref="B35:C35">LINEST(M25:M27, N25:N27, FALSE)</f>
        <v>0.94645968765159971</v>
      </c>
      <c r="C35">
        <v>0</v>
      </c>
    </row>
    <row r="37" spans="1:6" x14ac:dyDescent="0.3">
      <c r="A37" t="s">
        <v>68</v>
      </c>
      <c r="B37">
        <f>(B30-B35)^2</f>
        <v>43234232.229589283</v>
      </c>
    </row>
  </sheetData>
  <scenarios current="0" show="0">
    <scenario name="fit" locked="1" count="2" user="yrc2" comment="Created by yrc2 on 12/16/2020_x000a_Modified by yrc2 on 12/16/2020">
      <inputCells r="B32" val="15424.9642"/>
      <inputCells r="B22" val="10"/>
    </scenario>
  </scenarios>
  <mergeCells count="2">
    <mergeCell ref="P23:Q23"/>
    <mergeCell ref="R23:S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4E8DD-72ED-416A-AE90-4EA93FD2F723}">
  <dimension ref="A1:R31"/>
  <sheetViews>
    <sheetView topLeftCell="A4" workbookViewId="0">
      <selection activeCell="F20" sqref="F20"/>
    </sheetView>
  </sheetViews>
  <sheetFormatPr defaultRowHeight="15.6" x14ac:dyDescent="0.3"/>
  <cols>
    <col min="1" max="1" width="13" customWidth="1"/>
    <col min="2" max="2" width="11.296875" customWidth="1"/>
    <col min="3" max="3" width="13.296875" customWidth="1"/>
    <col min="4" max="4" width="16.796875" customWidth="1"/>
    <col min="5" max="5" width="13.8984375" customWidth="1"/>
    <col min="6" max="6" width="11.8984375" customWidth="1"/>
    <col min="7" max="7" width="13.3984375" customWidth="1"/>
    <col min="8" max="8" width="15.09765625" customWidth="1"/>
    <col min="10" max="10" width="13.59765625" customWidth="1"/>
    <col min="12" max="12" width="13.09765625" customWidth="1"/>
  </cols>
  <sheetData>
    <row r="1" spans="1:18" s="7" customFormat="1" ht="78" x14ac:dyDescent="0.3">
      <c r="A1" s="7" t="s">
        <v>27</v>
      </c>
      <c r="B1" s="9" t="s">
        <v>28</v>
      </c>
      <c r="C1" s="8" t="s">
        <v>25</v>
      </c>
      <c r="D1" s="8" t="s">
        <v>33</v>
      </c>
      <c r="F1" s="9" t="s">
        <v>29</v>
      </c>
      <c r="G1" s="8" t="s">
        <v>34</v>
      </c>
      <c r="H1" s="7" t="s">
        <v>30</v>
      </c>
      <c r="I1" s="8" t="s">
        <v>35</v>
      </c>
      <c r="J1" s="7" t="s">
        <v>31</v>
      </c>
      <c r="K1" s="8" t="s">
        <v>36</v>
      </c>
      <c r="L1" s="7" t="s">
        <v>32</v>
      </c>
      <c r="M1" s="8" t="s">
        <v>37</v>
      </c>
      <c r="R1" s="8" t="s">
        <v>26</v>
      </c>
    </row>
    <row r="2" spans="1:18" x14ac:dyDescent="0.3">
      <c r="A2" s="10">
        <f>Sheet1!B25</f>
        <v>0</v>
      </c>
      <c r="B2" s="1">
        <f>Sheet1!D25</f>
        <v>3.5228186985611694</v>
      </c>
      <c r="C2" s="11">
        <v>8.0990000000000002</v>
      </c>
      <c r="D2" s="1">
        <f>B2-C2</f>
        <v>-4.5761813014388313</v>
      </c>
      <c r="F2" s="1">
        <v>3.9919624916275951</v>
      </c>
      <c r="G2" s="1">
        <f>F2-C2</f>
        <v>-4.1070375083724056</v>
      </c>
      <c r="H2" s="1">
        <v>4.3536503683858001</v>
      </c>
      <c r="I2" s="1">
        <f>H2-C2</f>
        <v>-3.7453496316142001</v>
      </c>
      <c r="J2" s="1">
        <v>2.7090158961291104</v>
      </c>
      <c r="K2" s="1">
        <f>J2-C2</f>
        <v>-5.3899841038708898</v>
      </c>
      <c r="L2" s="1">
        <v>3.0366460381021718</v>
      </c>
      <c r="M2" s="1">
        <f>L2-C2</f>
        <v>-5.0623539618978288</v>
      </c>
      <c r="R2" s="11">
        <v>704.20899999999995</v>
      </c>
    </row>
    <row r="3" spans="1:18" x14ac:dyDescent="0.3">
      <c r="A3" s="10">
        <f>Sheet1!B26</f>
        <v>22</v>
      </c>
      <c r="B3" s="1">
        <f>Sheet1!D26</f>
        <v>8.9240721555179672</v>
      </c>
      <c r="C3">
        <v>10.872</v>
      </c>
      <c r="D3" s="1">
        <f t="shared" ref="D3:D5" si="0">B3-C3</f>
        <v>-1.9479278444820327</v>
      </c>
      <c r="F3" s="1">
        <v>10.023442732752846</v>
      </c>
      <c r="G3" s="1">
        <f t="shared" ref="G3:G5" si="1">F3-C3</f>
        <v>-0.84855726724715375</v>
      </c>
      <c r="H3" s="1">
        <v>9.658405894172807</v>
      </c>
      <c r="I3" s="1">
        <f t="shared" ref="I3:I5" si="2">H3-C3</f>
        <v>-1.2135941058271928</v>
      </c>
      <c r="J3" s="1">
        <v>8.1725518747724788</v>
      </c>
      <c r="K3" s="1">
        <f t="shared" ref="K3:K5" si="3">J3-C3</f>
        <v>-2.6994481252275211</v>
      </c>
      <c r="L3" s="1">
        <v>7.8418881203737412</v>
      </c>
      <c r="M3" s="1">
        <f t="shared" ref="M3:M5" si="4">L3-C3</f>
        <v>-3.0301118796262587</v>
      </c>
      <c r="R3">
        <v>698.75900000000001</v>
      </c>
    </row>
    <row r="4" spans="1:18" x14ac:dyDescent="0.3">
      <c r="A4" s="10">
        <f>Sheet1!B27</f>
        <v>42</v>
      </c>
      <c r="B4" s="1">
        <f>Sheet1!D27</f>
        <v>16.457105411143683</v>
      </c>
      <c r="C4">
        <v>13.128</v>
      </c>
      <c r="D4" s="1">
        <f t="shared" si="0"/>
        <v>3.3291054111436829</v>
      </c>
      <c r="F4" s="1">
        <v>17.438044206296048</v>
      </c>
      <c r="G4" s="1">
        <f t="shared" si="1"/>
        <v>4.3100442062960482</v>
      </c>
      <c r="H4" s="1">
        <v>18.054253181513729</v>
      </c>
      <c r="I4" s="1">
        <f t="shared" si="2"/>
        <v>4.9262531815137294</v>
      </c>
      <c r="J4" s="1">
        <v>14.88896978522024</v>
      </c>
      <c r="K4" s="1">
        <f t="shared" si="3"/>
        <v>1.7609697852202402</v>
      </c>
      <c r="L4" s="1">
        <v>15.447154471544716</v>
      </c>
      <c r="M4" s="1">
        <f t="shared" si="4"/>
        <v>2.3191544715447154</v>
      </c>
      <c r="R4">
        <v>692.80499999999995</v>
      </c>
    </row>
    <row r="5" spans="1:18" x14ac:dyDescent="0.3">
      <c r="A5" s="10">
        <f>Sheet1!B28</f>
        <v>65</v>
      </c>
      <c r="B5" s="1">
        <f>Sheet1!D28</f>
        <v>21.132341047446026</v>
      </c>
      <c r="C5">
        <v>15.177</v>
      </c>
      <c r="D5" s="1">
        <f t="shared" si="0"/>
        <v>5.9553410474460264</v>
      </c>
      <c r="F5" s="1">
        <v>22.31078365706631</v>
      </c>
      <c r="G5" s="1">
        <f t="shared" si="1"/>
        <v>7.13378365706631</v>
      </c>
      <c r="H5" s="1">
        <v>22.993971868720699</v>
      </c>
      <c r="I5" s="1">
        <f t="shared" si="2"/>
        <v>7.8169718687206995</v>
      </c>
      <c r="J5" s="1">
        <v>19.302875864579541</v>
      </c>
      <c r="K5" s="1">
        <f t="shared" si="3"/>
        <v>4.125875864579541</v>
      </c>
      <c r="L5" s="1">
        <v>19.921732799417548</v>
      </c>
      <c r="M5" s="1">
        <f t="shared" si="4"/>
        <v>4.7447327994175481</v>
      </c>
      <c r="R5">
        <v>684.726</v>
      </c>
    </row>
    <row r="6" spans="1:18" x14ac:dyDescent="0.3">
      <c r="A6" s="10"/>
    </row>
    <row r="7" spans="1:18" x14ac:dyDescent="0.3">
      <c r="A7" s="10"/>
    </row>
    <row r="8" spans="1:18" x14ac:dyDescent="0.3">
      <c r="A8" s="10"/>
    </row>
    <row r="9" spans="1:18" x14ac:dyDescent="0.3">
      <c r="A9" s="10"/>
    </row>
    <row r="10" spans="1:18" x14ac:dyDescent="0.3">
      <c r="A10" s="10"/>
    </row>
    <row r="11" spans="1:18" x14ac:dyDescent="0.3">
      <c r="A11" s="10"/>
    </row>
    <row r="12" spans="1:18" x14ac:dyDescent="0.3">
      <c r="A12" s="10"/>
    </row>
    <row r="13" spans="1:18" x14ac:dyDescent="0.3">
      <c r="A13" s="10"/>
    </row>
    <row r="14" spans="1:18" x14ac:dyDescent="0.3">
      <c r="A14" s="10"/>
    </row>
    <row r="15" spans="1:18" x14ac:dyDescent="0.3">
      <c r="A15" s="10"/>
    </row>
    <row r="16" spans="1:18" x14ac:dyDescent="0.3">
      <c r="A16" s="10"/>
    </row>
    <row r="17" spans="1:1" x14ac:dyDescent="0.3">
      <c r="A17" s="10"/>
    </row>
    <row r="18" spans="1:1" x14ac:dyDescent="0.3">
      <c r="A18" s="10"/>
    </row>
    <row r="19" spans="1:1" x14ac:dyDescent="0.3">
      <c r="A19" s="10"/>
    </row>
    <row r="20" spans="1:1" x14ac:dyDescent="0.3">
      <c r="A20" s="10"/>
    </row>
    <row r="21" spans="1:1" x14ac:dyDescent="0.3">
      <c r="A21" s="10"/>
    </row>
    <row r="22" spans="1:1" x14ac:dyDescent="0.3">
      <c r="A22" s="10"/>
    </row>
    <row r="23" spans="1:1" x14ac:dyDescent="0.3">
      <c r="A23" s="10"/>
    </row>
    <row r="24" spans="1:1" x14ac:dyDescent="0.3">
      <c r="A24" s="10"/>
    </row>
    <row r="25" spans="1:1" x14ac:dyDescent="0.3">
      <c r="A25" s="10"/>
    </row>
    <row r="26" spans="1:1" x14ac:dyDescent="0.3">
      <c r="A26" s="10"/>
    </row>
    <row r="27" spans="1:1" x14ac:dyDescent="0.3">
      <c r="A27" s="10"/>
    </row>
    <row r="28" spans="1:1" x14ac:dyDescent="0.3">
      <c r="A28" s="10"/>
    </row>
    <row r="29" spans="1:1" x14ac:dyDescent="0.3">
      <c r="A29" s="10"/>
    </row>
    <row r="30" spans="1:1" x14ac:dyDescent="0.3">
      <c r="A30" s="10"/>
    </row>
    <row r="31" spans="1:1" x14ac:dyDescent="0.3">
      <c r="A31" s="10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UIUC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Mingfeng</dc:creator>
  <cp:lastModifiedBy>Yoel Cortes</cp:lastModifiedBy>
  <dcterms:created xsi:type="dcterms:W3CDTF">2020-11-24T19:51:29Z</dcterms:created>
  <dcterms:modified xsi:type="dcterms:W3CDTF">2020-12-22T20:14:34Z</dcterms:modified>
</cp:coreProperties>
</file>