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c2\Code\biosteam\Bioindustrial-Park\biorefineries\cane\data\"/>
    </mc:Choice>
  </mc:AlternateContent>
  <xr:revisionPtr revIDLastSave="0" documentId="13_ncr:1_{7CE3F710-5C90-4E93-817F-3C142B53F413}" xr6:coauthVersionLast="47" xr6:coauthVersionMax="47" xr10:uidLastSave="{00000000-0000-0000-0000-000000000000}"/>
  <bookViews>
    <workbookView xWindow="-108" yWindow="-108" windowWidth="23256" windowHeight="14016" xr2:uid="{A4D5F0FC-4525-4FC3-8D16-C4CDE02F4321}"/>
  </bookViews>
  <sheets>
    <sheet name="Summarized" sheetId="1" r:id="rId1"/>
    <sheet name="Raw data" sheetId="3" r:id="rId2"/>
    <sheet name="Raw data from gra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3" i="1"/>
  <c r="H15" i="1"/>
  <c r="D15" i="1"/>
  <c r="B15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I14" i="1"/>
  <c r="I15" i="1"/>
  <c r="I7" i="1"/>
  <c r="G14" i="1"/>
  <c r="G7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F15" i="1"/>
  <c r="L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8" i="1"/>
  <c r="L9" i="1"/>
  <c r="L10" i="1"/>
  <c r="L11" i="1"/>
  <c r="L12" i="1"/>
  <c r="L13" i="1"/>
  <c r="L14" i="1"/>
  <c r="L7" i="1"/>
  <c r="L4" i="1"/>
  <c r="L5" i="1"/>
  <c r="L6" i="1"/>
  <c r="L3" i="1"/>
  <c r="C4" i="1"/>
  <c r="C5" i="1"/>
  <c r="C6" i="1"/>
  <c r="C7" i="1"/>
  <c r="C8" i="1"/>
  <c r="C9" i="1"/>
  <c r="C10" i="1"/>
  <c r="C11" i="1"/>
  <c r="C12" i="1"/>
  <c r="C13" i="1"/>
  <c r="C14" i="1"/>
  <c r="C3" i="1"/>
  <c r="F25" i="3"/>
  <c r="C26" i="3"/>
  <c r="F27" i="3"/>
  <c r="G13" i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7" i="1"/>
  <c r="F7" i="1" s="1"/>
  <c r="E7" i="1"/>
  <c r="E8" i="1"/>
  <c r="E9" i="1"/>
  <c r="E10" i="1"/>
  <c r="E11" i="1"/>
  <c r="E12" i="1"/>
  <c r="E13" i="1"/>
  <c r="E14" i="1"/>
  <c r="D8" i="1"/>
  <c r="B8" i="1" s="1"/>
  <c r="D9" i="1"/>
  <c r="B9" i="1" s="1"/>
  <c r="D10" i="1"/>
  <c r="B10" i="1" s="1"/>
  <c r="D11" i="1"/>
  <c r="B11" i="1" s="1"/>
  <c r="D12" i="1"/>
  <c r="D13" i="1"/>
  <c r="D14" i="1"/>
  <c r="D7" i="1"/>
  <c r="A8" i="1"/>
  <c r="A9" i="1"/>
  <c r="A10" i="1"/>
  <c r="A11" i="1"/>
  <c r="A12" i="1"/>
  <c r="A13" i="1"/>
  <c r="A14" i="1"/>
  <c r="A7" i="1"/>
  <c r="D3" i="1"/>
  <c r="E3" i="1" s="1"/>
  <c r="H4" i="1"/>
  <c r="F4" i="1" s="1"/>
  <c r="H5" i="1"/>
  <c r="F5" i="1" s="1"/>
  <c r="H6" i="1"/>
  <c r="F6" i="1" s="1"/>
  <c r="H3" i="1"/>
  <c r="F3" i="1" s="1"/>
  <c r="I3" i="1"/>
  <c r="G3" i="1" s="1"/>
  <c r="I6" i="1"/>
  <c r="G6" i="1" s="1"/>
  <c r="I5" i="1"/>
  <c r="G5" i="1" s="1"/>
  <c r="I4" i="1"/>
  <c r="G4" i="1" s="1"/>
  <c r="B12" i="1" l="1"/>
  <c r="B7" i="1"/>
  <c r="B14" i="1"/>
  <c r="B13" i="1"/>
  <c r="D6" i="1"/>
  <c r="E6" i="1" s="1"/>
  <c r="D5" i="1"/>
  <c r="E5" i="1" s="1"/>
  <c r="D4" i="1"/>
  <c r="E4" i="1" s="1"/>
  <c r="B3" i="1"/>
  <c r="B4" i="1" l="1"/>
  <c r="B5" i="1"/>
  <c r="B6" i="1"/>
</calcChain>
</file>

<file path=xl/sharedStrings.xml><?xml version="1.0" encoding="utf-8"?>
<sst xmlns="http://schemas.openxmlformats.org/spreadsheetml/2006/main" count="110" uniqueCount="67">
  <si>
    <t>Line</t>
  </si>
  <si>
    <t>Juice volume (ml/g)</t>
  </si>
  <si>
    <t>29D</t>
  </si>
  <si>
    <t>17T</t>
  </si>
  <si>
    <t>WT</t>
  </si>
  <si>
    <t>Soluble solids (degBrix)</t>
  </si>
  <si>
    <t>Leaves</t>
  </si>
  <si>
    <t>Stem</t>
  </si>
  <si>
    <t>Dry biomass yield</t>
  </si>
  <si>
    <t>A</t>
  </si>
  <si>
    <t>B</t>
  </si>
  <si>
    <t>Bar0, 0.4940119760479038, 0, U</t>
  </si>
  <si>
    <t>Bar0, 0.3293413173652688, 0, L</t>
  </si>
  <si>
    <t>Bar1, 2.455089820359281, 1, U</t>
  </si>
  <si>
    <t>Bar1, 1.991017964071856, 1, L</t>
  </si>
  <si>
    <t>Bar2, 1.0329341317365268, 2, U</t>
  </si>
  <si>
    <t>Bar2, 0.8383233532934122, 2, L</t>
  </si>
  <si>
    <t>Bar0, 0.3592814371257483, 0, U</t>
  </si>
  <si>
    <t>Bar1, 0.6287425149700593, 1, U</t>
  </si>
  <si>
    <t>Bar1, 0.5538922155688617, 1, L</t>
  </si>
  <si>
    <t>Bar2, 0.43413173652694587, 2, U</t>
  </si>
  <si>
    <t>Bar2, 0.4191616766467061, 2, L</t>
  </si>
  <si>
    <t>C</t>
  </si>
  <si>
    <t>Bar0, 0.8194444444444453, 0, U</t>
  </si>
  <si>
    <t>Bar0, 0.6666666666666663, 0, L</t>
  </si>
  <si>
    <t>Bar1, 4.708333333333334, 1, U</t>
  </si>
  <si>
    <t>Bar1, 4.138888888888889, 1, L</t>
  </si>
  <si>
    <t>Bar2, 1.7638888888888893, 2, U</t>
  </si>
  <si>
    <t>Bar2, 1.527777777777778, 2, L</t>
  </si>
  <si>
    <t>D</t>
  </si>
  <si>
    <t>Bar0, 0.3472222222222222, 0, U</t>
  </si>
  <si>
    <t>Bar0, 0.2222222222222234, 0, L</t>
  </si>
  <si>
    <t>Bar1, 0.6527777777777782, 1, U</t>
  </si>
  <si>
    <t>Bar1, 0.5555555555555556, 1, L</t>
  </si>
  <si>
    <t>Bar2, 0.7500000000000008, 2, U</t>
  </si>
  <si>
    <t>Bar2, 0.5277777777777773, 2, L</t>
  </si>
  <si>
    <t>Mean</t>
  </si>
  <si>
    <t>STD</t>
  </si>
  <si>
    <t>Mean + STD</t>
  </si>
  <si>
    <t>Mean - STD</t>
  </si>
  <si>
    <t>Data from https://doi.org/10.1007/s11032-022-01333-5</t>
  </si>
  <si>
    <t>The TAG data was extracted from graphs using WebPlotDigitizer</t>
  </si>
  <si>
    <t>Stem TAG content (dw %)</t>
  </si>
  <si>
    <t>Leaf TAG content (dw %)</t>
  </si>
  <si>
    <t>TAG g / Lipid g</t>
  </si>
  <si>
    <t>Plant cane</t>
  </si>
  <si>
    <t>Ratoon cane</t>
  </si>
  <si>
    <t>Field data</t>
  </si>
  <si>
    <t>Greenhouse data</t>
  </si>
  <si>
    <t>19B</t>
  </si>
  <si>
    <t>Dry biomass yield (% of WT)</t>
  </si>
  <si>
    <t>https://downloads.usda.library.cornell.edu/usda-esmis/files/k3569432s/sn00c1252/g158cj98r/cropan22.pdf</t>
  </si>
  <si>
    <t>https://doi.org/10.1155/2014/597275</t>
  </si>
  <si>
    <t>Sugarcane (avg US)</t>
  </si>
  <si>
    <t>Energy cane (Louisiana)</t>
  </si>
  <si>
    <t>Reference</t>
  </si>
  <si>
    <t>? This seems extreemely high compared to other data</t>
  </si>
  <si>
    <t>https://www.aimspress.com/fileOther/PDF/energy/20150103.pdf</t>
  </si>
  <si>
    <t>Juice volume (ml/100 g)</t>
  </si>
  <si>
    <t>Water (wt)</t>
  </si>
  <si>
    <t>Sugar (dw)</t>
  </si>
  <si>
    <t>Stem oil (dw)</t>
  </si>
  <si>
    <t>Fiber (dw)</t>
  </si>
  <si>
    <t>EC</t>
  </si>
  <si>
    <t>Dry biomass yield (WT)</t>
  </si>
  <si>
    <t>Yield (dry MT/hc)</t>
  </si>
  <si>
    <t>Biomass yield (dry MT/ha)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</si>
</sst>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1"/>
    <xf numFmtId="10" fontId="0" fillId="0" borderId="0" xfId="2" applyNumberFormat="1" applyFont="1"/>
    <xf numFmtId="2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mspress.com/fileOther/PDF/energy/20150103.pdf" TargetMode="External"/><Relationship Id="rId1" Type="http://schemas.openxmlformats.org/officeDocument/2006/relationships/hyperlink" Target="https://doi.org/10.1155/2014/597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991C-2AB0-423D-B833-4415103D81DC}">
  <dimension ref="A1:M15"/>
  <sheetViews>
    <sheetView tabSelected="1" workbookViewId="0">
      <selection activeCell="J1" sqref="J1:K1"/>
    </sheetView>
  </sheetViews>
  <sheetFormatPr defaultRowHeight="14.4" x14ac:dyDescent="0.3"/>
  <cols>
    <col min="1" max="1" width="12.88671875" customWidth="1"/>
    <col min="2" max="2" width="16.77734375" bestFit="1" customWidth="1"/>
    <col min="3" max="3" width="19.6640625" bestFit="1" customWidth="1"/>
    <col min="4" max="4" width="19.6640625" customWidth="1"/>
    <col min="5" max="5" width="19.6640625" bestFit="1" customWidth="1"/>
    <col min="6" max="6" width="19.6640625" customWidth="1"/>
    <col min="7" max="7" width="13.88671875" bestFit="1" customWidth="1"/>
    <col min="8" max="8" width="13.88671875" customWidth="1"/>
    <col min="9" max="9" width="14.44140625" bestFit="1" customWidth="1"/>
    <col min="10" max="10" width="14.44140625" customWidth="1"/>
    <col min="11" max="11" width="12.77734375" customWidth="1"/>
    <col min="12" max="12" width="13" customWidth="1"/>
  </cols>
  <sheetData>
    <row r="1" spans="1:13" x14ac:dyDescent="0.3">
      <c r="A1" s="8" t="s">
        <v>0</v>
      </c>
      <c r="B1" s="8" t="s">
        <v>62</v>
      </c>
      <c r="C1" s="8"/>
      <c r="D1" s="8" t="s">
        <v>61</v>
      </c>
      <c r="E1" s="8"/>
      <c r="F1" s="8" t="s">
        <v>60</v>
      </c>
      <c r="G1" s="8"/>
      <c r="H1" s="8" t="s">
        <v>59</v>
      </c>
      <c r="I1" s="8"/>
      <c r="J1" s="8" t="s">
        <v>66</v>
      </c>
      <c r="K1" s="8"/>
      <c r="L1" s="8" t="s">
        <v>64</v>
      </c>
      <c r="M1" s="8"/>
    </row>
    <row r="2" spans="1:13" x14ac:dyDescent="0.3">
      <c r="A2" s="8"/>
      <c r="B2" t="s">
        <v>36</v>
      </c>
      <c r="C2" t="s">
        <v>37</v>
      </c>
      <c r="D2" t="s">
        <v>36</v>
      </c>
      <c r="E2" t="s">
        <v>37</v>
      </c>
      <c r="F2" t="s">
        <v>36</v>
      </c>
      <c r="G2" t="s">
        <v>37</v>
      </c>
      <c r="H2" t="s">
        <v>36</v>
      </c>
      <c r="I2" t="s">
        <v>37</v>
      </c>
      <c r="J2" t="s">
        <v>36</v>
      </c>
      <c r="K2" t="s">
        <v>37</v>
      </c>
      <c r="L2" t="s">
        <v>36</v>
      </c>
      <c r="M2" t="s">
        <v>37</v>
      </c>
    </row>
    <row r="3" spans="1:13" x14ac:dyDescent="0.3">
      <c r="A3" t="s">
        <v>2</v>
      </c>
      <c r="B3" s="6">
        <f>1 - D3 - F3 - 0.07</f>
        <v>0.48698388391867048</v>
      </c>
      <c r="C3" s="6">
        <f>0</f>
        <v>0</v>
      </c>
      <c r="D3" s="6">
        <f>AVERAGE('Raw data'!G3, 'Raw data'!G7, 'Raw data'!H3, 'Raw data'!H7) / 100 / 'Raw data'!$C$26</f>
        <v>3.9314599966733151E-3</v>
      </c>
      <c r="E3" s="6">
        <f>AVERAGE('Raw data'!G3, 'Raw data'!G7)  / 100 / 'Raw data'!$C$26- D3</f>
        <v>4.8418787425149722E-4</v>
      </c>
      <c r="F3" s="6">
        <f>AVERAGE('Raw data'!E3, 'Raw data'!E7) * H3 / (1 - H3) / 100</f>
        <v>0.43908465608465613</v>
      </c>
      <c r="G3" s="6">
        <f>AVERAGE('Raw data'!F3, 'Raw data'!F7) * I3 / (1 - I3) / 100</f>
        <v>3.9848484848484842E-5</v>
      </c>
      <c r="H3" s="6">
        <f>AVERAGE('Raw data'!C3, 'Raw data'!C7) + 0.55 * (1 -  AVERAGE('Raw data'!C3, 'Raw data'!C7))</f>
        <v>0.66925000000000001</v>
      </c>
      <c r="I3" s="6">
        <f>AVERAGE('Raw data'!D3, 'Raw data'!D7)</f>
        <v>0.01</v>
      </c>
      <c r="J3" s="7">
        <f>L3*'Raw data'!$F$25 / 100</f>
        <v>0.19446506024096391</v>
      </c>
      <c r="K3" s="7">
        <f>M3*'Raw data'!$F$25</f>
        <v>2.1783614457831328</v>
      </c>
      <c r="L3" s="6">
        <f>AVERAGE('Raw data'!K3, 'Raw data'!K7) / AVERAGE('Raw data'!$K$6, 'Raw data'!$K$10)</f>
        <v>0.75903614457831337</v>
      </c>
      <c r="M3" s="6">
        <f>AVERAGE('Raw data'!L3, 'Raw data'!L7) / AVERAGE('Raw data'!$K$6, 'Raw data'!$K$10)</f>
        <v>8.5025817555938049E-2</v>
      </c>
    </row>
    <row r="4" spans="1:13" x14ac:dyDescent="0.3">
      <c r="A4" s="1">
        <v>233</v>
      </c>
      <c r="B4" s="6">
        <f t="shared" ref="B4:B6" si="0">1 - D4 - F4 - 0.07</f>
        <v>0.47211464455348567</v>
      </c>
      <c r="C4" s="6">
        <f>0</f>
        <v>0</v>
      </c>
      <c r="D4" s="6">
        <f>AVERAGE('Raw data'!G4, 'Raw data'!G8, 'Raw data'!H4, 'Raw data'!H8) / 100 / 'Raw data'!$C$26</f>
        <v>7.4717751996007907E-3</v>
      </c>
      <c r="E4" s="6">
        <f>AVERAGE('Raw data'!G4, 'Raw data'!G8)  / 100 / 'Raw data'!$C$26- D4</f>
        <v>5.3772663007319033E-4</v>
      </c>
      <c r="F4" s="6">
        <f>AVERAGE('Raw data'!E4, 'Raw data'!E8) * H4 / (1 - H4) / 100</f>
        <v>0.45041358024691364</v>
      </c>
      <c r="G4" s="6">
        <f>AVERAGE('Raw data'!F4, 'Raw data'!F8) * I4 / (1 - I4) / 100</f>
        <v>8.7755102040816324E-5</v>
      </c>
      <c r="H4" s="6">
        <f>AVERAGE('Raw data'!C4, 'Raw data'!C8) + 0.55 * (1 -  AVERAGE('Raw data'!C4, 'Raw data'!C8))</f>
        <v>0.69625000000000004</v>
      </c>
      <c r="I4" s="6">
        <f>AVERAGE('Raw data'!D4, 'Raw data'!D8)</f>
        <v>0.02</v>
      </c>
      <c r="J4" s="7">
        <f>L4*'Raw data'!$F$25</f>
        <v>6.7467469879518083</v>
      </c>
      <c r="K4" s="7">
        <f>M4*'Raw data'!$F$25</f>
        <v>0.50269879518072291</v>
      </c>
      <c r="L4" s="6">
        <f>AVERAGE('Raw data'!K4, 'Raw data'!K8) / AVERAGE('Raw data'!$K$6, 'Raw data'!$K$10)</f>
        <v>0.26333907056798628</v>
      </c>
      <c r="M4" s="6">
        <f>AVERAGE('Raw data'!L4, 'Raw data'!L8) / AVERAGE('Raw data'!$K$6, 'Raw data'!$K$10)</f>
        <v>1.9621342512908778E-2</v>
      </c>
    </row>
    <row r="5" spans="1:13" x14ac:dyDescent="0.3">
      <c r="A5" t="s">
        <v>3</v>
      </c>
      <c r="B5" s="6">
        <f t="shared" si="0"/>
        <v>0.44309871558585973</v>
      </c>
      <c r="C5" s="6">
        <f>0</f>
        <v>0</v>
      </c>
      <c r="D5" s="6">
        <f>AVERAGE('Raw data'!G5, 'Raw data'!G9, 'Raw data'!H5, 'Raw data'!H9) / 100 / 'Raw data'!$C$26</f>
        <v>6.6595974717232132E-3</v>
      </c>
      <c r="E5" s="6">
        <f>AVERAGE('Raw data'!G5, 'Raw data'!G9)  / 100 / 'Raw data'!$C$26- D5</f>
        <v>7.4122588157019345E-4</v>
      </c>
      <c r="F5" s="6">
        <f>AVERAGE('Raw data'!E5, 'Raw data'!E9) * H5 / (1 - H5) / 100</f>
        <v>0.48024168694241709</v>
      </c>
      <c r="G5" s="6">
        <f>AVERAGE('Raw data'!F5, 'Raw data'!F9) * I5 / (1 - I5) / 100</f>
        <v>5.6060606060606054E-5</v>
      </c>
      <c r="H5" s="6">
        <f>AVERAGE('Raw data'!C5, 'Raw data'!C9) + 0.55 * (1 -  AVERAGE('Raw data'!C5, 'Raw data'!C9))</f>
        <v>0.69175000000000009</v>
      </c>
      <c r="I5" s="6">
        <f>AVERAGE('Raw data'!D5, 'Raw data'!D9)</f>
        <v>0.01</v>
      </c>
      <c r="J5" s="7">
        <f>L5*'Raw data'!$F$25</f>
        <v>17.814939759036147</v>
      </c>
      <c r="K5" s="7">
        <f>M5*'Raw data'!$F$25</f>
        <v>2.0901686746987953</v>
      </c>
      <c r="L5" s="6">
        <f>AVERAGE('Raw data'!K5, 'Raw data'!K9) / AVERAGE('Raw data'!$K$6, 'Raw data'!$K$10)</f>
        <v>0.69535283993115327</v>
      </c>
      <c r="M5" s="6">
        <f>AVERAGE('Raw data'!L5, 'Raw data'!L9) / AVERAGE('Raw data'!$K$6, 'Raw data'!$K$10)</f>
        <v>8.1583476764199664E-2</v>
      </c>
    </row>
    <row r="6" spans="1:13" x14ac:dyDescent="0.3">
      <c r="A6" t="s">
        <v>4</v>
      </c>
      <c r="B6" s="6">
        <f t="shared" si="0"/>
        <v>0.42394548872180432</v>
      </c>
      <c r="C6" s="6">
        <f>0</f>
        <v>0</v>
      </c>
      <c r="D6" s="6">
        <f>AVERAGE('Raw data'!G6, 'Raw data'!G10, 'Raw data'!H6, 'Raw data'!H10) / 100 / 'Raw data'!$C$26</f>
        <v>2.5000000000000001E-4</v>
      </c>
      <c r="E6" s="6">
        <f>AVERAGE('Raw data'!G6, 'Raw data'!G10)  / 100 / 'Raw data'!$C$26- D6</f>
        <v>1.2499999999999995E-4</v>
      </c>
      <c r="F6" s="6">
        <f>AVERAGE('Raw data'!E6, 'Raw data'!E10) * H6 / (1 - H6) / 100</f>
        <v>0.5058045112781957</v>
      </c>
      <c r="G6" s="6">
        <f>AVERAGE('Raw data'!F6, 'Raw data'!F10) * I6 / (1 - I6) / 100</f>
        <v>4.4897959183673468E-5</v>
      </c>
      <c r="H6" s="6">
        <f>AVERAGE('Raw data'!C6, 'Raw data'!C10) + 0.55 * (1 -  AVERAGE('Raw data'!C6, 'Raw data'!C10))</f>
        <v>0.7007500000000001</v>
      </c>
      <c r="I6" s="6">
        <f>AVERAGE('Raw data'!D6, 'Raw data'!D10)</f>
        <v>0.02</v>
      </c>
      <c r="J6" s="7">
        <f>L6*'Raw data'!$F$25</f>
        <v>25.62</v>
      </c>
      <c r="K6" s="7">
        <f>M6*'Raw data'!$F$25</f>
        <v>3.8628433734939764</v>
      </c>
      <c r="L6" s="6">
        <f>AVERAGE('Raw data'!K6, 'Raw data'!K10) / AVERAGE('Raw data'!$K$6, 'Raw data'!$K$10)</f>
        <v>1</v>
      </c>
      <c r="M6" s="6">
        <f>AVERAGE('Raw data'!L6, 'Raw data'!L10) / AVERAGE('Raw data'!$K$6, 'Raw data'!$K$10)</f>
        <v>0.15077452667814115</v>
      </c>
    </row>
    <row r="7" spans="1:13" x14ac:dyDescent="0.3">
      <c r="A7" s="1">
        <f>'Raw data'!B15</f>
        <v>109</v>
      </c>
      <c r="B7" s="6">
        <f t="shared" ref="B7:B14" si="1">1 - D7 - F7 - 0.07</f>
        <v>0.37583219178082167</v>
      </c>
      <c r="C7" s="6">
        <f>0</f>
        <v>0</v>
      </c>
      <c r="D7" s="6">
        <f>'Raw data'!G15 / 100 / 'Raw data'!$C$26</f>
        <v>2.2499999999999998E-3</v>
      </c>
      <c r="E7" s="6">
        <f>'Raw data'!H15 / 100 / 'Raw data'!$C$26</f>
        <v>6.2500000000000001E-4</v>
      </c>
      <c r="F7" s="6">
        <f>'Raw data'!E15 * H7 / (1 - H7) / 100</f>
        <v>0.55191780821917835</v>
      </c>
      <c r="G7" s="6">
        <f>'Raw data'!F15 * I7 / (1 - I7) / 100</f>
        <v>9.9174406604747166E-4</v>
      </c>
      <c r="H7" s="6">
        <f>('Raw data'!C15+0.55*(100-'Raw data'!C15)) / 100</f>
        <v>0.6715000000000001</v>
      </c>
      <c r="I7" s="6">
        <f>'Raw data'!D15 / 100</f>
        <v>3.1E-2</v>
      </c>
      <c r="J7" s="7">
        <f>L7*'Raw data'!$F$25</f>
        <v>16.653000000000002</v>
      </c>
      <c r="K7" s="7">
        <f>M7*'Raw data'!$F$25</f>
        <v>2.3058000000000001</v>
      </c>
      <c r="L7" s="6">
        <f>'Raw data'!K15 / 100</f>
        <v>0.65</v>
      </c>
      <c r="M7" s="6">
        <f>'Raw data'!L15 / 100</f>
        <v>0.09</v>
      </c>
    </row>
    <row r="8" spans="1:13" x14ac:dyDescent="0.3">
      <c r="A8" s="1" t="str">
        <f>'Raw data'!B16</f>
        <v>19B</v>
      </c>
      <c r="B8" s="6">
        <f t="shared" si="1"/>
        <v>0.72337947513105738</v>
      </c>
      <c r="C8" s="6">
        <f>0</f>
        <v>0</v>
      </c>
      <c r="D8" s="6">
        <f>'Raw data'!G16 / 100 / 'Raw data'!$C$26</f>
        <v>2.6249999999999997E-3</v>
      </c>
      <c r="E8" s="6">
        <f>'Raw data'!H16 / 100 / 'Raw data'!$C$26</f>
        <v>3.7499999999999995E-4</v>
      </c>
      <c r="F8" s="6">
        <f>'Raw data'!E16 * H8 / (1 - H8) / 100</f>
        <v>0.20399552486894265</v>
      </c>
      <c r="G8" s="6">
        <f>'Raw data'!F16 * I8 / (1 - I8) / 100</f>
        <v>1.0101010101010102E-4</v>
      </c>
      <c r="H8" s="6">
        <f>('Raw data'!C16+0.55*(100-'Raw data'!C16)) / 100</f>
        <v>0.6089500000000001</v>
      </c>
      <c r="I8" s="6">
        <f>'Raw data'!D16 / 100</f>
        <v>0.01</v>
      </c>
      <c r="J8" s="7">
        <f>L8*'Raw data'!$F$25</f>
        <v>19.727400000000003</v>
      </c>
      <c r="K8" s="7">
        <f>M8*'Raw data'!$F$25</f>
        <v>0.25620000000000004</v>
      </c>
      <c r="L8" s="6">
        <f>'Raw data'!K16 / 100</f>
        <v>0.77</v>
      </c>
      <c r="M8" s="6">
        <f>'Raw data'!L16 / 100</f>
        <v>0.01</v>
      </c>
    </row>
    <row r="9" spans="1:13" x14ac:dyDescent="0.3">
      <c r="A9" s="1">
        <f>'Raw data'!B17</f>
        <v>1566</v>
      </c>
      <c r="B9" s="6">
        <f t="shared" si="1"/>
        <v>0.38815561569688734</v>
      </c>
      <c r="C9" s="6">
        <f>0</f>
        <v>0</v>
      </c>
      <c r="D9" s="6">
        <f>'Raw data'!G17 / 100 / 'Raw data'!$C$26</f>
        <v>1.7999999999999999E-2</v>
      </c>
      <c r="E9" s="6">
        <f>'Raw data'!H17 / 100 / 'Raw data'!$C$26</f>
        <v>1.6249999999999999E-3</v>
      </c>
      <c r="F9" s="6">
        <f>'Raw data'!E17 * H9 / (1 - H9) / 100</f>
        <v>0.52384438430311264</v>
      </c>
      <c r="G9" s="6">
        <f>'Raw data'!F17 * I9 / (1 - I9) / 100</f>
        <v>5.414534288638689E-4</v>
      </c>
      <c r="H9" s="6">
        <f>('Raw data'!C17+0.55*(100-'Raw data'!C17)) / 100</f>
        <v>0.6674500000000001</v>
      </c>
      <c r="I9" s="6">
        <f>'Raw data'!D17 / 100</f>
        <v>2.3E-2</v>
      </c>
      <c r="J9" s="7">
        <f>L9*'Raw data'!$F$25</f>
        <v>17.677799999999998</v>
      </c>
      <c r="K9" s="7">
        <f>M9*'Raw data'!$F$25</f>
        <v>0.51240000000000008</v>
      </c>
      <c r="L9" s="6">
        <f>'Raw data'!K17 / 100</f>
        <v>0.69</v>
      </c>
      <c r="M9" s="6">
        <f>'Raw data'!L17 / 100</f>
        <v>0.02</v>
      </c>
    </row>
    <row r="10" spans="1:13" x14ac:dyDescent="0.3">
      <c r="A10" s="1">
        <f>'Raw data'!B18</f>
        <v>327</v>
      </c>
      <c r="B10" s="6">
        <f t="shared" si="1"/>
        <v>0.7325638635210554</v>
      </c>
      <c r="C10" s="6">
        <f>0</f>
        <v>0</v>
      </c>
      <c r="D10" s="6">
        <f>'Raw data'!G18 / 100 / 'Raw data'!$C$26</f>
        <v>6.875E-3</v>
      </c>
      <c r="E10" s="6">
        <f>'Raw data'!H18 / 100 / 'Raw data'!$C$26</f>
        <v>1.1249999999999999E-3</v>
      </c>
      <c r="F10" s="6">
        <f>'Raw data'!E18 * H10 / (1 - H10) / 100</f>
        <v>0.19056113647894471</v>
      </c>
      <c r="G10" s="6">
        <f>'Raw data'!F18 * I10 / (1 - I10) / 100</f>
        <v>1.45748987854251E-4</v>
      </c>
      <c r="H10" s="6">
        <f>('Raw data'!C18+0.55*(100-'Raw data'!C18)) / 100</f>
        <v>0.60580000000000001</v>
      </c>
      <c r="I10" s="6">
        <f>'Raw data'!D18 / 100</f>
        <v>1.2E-2</v>
      </c>
      <c r="J10" s="7">
        <f>L10*'Raw data'!$F$25</f>
        <v>17.165400000000002</v>
      </c>
      <c r="K10" s="7">
        <f>M10*'Raw data'!$F$25</f>
        <v>2.0496000000000003</v>
      </c>
      <c r="L10" s="6">
        <f>'Raw data'!K18 / 100</f>
        <v>0.67</v>
      </c>
      <c r="M10" s="6">
        <f>'Raw data'!L18 / 100</f>
        <v>0.08</v>
      </c>
    </row>
    <row r="11" spans="1:13" x14ac:dyDescent="0.3">
      <c r="A11" s="1">
        <f>'Raw data'!B19</f>
        <v>316</v>
      </c>
      <c r="B11" s="6">
        <f t="shared" si="1"/>
        <v>0.65336248838444178</v>
      </c>
      <c r="C11" s="6">
        <f>0</f>
        <v>0</v>
      </c>
      <c r="D11" s="6">
        <f>'Raw data'!G19 / 100 / 'Raw data'!$C$26</f>
        <v>6.875E-3</v>
      </c>
      <c r="E11" s="6">
        <f>'Raw data'!H19 / 100 / 'Raw data'!$C$26</f>
        <v>3.7499999999999995E-4</v>
      </c>
      <c r="F11" s="6">
        <f>'Raw data'!E19 * H11 / (1 - H11) / 100</f>
        <v>0.26976251161555831</v>
      </c>
      <c r="G11" s="6">
        <f>'Raw data'!F19 * I11 / (1 - I11) / 100</f>
        <v>3.6799184505606529E-4</v>
      </c>
      <c r="H11" s="6">
        <f>('Raw data'!C19+0.55*(100-'Raw data'!C19)) / 100</f>
        <v>0.62335000000000007</v>
      </c>
      <c r="I11" s="6">
        <f>'Raw data'!D19 / 100</f>
        <v>1.9E-2</v>
      </c>
      <c r="J11" s="7">
        <f>L11*'Raw data'!$F$25</f>
        <v>19.215</v>
      </c>
      <c r="K11" s="7">
        <f>M11*'Raw data'!$F$25</f>
        <v>1.5371999999999999</v>
      </c>
      <c r="L11" s="6">
        <f>'Raw data'!K19 / 100</f>
        <v>0.75</v>
      </c>
      <c r="M11" s="6">
        <f>'Raw data'!L19 / 100</f>
        <v>0.06</v>
      </c>
    </row>
    <row r="12" spans="1:13" x14ac:dyDescent="0.3">
      <c r="A12" s="1">
        <f>'Raw data'!B20</f>
        <v>1569</v>
      </c>
      <c r="B12" s="6">
        <f t="shared" si="1"/>
        <v>0.68873476911136988</v>
      </c>
      <c r="C12" s="6">
        <f>0</f>
        <v>0</v>
      </c>
      <c r="D12" s="6">
        <f>'Raw data'!G20 / 100 / 'Raw data'!$C$26</f>
        <v>1.7499999999999998E-2</v>
      </c>
      <c r="E12" s="6">
        <f>'Raw data'!H20 / 100 / 'Raw data'!$C$26</f>
        <v>5.0000000000000001E-4</v>
      </c>
      <c r="F12" s="6">
        <f>'Raw data'!E20 * H12 / (1 - H12) / 100</f>
        <v>0.22376523088863023</v>
      </c>
      <c r="G12" s="6">
        <f>'Raw data'!F20 * I12 / (1 - I12) / 100</f>
        <v>1.0101010101010102E-4</v>
      </c>
      <c r="H12" s="6">
        <f>('Raw data'!C20+0.55*(100-'Raw data'!C20)) / 100</f>
        <v>0.61345000000000005</v>
      </c>
      <c r="I12" s="6">
        <f>'Raw data'!D20 / 100</f>
        <v>0.01</v>
      </c>
      <c r="J12" s="7">
        <f>L12*'Raw data'!$F$25</f>
        <v>13.834800000000001</v>
      </c>
      <c r="K12" s="7">
        <f>M12*'Raw data'!$F$25</f>
        <v>0.51240000000000008</v>
      </c>
      <c r="L12" s="6">
        <f>'Raw data'!K20 / 100</f>
        <v>0.54</v>
      </c>
      <c r="M12" s="6">
        <f>'Raw data'!L20 / 100</f>
        <v>0.02</v>
      </c>
    </row>
    <row r="13" spans="1:13" x14ac:dyDescent="0.3">
      <c r="A13" s="1">
        <f>'Raw data'!B21</f>
        <v>1565</v>
      </c>
      <c r="B13" s="6">
        <f t="shared" si="1"/>
        <v>0.47346640658864297</v>
      </c>
      <c r="C13" s="6">
        <f>0</f>
        <v>0</v>
      </c>
      <c r="D13" s="6">
        <f>'Raw data'!G21 / 100 / 'Raw data'!$C$26</f>
        <v>0.02</v>
      </c>
      <c r="E13" s="6">
        <f>'Raw data'!H21 / 100 / 'Raw data'!$C$26</f>
        <v>1.6249999999999999E-3</v>
      </c>
      <c r="F13" s="6">
        <f>'Raw data'!E21 * H13 / (1 - H13) / 100</f>
        <v>0.43653359341135706</v>
      </c>
      <c r="G13" s="6">
        <f>'Raw data'!F21 * I13 / (1 - I13) / 100</f>
        <v>4.0816326530612246E-4</v>
      </c>
      <c r="H13" s="6">
        <f>('Raw data'!C21+0.55*(100-'Raw data'!C21)) / 100</f>
        <v>0.65395000000000014</v>
      </c>
      <c r="I13" s="6">
        <f>'Raw data'!D21 / 100</f>
        <v>0.02</v>
      </c>
      <c r="J13" s="7">
        <f>L13*'Raw data'!$F$25</f>
        <v>11.785200000000001</v>
      </c>
      <c r="K13" s="7">
        <f>M13*'Raw data'!$F$25</f>
        <v>0.51240000000000008</v>
      </c>
      <c r="L13" s="6">
        <f>'Raw data'!K21 / 100</f>
        <v>0.46</v>
      </c>
      <c r="M13" s="6">
        <f>'Raw data'!L21 / 100</f>
        <v>0.02</v>
      </c>
    </row>
    <row r="14" spans="1:13" x14ac:dyDescent="0.3">
      <c r="A14" s="1">
        <f>'Raw data'!B22</f>
        <v>1580</v>
      </c>
      <c r="B14" s="6">
        <f t="shared" si="1"/>
        <v>0.6105664150443646</v>
      </c>
      <c r="C14" s="6">
        <f>0</f>
        <v>0</v>
      </c>
      <c r="D14" s="6">
        <f>'Raw data'!G22 / 100 / 'Raw data'!$C$26</f>
        <v>5.3999999999999999E-2</v>
      </c>
      <c r="E14" s="6">
        <f>'Raw data'!H22 / 100 / 'Raw data'!$C$26</f>
        <v>2.1250000000000002E-3</v>
      </c>
      <c r="F14" s="6">
        <f>'Raw data'!E22 * H14 / (1 - H14) / 100</f>
        <v>0.26543358495563524</v>
      </c>
      <c r="G14" s="6">
        <f>'Raw data'!F22 * I14 / (1 - I14) / 100</f>
        <v>1.0101010101010102E-4</v>
      </c>
      <c r="H14" s="6">
        <f>('Raw data'!C22+0.55*(100-'Raw data'!C22)) / 100</f>
        <v>0.62245000000000017</v>
      </c>
      <c r="I14" s="6">
        <f>'Raw data'!D22 / 100</f>
        <v>0.01</v>
      </c>
      <c r="J14" s="7">
        <f>L14*'Raw data'!$F$25</f>
        <v>4.8677999999999999</v>
      </c>
      <c r="K14" s="7">
        <f>M14*'Raw data'!$F$25</f>
        <v>0.25620000000000004</v>
      </c>
      <c r="L14" s="6">
        <f>'Raw data'!K22 / 100</f>
        <v>0.19</v>
      </c>
      <c r="M14" s="6">
        <f>'Raw data'!L22 / 100</f>
        <v>0.01</v>
      </c>
    </row>
    <row r="15" spans="1:13" x14ac:dyDescent="0.3">
      <c r="A15" t="s">
        <v>63</v>
      </c>
      <c r="B15" s="6">
        <f>1-D15-F15-0.07</f>
        <v>0.70225000000000004</v>
      </c>
      <c r="C15" s="6">
        <v>1E-3</v>
      </c>
      <c r="D15" s="6">
        <f>D6</f>
        <v>2.5000000000000001E-4</v>
      </c>
      <c r="E15" s="6">
        <v>9.9999999999999995E-7</v>
      </c>
      <c r="F15" s="6">
        <f>0.091 / 0.4</f>
        <v>0.22749999999999998</v>
      </c>
      <c r="G15" s="6">
        <v>1E-3</v>
      </c>
      <c r="H15" s="6">
        <f>0.6</f>
        <v>0.6</v>
      </c>
      <c r="I15" s="6">
        <f>'Raw data'!D23 / 100</f>
        <v>0</v>
      </c>
      <c r="J15" s="7">
        <f>L15*'Raw data'!$F$25</f>
        <v>45.56</v>
      </c>
      <c r="K15" s="7">
        <f>M15*'Raw data'!$F$25</f>
        <v>0</v>
      </c>
      <c r="L15" s="6">
        <f>'Raw data'!F27/'Raw data'!F25</f>
        <v>1.7782982045277127</v>
      </c>
      <c r="M15" s="6">
        <f>'Raw data'!L23 / 100</f>
        <v>0</v>
      </c>
    </row>
  </sheetData>
  <mergeCells count="7">
    <mergeCell ref="L1:M1"/>
    <mergeCell ref="H1:I1"/>
    <mergeCell ref="J1:K1"/>
    <mergeCell ref="A1:A2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4B78-4659-4EF1-B71B-6CB09BD44206}">
  <dimension ref="A1:L27"/>
  <sheetViews>
    <sheetView workbookViewId="0">
      <selection activeCell="G25" sqref="G25"/>
    </sheetView>
  </sheetViews>
  <sheetFormatPr defaultRowHeight="14.4" x14ac:dyDescent="0.3"/>
  <cols>
    <col min="1" max="1" width="15" bestFit="1" customWidth="1"/>
    <col min="2" max="2" width="6.5546875" bestFit="1" customWidth="1"/>
    <col min="3" max="3" width="12.44140625" bestFit="1" customWidth="1"/>
    <col min="4" max="4" width="9.5546875" customWidth="1"/>
    <col min="5" max="5" width="20.21875" bestFit="1" customWidth="1"/>
    <col min="6" max="6" width="11.77734375" bestFit="1" customWidth="1"/>
    <col min="7" max="7" width="14.5546875" customWidth="1"/>
    <col min="8" max="8" width="12" customWidth="1"/>
    <col min="9" max="9" width="12" bestFit="1" customWidth="1"/>
    <col min="10" max="10" width="13.77734375" customWidth="1"/>
    <col min="11" max="11" width="13.44140625" customWidth="1"/>
    <col min="12" max="12" width="13.33203125" customWidth="1"/>
  </cols>
  <sheetData>
    <row r="1" spans="1:12" x14ac:dyDescent="0.3">
      <c r="A1" s="9" t="s">
        <v>47</v>
      </c>
      <c r="B1" s="8" t="s">
        <v>0</v>
      </c>
      <c r="C1" s="8" t="s">
        <v>1</v>
      </c>
      <c r="D1" s="8"/>
      <c r="E1" s="8" t="s">
        <v>5</v>
      </c>
      <c r="F1" s="8"/>
      <c r="G1" s="8" t="s">
        <v>42</v>
      </c>
      <c r="H1" s="8"/>
      <c r="I1" s="8" t="s">
        <v>43</v>
      </c>
      <c r="J1" s="8"/>
      <c r="K1" s="8" t="s">
        <v>8</v>
      </c>
      <c r="L1" s="8"/>
    </row>
    <row r="2" spans="1:12" x14ac:dyDescent="0.3">
      <c r="A2" s="9"/>
      <c r="B2" s="8"/>
      <c r="C2" t="s">
        <v>36</v>
      </c>
      <c r="D2" t="s">
        <v>37</v>
      </c>
      <c r="E2" t="s">
        <v>36</v>
      </c>
      <c r="F2" t="s">
        <v>37</v>
      </c>
      <c r="G2" t="s">
        <v>38</v>
      </c>
      <c r="H2" t="s">
        <v>39</v>
      </c>
      <c r="I2" t="s">
        <v>38</v>
      </c>
      <c r="J2" t="s">
        <v>39</v>
      </c>
      <c r="K2" t="s">
        <v>36</v>
      </c>
      <c r="L2" t="s">
        <v>37</v>
      </c>
    </row>
    <row r="3" spans="1:12" x14ac:dyDescent="0.3">
      <c r="A3" s="9" t="s">
        <v>45</v>
      </c>
      <c r="B3" t="s">
        <v>2</v>
      </c>
      <c r="C3">
        <v>0.25</v>
      </c>
      <c r="D3">
        <v>0.01</v>
      </c>
      <c r="E3">
        <v>22</v>
      </c>
      <c r="F3">
        <v>5.8999999999999997E-2</v>
      </c>
      <c r="G3">
        <v>0.359281437125748</v>
      </c>
      <c r="H3">
        <v>0.329341317365268</v>
      </c>
      <c r="I3">
        <v>0.49401197604790298</v>
      </c>
      <c r="J3">
        <v>0.329341317365268</v>
      </c>
      <c r="K3">
        <v>29.8</v>
      </c>
      <c r="L3">
        <v>0.82</v>
      </c>
    </row>
    <row r="4" spans="1:12" x14ac:dyDescent="0.3">
      <c r="A4" s="9"/>
      <c r="B4" s="1">
        <v>233</v>
      </c>
      <c r="C4">
        <v>0.39</v>
      </c>
      <c r="D4">
        <v>0.02</v>
      </c>
      <c r="E4">
        <v>19.600000000000001</v>
      </c>
      <c r="F4">
        <v>0.26</v>
      </c>
      <c r="G4">
        <v>0.62874251497005895</v>
      </c>
      <c r="H4">
        <v>0.55389221556886103</v>
      </c>
      <c r="I4">
        <v>2.4550898203592801</v>
      </c>
      <c r="J4">
        <v>1.9910179640718499</v>
      </c>
      <c r="K4">
        <v>13.3</v>
      </c>
      <c r="L4">
        <v>0.43</v>
      </c>
    </row>
    <row r="5" spans="1:12" x14ac:dyDescent="0.3">
      <c r="A5" s="9"/>
      <c r="B5" t="s">
        <v>3</v>
      </c>
      <c r="C5">
        <v>0.35</v>
      </c>
      <c r="D5">
        <v>0.02</v>
      </c>
      <c r="E5">
        <v>20.9</v>
      </c>
      <c r="F5">
        <v>0.7</v>
      </c>
      <c r="G5">
        <v>0.43413173652694498</v>
      </c>
      <c r="H5">
        <v>0.41916167664670601</v>
      </c>
      <c r="I5">
        <v>1.0329341317365199</v>
      </c>
      <c r="J5">
        <v>0.83832335329341201</v>
      </c>
      <c r="K5">
        <v>28.4</v>
      </c>
      <c r="L5">
        <v>3.05</v>
      </c>
    </row>
    <row r="6" spans="1:12" x14ac:dyDescent="0.3">
      <c r="A6" s="9"/>
      <c r="B6" t="s">
        <v>4</v>
      </c>
      <c r="C6">
        <v>0.33</v>
      </c>
      <c r="D6">
        <v>0.03</v>
      </c>
      <c r="E6">
        <v>20.8</v>
      </c>
      <c r="F6">
        <v>0.18</v>
      </c>
      <c r="G6">
        <v>0.06</v>
      </c>
      <c r="H6">
        <v>0.02</v>
      </c>
      <c r="I6">
        <v>0</v>
      </c>
      <c r="J6">
        <v>0</v>
      </c>
      <c r="K6">
        <v>33.799999999999997</v>
      </c>
      <c r="L6">
        <v>2.88</v>
      </c>
    </row>
    <row r="7" spans="1:12" x14ac:dyDescent="0.3">
      <c r="A7" s="9" t="s">
        <v>46</v>
      </c>
      <c r="B7" t="s">
        <v>2</v>
      </c>
      <c r="C7">
        <v>0.28000000000000003</v>
      </c>
      <c r="D7">
        <v>0.01</v>
      </c>
      <c r="E7">
        <v>21.4</v>
      </c>
      <c r="F7">
        <v>0.73</v>
      </c>
      <c r="G7">
        <v>0.34722222222222199</v>
      </c>
      <c r="H7">
        <v>0.22222222222222299</v>
      </c>
      <c r="I7">
        <v>0.81944444444444497</v>
      </c>
      <c r="J7">
        <v>0.66666666666666596</v>
      </c>
      <c r="K7">
        <v>14.3</v>
      </c>
      <c r="L7">
        <v>4.12</v>
      </c>
    </row>
    <row r="8" spans="1:12" x14ac:dyDescent="0.3">
      <c r="A8" s="9"/>
      <c r="B8" s="1">
        <v>233</v>
      </c>
      <c r="C8">
        <v>0.26</v>
      </c>
      <c r="D8">
        <v>0.02</v>
      </c>
      <c r="E8">
        <v>19.7</v>
      </c>
      <c r="F8">
        <v>0.6</v>
      </c>
      <c r="G8">
        <v>0.65277777777777801</v>
      </c>
      <c r="H8">
        <v>0.55555555555555503</v>
      </c>
      <c r="I8">
        <v>4.7083333333333304</v>
      </c>
      <c r="J8">
        <v>4.1388888888888804</v>
      </c>
      <c r="K8">
        <v>2</v>
      </c>
      <c r="L8">
        <v>0.71</v>
      </c>
    </row>
    <row r="9" spans="1:12" x14ac:dyDescent="0.3">
      <c r="A9" s="9"/>
      <c r="B9" t="s">
        <v>3</v>
      </c>
      <c r="C9">
        <v>0.28000000000000003</v>
      </c>
      <c r="D9">
        <v>0</v>
      </c>
      <c r="E9">
        <v>21.9</v>
      </c>
      <c r="F9">
        <v>0.41</v>
      </c>
      <c r="G9">
        <v>0.75</v>
      </c>
      <c r="H9">
        <v>0.52777777777777701</v>
      </c>
      <c r="I9">
        <v>1.76388888888888</v>
      </c>
      <c r="J9">
        <v>1.5277777777777699</v>
      </c>
      <c r="K9">
        <v>12</v>
      </c>
      <c r="L9">
        <v>1.69</v>
      </c>
    </row>
    <row r="10" spans="1:12" x14ac:dyDescent="0.3">
      <c r="A10" s="9"/>
      <c r="B10" t="s">
        <v>4</v>
      </c>
      <c r="C10">
        <v>0.34</v>
      </c>
      <c r="D10">
        <v>0.01</v>
      </c>
      <c r="E10">
        <v>22.4</v>
      </c>
      <c r="F10">
        <v>0.26</v>
      </c>
      <c r="G10">
        <v>0</v>
      </c>
      <c r="H10">
        <v>0</v>
      </c>
      <c r="I10">
        <v>0</v>
      </c>
      <c r="J10">
        <v>0</v>
      </c>
      <c r="K10">
        <v>24.3</v>
      </c>
      <c r="L10">
        <v>5.88</v>
      </c>
    </row>
    <row r="12" spans="1:12" x14ac:dyDescent="0.3">
      <c r="A12" s="9" t="s">
        <v>48</v>
      </c>
      <c r="B12" s="8" t="s">
        <v>0</v>
      </c>
      <c r="C12" s="8" t="s">
        <v>58</v>
      </c>
      <c r="D12" s="8"/>
      <c r="E12" s="8" t="s">
        <v>5</v>
      </c>
      <c r="F12" s="8"/>
      <c r="G12" s="8" t="s">
        <v>42</v>
      </c>
      <c r="H12" s="8"/>
      <c r="I12" s="8" t="s">
        <v>43</v>
      </c>
      <c r="J12" s="8"/>
      <c r="K12" s="8" t="s">
        <v>50</v>
      </c>
      <c r="L12" s="8"/>
    </row>
    <row r="13" spans="1:12" x14ac:dyDescent="0.3">
      <c r="A13" s="9"/>
      <c r="B13" s="8"/>
      <c r="C13" t="s">
        <v>36</v>
      </c>
      <c r="D13" t="s">
        <v>37</v>
      </c>
      <c r="E13" t="s">
        <v>36</v>
      </c>
      <c r="F13" t="s">
        <v>37</v>
      </c>
      <c r="G13" t="s">
        <v>36</v>
      </c>
      <c r="H13" t="s">
        <v>37</v>
      </c>
      <c r="I13" t="s">
        <v>36</v>
      </c>
      <c r="J13" t="s">
        <v>37</v>
      </c>
      <c r="K13" t="s">
        <v>36</v>
      </c>
      <c r="L13" t="s">
        <v>37</v>
      </c>
    </row>
    <row r="14" spans="1:12" x14ac:dyDescent="0.3">
      <c r="A14" s="9" t="s">
        <v>45</v>
      </c>
      <c r="B14" t="s">
        <v>4</v>
      </c>
      <c r="C14">
        <v>21.2</v>
      </c>
      <c r="D14">
        <v>1.3</v>
      </c>
      <c r="E14">
        <v>21.2</v>
      </c>
      <c r="F14">
        <v>1.3</v>
      </c>
      <c r="G14">
        <v>0.06</v>
      </c>
      <c r="H14">
        <v>0.02</v>
      </c>
      <c r="I14" s="3"/>
      <c r="J14" s="3"/>
      <c r="K14">
        <v>100</v>
      </c>
      <c r="L14">
        <v>3</v>
      </c>
    </row>
    <row r="15" spans="1:12" x14ac:dyDescent="0.3">
      <c r="A15" s="9"/>
      <c r="B15" s="1">
        <v>109</v>
      </c>
      <c r="C15">
        <v>27</v>
      </c>
      <c r="D15">
        <v>3.1</v>
      </c>
      <c r="E15">
        <v>27</v>
      </c>
      <c r="F15">
        <v>3.1</v>
      </c>
      <c r="G15">
        <v>0.18</v>
      </c>
      <c r="H15">
        <v>0.05</v>
      </c>
      <c r="I15" s="3"/>
      <c r="J15" s="3"/>
      <c r="K15">
        <v>65</v>
      </c>
      <c r="L15">
        <v>9</v>
      </c>
    </row>
    <row r="16" spans="1:12" x14ac:dyDescent="0.3">
      <c r="A16" s="9"/>
      <c r="B16" t="s">
        <v>49</v>
      </c>
      <c r="C16">
        <v>13.1</v>
      </c>
      <c r="D16">
        <v>1</v>
      </c>
      <c r="E16">
        <v>13.1</v>
      </c>
      <c r="F16">
        <v>1</v>
      </c>
      <c r="G16">
        <v>0.21</v>
      </c>
      <c r="H16">
        <v>0.03</v>
      </c>
      <c r="I16" s="3"/>
      <c r="J16" s="3"/>
      <c r="K16">
        <v>77</v>
      </c>
      <c r="L16">
        <v>1</v>
      </c>
    </row>
    <row r="17" spans="1:12" x14ac:dyDescent="0.3">
      <c r="A17" s="9"/>
      <c r="B17" s="1">
        <v>1566</v>
      </c>
      <c r="C17">
        <v>26.1</v>
      </c>
      <c r="D17">
        <v>2.2999999999999998</v>
      </c>
      <c r="E17">
        <v>26.1</v>
      </c>
      <c r="F17">
        <v>2.2999999999999998</v>
      </c>
      <c r="G17">
        <v>1.44</v>
      </c>
      <c r="H17">
        <v>0.13</v>
      </c>
      <c r="I17" s="3"/>
      <c r="J17" s="3"/>
      <c r="K17">
        <v>69</v>
      </c>
      <c r="L17">
        <v>2</v>
      </c>
    </row>
    <row r="18" spans="1:12" x14ac:dyDescent="0.3">
      <c r="A18" s="9"/>
      <c r="B18" s="1">
        <v>327</v>
      </c>
      <c r="C18">
        <v>12.4</v>
      </c>
      <c r="D18">
        <v>1.2</v>
      </c>
      <c r="E18">
        <v>12.4</v>
      </c>
      <c r="F18">
        <v>1.2</v>
      </c>
      <c r="G18">
        <v>0.55000000000000004</v>
      </c>
      <c r="H18">
        <v>0.09</v>
      </c>
      <c r="I18" s="3"/>
      <c r="J18" s="3"/>
      <c r="K18">
        <v>67</v>
      </c>
      <c r="L18">
        <v>8</v>
      </c>
    </row>
    <row r="19" spans="1:12" x14ac:dyDescent="0.3">
      <c r="A19" s="9"/>
      <c r="B19" s="1">
        <v>316</v>
      </c>
      <c r="C19">
        <v>16.3</v>
      </c>
      <c r="D19">
        <v>1.9</v>
      </c>
      <c r="E19">
        <v>16.3</v>
      </c>
      <c r="F19">
        <v>1.9</v>
      </c>
      <c r="G19">
        <v>0.55000000000000004</v>
      </c>
      <c r="H19">
        <v>0.03</v>
      </c>
      <c r="I19" s="3"/>
      <c r="J19" s="3"/>
      <c r="K19">
        <v>75</v>
      </c>
      <c r="L19">
        <v>6</v>
      </c>
    </row>
    <row r="20" spans="1:12" x14ac:dyDescent="0.3">
      <c r="A20" s="9"/>
      <c r="B20" s="1">
        <v>1569</v>
      </c>
      <c r="C20">
        <v>14.1</v>
      </c>
      <c r="D20">
        <v>1</v>
      </c>
      <c r="E20">
        <v>14.1</v>
      </c>
      <c r="F20">
        <v>1</v>
      </c>
      <c r="G20">
        <v>1.4</v>
      </c>
      <c r="H20">
        <v>0.04</v>
      </c>
      <c r="I20" s="3"/>
      <c r="J20" s="3"/>
      <c r="K20">
        <v>54</v>
      </c>
      <c r="L20">
        <v>2</v>
      </c>
    </row>
    <row r="21" spans="1:12" x14ac:dyDescent="0.3">
      <c r="A21" s="9"/>
      <c r="B21" s="1">
        <v>1565</v>
      </c>
      <c r="C21">
        <v>23.1</v>
      </c>
      <c r="D21">
        <v>2</v>
      </c>
      <c r="E21">
        <v>23.1</v>
      </c>
      <c r="F21">
        <v>2</v>
      </c>
      <c r="G21">
        <v>1.6</v>
      </c>
      <c r="H21">
        <v>0.13</v>
      </c>
      <c r="I21" s="3"/>
      <c r="J21" s="3"/>
      <c r="K21">
        <v>46</v>
      </c>
      <c r="L21">
        <v>2</v>
      </c>
    </row>
    <row r="22" spans="1:12" x14ac:dyDescent="0.3">
      <c r="A22" s="9"/>
      <c r="B22" s="4">
        <v>1580</v>
      </c>
      <c r="C22">
        <v>16.100000000000001</v>
      </c>
      <c r="D22">
        <v>1</v>
      </c>
      <c r="E22">
        <v>16.100000000000001</v>
      </c>
      <c r="F22">
        <v>1</v>
      </c>
      <c r="G22">
        <v>4.32</v>
      </c>
      <c r="H22">
        <v>0.17</v>
      </c>
      <c r="I22" s="3"/>
      <c r="J22" s="3"/>
      <c r="K22">
        <v>19</v>
      </c>
      <c r="L22">
        <v>1</v>
      </c>
    </row>
    <row r="23" spans="1:12" x14ac:dyDescent="0.3">
      <c r="B23" s="4"/>
    </row>
    <row r="24" spans="1:12" x14ac:dyDescent="0.3">
      <c r="B24" s="2"/>
      <c r="F24" t="s">
        <v>65</v>
      </c>
      <c r="G24" t="s">
        <v>55</v>
      </c>
    </row>
    <row r="25" spans="1:12" x14ac:dyDescent="0.3">
      <c r="A25" t="s">
        <v>7</v>
      </c>
      <c r="B25" t="s">
        <v>6</v>
      </c>
      <c r="C25" t="s">
        <v>44</v>
      </c>
      <c r="E25" t="s">
        <v>53</v>
      </c>
      <c r="F25">
        <f>85.4 * 0.3</f>
        <v>25.62</v>
      </c>
      <c r="G25" t="s">
        <v>51</v>
      </c>
    </row>
    <row r="26" spans="1:12" x14ac:dyDescent="0.3">
      <c r="A26">
        <v>0.75</v>
      </c>
      <c r="B26">
        <v>0.25</v>
      </c>
      <c r="C26">
        <f>0.8</f>
        <v>0.8</v>
      </c>
      <c r="E26" t="s">
        <v>54</v>
      </c>
      <c r="F26">
        <v>76.56</v>
      </c>
      <c r="G26" s="5" t="s">
        <v>52</v>
      </c>
      <c r="J26" t="s">
        <v>56</v>
      </c>
    </row>
    <row r="27" spans="1:12" x14ac:dyDescent="0.3">
      <c r="E27" t="s">
        <v>54</v>
      </c>
      <c r="F27">
        <f>113.9 * 0.4</f>
        <v>45.56</v>
      </c>
      <c r="G27" s="5" t="s">
        <v>57</v>
      </c>
    </row>
  </sheetData>
  <mergeCells count="17">
    <mergeCell ref="G12:H12"/>
    <mergeCell ref="I12:J12"/>
    <mergeCell ref="K12:L12"/>
    <mergeCell ref="K1:L1"/>
    <mergeCell ref="A3:A6"/>
    <mergeCell ref="A14:A22"/>
    <mergeCell ref="C1:D1"/>
    <mergeCell ref="E1:F1"/>
    <mergeCell ref="I1:J1"/>
    <mergeCell ref="G1:H1"/>
    <mergeCell ref="A7:A10"/>
    <mergeCell ref="B1:B2"/>
    <mergeCell ref="A1:A2"/>
    <mergeCell ref="A12:A13"/>
    <mergeCell ref="B12:B13"/>
    <mergeCell ref="C12:D12"/>
    <mergeCell ref="E12:F12"/>
  </mergeCells>
  <hyperlinks>
    <hyperlink ref="G26" r:id="rId1" xr:uid="{72262BB2-DE02-4A6B-8EDA-4BD7DB0E8320}"/>
    <hyperlink ref="G27" r:id="rId2" xr:uid="{9725FDF0-A8F8-4859-874E-C289276D14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396B-06F7-4C6D-A8D6-FB4E25B117BE}">
  <dimension ref="A1:A30"/>
  <sheetViews>
    <sheetView workbookViewId="0">
      <selection sqref="A1:A30"/>
    </sheetView>
  </sheetViews>
  <sheetFormatPr defaultRowHeight="14.4" x14ac:dyDescent="0.3"/>
  <sheetData>
    <row r="1" spans="1:1" x14ac:dyDescent="0.3">
      <c r="A1" s="2" t="s">
        <v>40</v>
      </c>
    </row>
    <row r="2" spans="1:1" x14ac:dyDescent="0.3">
      <c r="A2" s="2" t="s">
        <v>41</v>
      </c>
    </row>
    <row r="3" spans="1:1" x14ac:dyDescent="0.3">
      <c r="A3" t="s">
        <v>9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10</v>
      </c>
    </row>
    <row r="11" spans="1:1" x14ac:dyDescent="0.3">
      <c r="A11" t="s">
        <v>17</v>
      </c>
    </row>
    <row r="12" spans="1:1" x14ac:dyDescent="0.3">
      <c r="A12" t="s">
        <v>12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Summarized</vt:lpstr>
      <vt:lpstr>Raw data</vt:lpstr>
      <vt:lpstr>Raw data from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yrc2</dc:creator>
  <cp:lastModifiedBy>yrc2</cp:lastModifiedBy>
  <dcterms:created xsi:type="dcterms:W3CDTF">2022-12-04T00:17:58Z</dcterms:created>
  <dcterms:modified xsi:type="dcterms:W3CDTF">2023-01-17T04:59:54Z</dcterms:modified>
</cp:coreProperties>
</file>