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v_sierrajimenez_wsu_edu/Documents/WSU/PhD/Thesis/Paper 1 Methodology/Reviewed Version/"/>
    </mc:Choice>
  </mc:AlternateContent>
  <xr:revisionPtr revIDLastSave="724" documentId="13_ncr:1_{06919FED-0BB1-C44E-8619-00AA43605CA1}" xr6:coauthVersionLast="47" xr6:coauthVersionMax="47" xr10:uidLastSave="{9009ACCE-969F-FB4A-B79F-489DACBAB3BD}"/>
  <bookViews>
    <workbookView xWindow="0" yWindow="500" windowWidth="28800" windowHeight="15880" activeTab="2" xr2:uid="{EB29A718-2CE6-174F-8972-CCE909784FB0}"/>
  </bookViews>
  <sheets>
    <sheet name="PAH_Standard" sheetId="17" r:id="rId1"/>
    <sheet name="BPCA_Experimental" sheetId="2" r:id="rId2"/>
    <sheet name="BPCA_Model_400" sheetId="27" r:id="rId3"/>
    <sheet name="BPCA_Model_500" sheetId="30" r:id="rId4"/>
    <sheet name="BPCA_Model_600" sheetId="32" r:id="rId5"/>
    <sheet name="BPCA_Model_700" sheetId="34" r:id="rId6"/>
  </sheets>
  <definedNames>
    <definedName name="_xlnm._FilterDatabase" localSheetId="2" hidden="1">BPCA_Model_400!$A$5:$V$5</definedName>
    <definedName name="solver_adj" localSheetId="2" hidden="1">BPCA_Model_400!#REF!</definedName>
    <definedName name="solver_adj" localSheetId="3" hidden="1">BPCA_Model_500!#REF!</definedName>
    <definedName name="solver_adj" localSheetId="4" hidden="1">BPCA_Model_600!#REF!</definedName>
    <definedName name="solver_adj" localSheetId="5" hidden="1">BPCA_Model_700!#REF!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BPCA_Model_400!$H$43</definedName>
    <definedName name="solver_lhs1" localSheetId="3" hidden="1">BPCA_Model_500!$H$43</definedName>
    <definedName name="solver_lhs1" localSheetId="4" hidden="1">BPCA_Model_600!$H$43</definedName>
    <definedName name="solver_lhs1" localSheetId="5" hidden="1">BPCA_Model_700!$H$43</definedName>
    <definedName name="solver_lhs2" localSheetId="2" hidden="1">BPCA_Model_400!$J$43</definedName>
    <definedName name="solver_lhs2" localSheetId="3" hidden="1">BPCA_Model_500!$J$43</definedName>
    <definedName name="solver_lhs2" localSheetId="4" hidden="1">BPCA_Model_600!$J$43</definedName>
    <definedName name="solver_lhs2" localSheetId="5" hidden="1">BPCA_Model_700!$J$43</definedName>
    <definedName name="solver_lhs3" localSheetId="2" hidden="1">BPCA_Model_400!$K$43</definedName>
    <definedName name="solver_lhs3" localSheetId="3" hidden="1">BPCA_Model_500!$K$43</definedName>
    <definedName name="solver_lhs3" localSheetId="4" hidden="1">BPCA_Model_600!$K$43</definedName>
    <definedName name="solver_lhs3" localSheetId="5" hidden="1">BPCA_Model_700!$K$43</definedName>
    <definedName name="solver_lhs4" localSheetId="2" hidden="1">BPCA_Model_400!#REF!</definedName>
    <definedName name="solver_lhs4" localSheetId="3" hidden="1">BPCA_Model_500!#REF!</definedName>
    <definedName name="solver_lhs4" localSheetId="4" hidden="1">BPCA_Model_600!#REF!</definedName>
    <definedName name="solver_lhs4" localSheetId="5" hidden="1">BPCA_Model_700!#REF!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opt" localSheetId="2" hidden="1">BPCA_Model_400!$L$43</definedName>
    <definedName name="solver_opt" localSheetId="3" hidden="1">BPCA_Model_500!$L$43</definedName>
    <definedName name="solver_opt" localSheetId="4" hidden="1">BPCA_Model_600!$L$43</definedName>
    <definedName name="solver_opt" localSheetId="5" hidden="1">BPCA_Model_700!$L$43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hs1" localSheetId="2" hidden="1">0.02</definedName>
    <definedName name="solver_rhs1" localSheetId="3" hidden="1">0.02</definedName>
    <definedName name="solver_rhs1" localSheetId="4" hidden="1">0.02</definedName>
    <definedName name="solver_rhs1" localSheetId="5" hidden="1">0.02</definedName>
    <definedName name="solver_rhs2" localSheetId="2" hidden="1">0.169</definedName>
    <definedName name="solver_rhs2" localSheetId="3" hidden="1">0.169</definedName>
    <definedName name="solver_rhs2" localSheetId="4" hidden="1">0.169</definedName>
    <definedName name="solver_rhs2" localSheetId="5" hidden="1">0.169</definedName>
    <definedName name="solver_rhs3" localSheetId="2" hidden="1">0.336</definedName>
    <definedName name="solver_rhs3" localSheetId="3" hidden="1">0.336</definedName>
    <definedName name="solver_rhs3" localSheetId="4" hidden="1">0.336</definedName>
    <definedName name="solver_rhs3" localSheetId="5" hidden="1">0.336</definedName>
    <definedName name="solver_rhs4" localSheetId="2" hidden="1">1</definedName>
    <definedName name="solver_rhs4" localSheetId="3" hidden="1">1</definedName>
    <definedName name="solver_rhs4" localSheetId="4" hidden="1">1</definedName>
    <definedName name="solver_rhs4" localSheetId="5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val" localSheetId="2" hidden="1">0.476</definedName>
    <definedName name="solver_val" localSheetId="3" hidden="1">0.476</definedName>
    <definedName name="solver_val" localSheetId="4" hidden="1">0.476</definedName>
    <definedName name="solver_val" localSheetId="5" hidden="1">0.476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G36" i="2"/>
  <c r="G37" i="2"/>
  <c r="G38" i="2"/>
  <c r="G39" i="2"/>
  <c r="G40" i="2"/>
  <c r="G41" i="2"/>
  <c r="G42" i="2"/>
  <c r="G43" i="2"/>
  <c r="G44" i="2"/>
  <c r="G34" i="2"/>
  <c r="G46" i="2" l="1"/>
  <c r="G48" i="2" s="1"/>
  <c r="T7" i="34" l="1"/>
  <c r="G55" i="34"/>
  <c r="G49" i="34"/>
  <c r="G55" i="32"/>
  <c r="G49" i="32"/>
  <c r="L45" i="34" l="1"/>
  <c r="L44" i="34"/>
  <c r="K45" i="34"/>
  <c r="K44" i="34"/>
  <c r="J45" i="34"/>
  <c r="J44" i="34"/>
  <c r="I45" i="34"/>
  <c r="I44" i="34"/>
  <c r="H45" i="34"/>
  <c r="G45" i="34"/>
  <c r="H44" i="34"/>
  <c r="G44" i="34"/>
  <c r="G50" i="34"/>
  <c r="M40" i="34"/>
  <c r="Q39" i="34"/>
  <c r="O39" i="34"/>
  <c r="N39" i="34"/>
  <c r="L39" i="34"/>
  <c r="K39" i="34"/>
  <c r="J39" i="34"/>
  <c r="D39" i="34"/>
  <c r="T39" i="34" s="1"/>
  <c r="Q38" i="34"/>
  <c r="O38" i="34"/>
  <c r="N38" i="34"/>
  <c r="L38" i="34"/>
  <c r="K38" i="34"/>
  <c r="J38" i="34"/>
  <c r="H38" i="34"/>
  <c r="D38" i="34"/>
  <c r="T38" i="34" s="1"/>
  <c r="Q37" i="34"/>
  <c r="O37" i="34"/>
  <c r="N37" i="34"/>
  <c r="L37" i="34"/>
  <c r="K37" i="34"/>
  <c r="J37" i="34"/>
  <c r="H37" i="34"/>
  <c r="G37" i="34"/>
  <c r="D37" i="34"/>
  <c r="P37" i="34" s="1"/>
  <c r="Q36" i="34"/>
  <c r="O36" i="34"/>
  <c r="N36" i="34"/>
  <c r="L36" i="34"/>
  <c r="K36" i="34"/>
  <c r="J36" i="34"/>
  <c r="H36" i="34"/>
  <c r="D36" i="34"/>
  <c r="P36" i="34" s="1"/>
  <c r="Q35" i="34"/>
  <c r="O35" i="34"/>
  <c r="N35" i="34"/>
  <c r="L35" i="34"/>
  <c r="J35" i="34"/>
  <c r="H35" i="34"/>
  <c r="D35" i="34"/>
  <c r="T35" i="34" s="1"/>
  <c r="Q34" i="34"/>
  <c r="O34" i="34"/>
  <c r="N34" i="34"/>
  <c r="L34" i="34"/>
  <c r="H34" i="34"/>
  <c r="D34" i="34"/>
  <c r="T34" i="34" s="1"/>
  <c r="Q33" i="34"/>
  <c r="O33" i="34"/>
  <c r="N33" i="34"/>
  <c r="L33" i="34"/>
  <c r="K33" i="34"/>
  <c r="J33" i="34"/>
  <c r="H33" i="34"/>
  <c r="D33" i="34"/>
  <c r="T33" i="34" s="1"/>
  <c r="Q32" i="34"/>
  <c r="O32" i="34"/>
  <c r="N32" i="34"/>
  <c r="L32" i="34"/>
  <c r="K32" i="34"/>
  <c r="J32" i="34"/>
  <c r="H32" i="34"/>
  <c r="D32" i="34"/>
  <c r="T32" i="34" s="1"/>
  <c r="Q31" i="34"/>
  <c r="O31" i="34"/>
  <c r="N31" i="34"/>
  <c r="L31" i="34"/>
  <c r="K31" i="34"/>
  <c r="J31" i="34"/>
  <c r="H31" i="34"/>
  <c r="D31" i="34"/>
  <c r="T31" i="34" s="1"/>
  <c r="Q30" i="34"/>
  <c r="P30" i="34"/>
  <c r="O30" i="34"/>
  <c r="N30" i="34"/>
  <c r="L30" i="34"/>
  <c r="K30" i="34"/>
  <c r="J30" i="34"/>
  <c r="H30" i="34"/>
  <c r="D30" i="34"/>
  <c r="T30" i="34" s="1"/>
  <c r="T29" i="34"/>
  <c r="Q29" i="34"/>
  <c r="P29" i="34"/>
  <c r="O29" i="34"/>
  <c r="N29" i="34"/>
  <c r="L29" i="34"/>
  <c r="K29" i="34"/>
  <c r="J29" i="34"/>
  <c r="H29" i="34"/>
  <c r="D29" i="34"/>
  <c r="Q28" i="34"/>
  <c r="P28" i="34"/>
  <c r="O28" i="34"/>
  <c r="N28" i="34"/>
  <c r="K28" i="34"/>
  <c r="J28" i="34"/>
  <c r="H28" i="34"/>
  <c r="D28" i="34"/>
  <c r="T28" i="34" s="1"/>
  <c r="T27" i="34"/>
  <c r="Q27" i="34"/>
  <c r="P27" i="34"/>
  <c r="O27" i="34"/>
  <c r="N27" i="34"/>
  <c r="L27" i="34"/>
  <c r="J27" i="34"/>
  <c r="P26" i="34"/>
  <c r="O26" i="34"/>
  <c r="N26" i="34"/>
  <c r="L26" i="34"/>
  <c r="K26" i="34"/>
  <c r="J26" i="34"/>
  <c r="E26" i="34"/>
  <c r="Q26" i="34" s="1"/>
  <c r="T25" i="34"/>
  <c r="Q25" i="34"/>
  <c r="P25" i="34"/>
  <c r="O25" i="34"/>
  <c r="N25" i="34"/>
  <c r="L25" i="34"/>
  <c r="K25" i="34"/>
  <c r="H25" i="34"/>
  <c r="T24" i="34"/>
  <c r="Q24" i="34"/>
  <c r="P24" i="34"/>
  <c r="O24" i="34"/>
  <c r="N24" i="34"/>
  <c r="L24" i="34"/>
  <c r="K24" i="34"/>
  <c r="J24" i="34"/>
  <c r="T23" i="34"/>
  <c r="Q23" i="34"/>
  <c r="P23" i="34"/>
  <c r="O23" i="34"/>
  <c r="N23" i="34"/>
  <c r="L23" i="34"/>
  <c r="K23" i="34"/>
  <c r="J23" i="34"/>
  <c r="T22" i="34"/>
  <c r="Q22" i="34"/>
  <c r="P22" i="34"/>
  <c r="O22" i="34"/>
  <c r="N22" i="34"/>
  <c r="L22" i="34"/>
  <c r="K22" i="34"/>
  <c r="J22" i="34"/>
  <c r="T21" i="34"/>
  <c r="Q21" i="34"/>
  <c r="P21" i="34"/>
  <c r="O21" i="34"/>
  <c r="N21" i="34"/>
  <c r="L21" i="34"/>
  <c r="J21" i="34"/>
  <c r="H21" i="34"/>
  <c r="T20" i="34"/>
  <c r="Q20" i="34"/>
  <c r="P20" i="34"/>
  <c r="O20" i="34"/>
  <c r="N20" i="34"/>
  <c r="H20" i="34"/>
  <c r="G20" i="34"/>
  <c r="T19" i="34"/>
  <c r="Q19" i="34"/>
  <c r="P19" i="34"/>
  <c r="O19" i="34"/>
  <c r="N19" i="34"/>
  <c r="L19" i="34"/>
  <c r="H19" i="34"/>
  <c r="T18" i="34"/>
  <c r="Q18" i="34"/>
  <c r="P18" i="34"/>
  <c r="O18" i="34"/>
  <c r="N18" i="34"/>
  <c r="L18" i="34"/>
  <c r="J18" i="34"/>
  <c r="T17" i="34"/>
  <c r="Q17" i="34"/>
  <c r="P17" i="34"/>
  <c r="O17" i="34"/>
  <c r="N17" i="34"/>
  <c r="G17" i="34"/>
  <c r="T16" i="34"/>
  <c r="Q16" i="34"/>
  <c r="P16" i="34"/>
  <c r="O16" i="34"/>
  <c r="N16" i="34"/>
  <c r="H16" i="34"/>
  <c r="G16" i="34"/>
  <c r="T15" i="34"/>
  <c r="Q15" i="34"/>
  <c r="P15" i="34"/>
  <c r="O15" i="34"/>
  <c r="N15" i="34"/>
  <c r="J15" i="34"/>
  <c r="J17" i="34" s="1"/>
  <c r="G15" i="34"/>
  <c r="T14" i="34"/>
  <c r="Q14" i="34"/>
  <c r="P14" i="34"/>
  <c r="O14" i="34"/>
  <c r="N14" i="34"/>
  <c r="T13" i="34"/>
  <c r="Q13" i="34"/>
  <c r="P13" i="34"/>
  <c r="O13" i="34"/>
  <c r="N13" i="34"/>
  <c r="J13" i="34"/>
  <c r="H13" i="34"/>
  <c r="T12" i="34"/>
  <c r="Q12" i="34"/>
  <c r="P12" i="34"/>
  <c r="O12" i="34"/>
  <c r="N12" i="34"/>
  <c r="G12" i="34"/>
  <c r="T11" i="34"/>
  <c r="Q11" i="34"/>
  <c r="P11" i="34"/>
  <c r="O11" i="34"/>
  <c r="N11" i="34"/>
  <c r="I11" i="34"/>
  <c r="I40" i="34" s="1"/>
  <c r="G11" i="34"/>
  <c r="T10" i="34"/>
  <c r="Q10" i="34"/>
  <c r="P10" i="34"/>
  <c r="O10" i="34"/>
  <c r="N10" i="34"/>
  <c r="G10" i="34"/>
  <c r="T9" i="34"/>
  <c r="Q9" i="34"/>
  <c r="P9" i="34"/>
  <c r="O9" i="34"/>
  <c r="N9" i="34"/>
  <c r="J9" i="34"/>
  <c r="J40" i="34" s="1"/>
  <c r="G9" i="34"/>
  <c r="T8" i="34"/>
  <c r="Q8" i="34"/>
  <c r="P8" i="34"/>
  <c r="O8" i="34"/>
  <c r="N8" i="34"/>
  <c r="Q7" i="34"/>
  <c r="P7" i="34"/>
  <c r="O7" i="34"/>
  <c r="N7" i="34"/>
  <c r="G7" i="34"/>
  <c r="L45" i="32"/>
  <c r="L44" i="32"/>
  <c r="K45" i="32"/>
  <c r="K44" i="32"/>
  <c r="J45" i="32"/>
  <c r="J44" i="32"/>
  <c r="I45" i="32"/>
  <c r="I44" i="32"/>
  <c r="H45" i="32"/>
  <c r="G45" i="32"/>
  <c r="H44" i="32"/>
  <c r="G44" i="32"/>
  <c r="G50" i="32"/>
  <c r="M40" i="32"/>
  <c r="Q39" i="32"/>
  <c r="O39" i="32"/>
  <c r="N39" i="32"/>
  <c r="L39" i="32"/>
  <c r="K39" i="32"/>
  <c r="J39" i="32"/>
  <c r="D39" i="32"/>
  <c r="P39" i="32" s="1"/>
  <c r="Q38" i="32"/>
  <c r="P38" i="32"/>
  <c r="O38" i="32"/>
  <c r="N38" i="32"/>
  <c r="L38" i="32"/>
  <c r="K38" i="32"/>
  <c r="J38" i="32"/>
  <c r="H38" i="32"/>
  <c r="D38" i="32"/>
  <c r="T38" i="32" s="1"/>
  <c r="Q37" i="32"/>
  <c r="O37" i="32"/>
  <c r="N37" i="32"/>
  <c r="L37" i="32"/>
  <c r="K37" i="32"/>
  <c r="J37" i="32"/>
  <c r="H37" i="32"/>
  <c r="G37" i="32"/>
  <c r="D37" i="32"/>
  <c r="P37" i="32" s="1"/>
  <c r="Q36" i="32"/>
  <c r="P36" i="32"/>
  <c r="O36" i="32"/>
  <c r="N36" i="32"/>
  <c r="L36" i="32"/>
  <c r="K36" i="32"/>
  <c r="J36" i="32"/>
  <c r="H36" i="32"/>
  <c r="D36" i="32"/>
  <c r="T36" i="32" s="1"/>
  <c r="T35" i="32"/>
  <c r="Q35" i="32"/>
  <c r="O35" i="32"/>
  <c r="N35" i="32"/>
  <c r="L35" i="32"/>
  <c r="J35" i="32"/>
  <c r="H35" i="32"/>
  <c r="D35" i="32"/>
  <c r="P35" i="32" s="1"/>
  <c r="T34" i="32"/>
  <c r="Q34" i="32"/>
  <c r="P34" i="32"/>
  <c r="O34" i="32"/>
  <c r="N34" i="32"/>
  <c r="L34" i="32"/>
  <c r="H34" i="32"/>
  <c r="D34" i="32"/>
  <c r="Q33" i="32"/>
  <c r="O33" i="32"/>
  <c r="N33" i="32"/>
  <c r="L33" i="32"/>
  <c r="K33" i="32"/>
  <c r="J33" i="32"/>
  <c r="H33" i="32"/>
  <c r="D33" i="32"/>
  <c r="P33" i="32" s="1"/>
  <c r="Q32" i="32"/>
  <c r="P32" i="32"/>
  <c r="O32" i="32"/>
  <c r="N32" i="32"/>
  <c r="L32" i="32"/>
  <c r="K32" i="32"/>
  <c r="J32" i="32"/>
  <c r="H32" i="32"/>
  <c r="D32" i="32"/>
  <c r="T32" i="32" s="1"/>
  <c r="Q31" i="32"/>
  <c r="O31" i="32"/>
  <c r="N31" i="32"/>
  <c r="L31" i="32"/>
  <c r="K31" i="32"/>
  <c r="J31" i="32"/>
  <c r="H31" i="32"/>
  <c r="D31" i="32"/>
  <c r="P31" i="32" s="1"/>
  <c r="Q30" i="32"/>
  <c r="O30" i="32"/>
  <c r="N30" i="32"/>
  <c r="L30" i="32"/>
  <c r="K30" i="32"/>
  <c r="J30" i="32"/>
  <c r="H30" i="32"/>
  <c r="D30" i="32"/>
  <c r="T30" i="32" s="1"/>
  <c r="Q29" i="32"/>
  <c r="O29" i="32"/>
  <c r="N29" i="32"/>
  <c r="L29" i="32"/>
  <c r="K29" i="32"/>
  <c r="J29" i="32"/>
  <c r="H29" i="32"/>
  <c r="D29" i="32"/>
  <c r="P29" i="32" s="1"/>
  <c r="Q28" i="32"/>
  <c r="P28" i="32"/>
  <c r="O28" i="32"/>
  <c r="N28" i="32"/>
  <c r="K28" i="32"/>
  <c r="J28" i="32"/>
  <c r="H28" i="32"/>
  <c r="D28" i="32"/>
  <c r="T28" i="32" s="1"/>
  <c r="T27" i="32"/>
  <c r="Q27" i="32"/>
  <c r="P27" i="32"/>
  <c r="O27" i="32"/>
  <c r="N27" i="32"/>
  <c r="L27" i="32"/>
  <c r="J27" i="32"/>
  <c r="Q26" i="32"/>
  <c r="P26" i="32"/>
  <c r="O26" i="32"/>
  <c r="N26" i="32"/>
  <c r="L26" i="32"/>
  <c r="K26" i="32"/>
  <c r="J26" i="32"/>
  <c r="E26" i="32"/>
  <c r="T26" i="32" s="1"/>
  <c r="T25" i="32"/>
  <c r="Q25" i="32"/>
  <c r="P25" i="32"/>
  <c r="O25" i="32"/>
  <c r="N25" i="32"/>
  <c r="L25" i="32"/>
  <c r="K25" i="32"/>
  <c r="H25" i="32"/>
  <c r="T24" i="32"/>
  <c r="Q24" i="32"/>
  <c r="P24" i="32"/>
  <c r="O24" i="32"/>
  <c r="N24" i="32"/>
  <c r="L24" i="32"/>
  <c r="K24" i="32"/>
  <c r="J24" i="32"/>
  <c r="T23" i="32"/>
  <c r="Q23" i="32"/>
  <c r="P23" i="32"/>
  <c r="O23" i="32"/>
  <c r="N23" i="32"/>
  <c r="L23" i="32"/>
  <c r="K23" i="32"/>
  <c r="J23" i="32"/>
  <c r="T22" i="32"/>
  <c r="Q22" i="32"/>
  <c r="P22" i="32"/>
  <c r="O22" i="32"/>
  <c r="N22" i="32"/>
  <c r="L22" i="32"/>
  <c r="K22" i="32"/>
  <c r="K40" i="32" s="1"/>
  <c r="J22" i="32"/>
  <c r="T21" i="32"/>
  <c r="Q21" i="32"/>
  <c r="P21" i="32"/>
  <c r="O21" i="32"/>
  <c r="N21" i="32"/>
  <c r="L21" i="32"/>
  <c r="J21" i="32"/>
  <c r="H21" i="32"/>
  <c r="T20" i="32"/>
  <c r="Q20" i="32"/>
  <c r="P20" i="32"/>
  <c r="O20" i="32"/>
  <c r="N20" i="32"/>
  <c r="H20" i="32"/>
  <c r="G20" i="32"/>
  <c r="T19" i="32"/>
  <c r="Q19" i="32"/>
  <c r="P19" i="32"/>
  <c r="O19" i="32"/>
  <c r="N19" i="32"/>
  <c r="L19" i="32"/>
  <c r="H19" i="32"/>
  <c r="T18" i="32"/>
  <c r="Q18" i="32"/>
  <c r="P18" i="32"/>
  <c r="O18" i="32"/>
  <c r="N18" i="32"/>
  <c r="L18" i="32"/>
  <c r="J18" i="32"/>
  <c r="T17" i="32"/>
  <c r="Q17" i="32"/>
  <c r="P17" i="32"/>
  <c r="O17" i="32"/>
  <c r="N17" i="32"/>
  <c r="J17" i="32"/>
  <c r="G17" i="32"/>
  <c r="T16" i="32"/>
  <c r="Q16" i="32"/>
  <c r="P16" i="32"/>
  <c r="O16" i="32"/>
  <c r="N16" i="32"/>
  <c r="H16" i="32"/>
  <c r="G16" i="32"/>
  <c r="T15" i="32"/>
  <c r="Q15" i="32"/>
  <c r="P15" i="32"/>
  <c r="O15" i="32"/>
  <c r="N15" i="32"/>
  <c r="J15" i="32"/>
  <c r="G15" i="32"/>
  <c r="T14" i="32"/>
  <c r="Q14" i="32"/>
  <c r="P14" i="32"/>
  <c r="O14" i="32"/>
  <c r="N14" i="32"/>
  <c r="T13" i="32"/>
  <c r="Q13" i="32"/>
  <c r="P13" i="32"/>
  <c r="O13" i="32"/>
  <c r="N13" i="32"/>
  <c r="J13" i="32"/>
  <c r="H13" i="32"/>
  <c r="T12" i="32"/>
  <c r="Q12" i="32"/>
  <c r="P12" i="32"/>
  <c r="O12" i="32"/>
  <c r="N12" i="32"/>
  <c r="G12" i="32"/>
  <c r="T11" i="32"/>
  <c r="Q11" i="32"/>
  <c r="P11" i="32"/>
  <c r="O11" i="32"/>
  <c r="N11" i="32"/>
  <c r="I11" i="32"/>
  <c r="I40" i="32" s="1"/>
  <c r="G11" i="32"/>
  <c r="T10" i="32"/>
  <c r="Q10" i="32"/>
  <c r="P10" i="32"/>
  <c r="O10" i="32"/>
  <c r="N10" i="32"/>
  <c r="G10" i="32"/>
  <c r="T9" i="32"/>
  <c r="Q9" i="32"/>
  <c r="P9" i="32"/>
  <c r="O9" i="32"/>
  <c r="N9" i="32"/>
  <c r="J9" i="32"/>
  <c r="J40" i="32" s="1"/>
  <c r="G9" i="32"/>
  <c r="T8" i="32"/>
  <c r="Q8" i="32"/>
  <c r="P8" i="32"/>
  <c r="O8" i="32"/>
  <c r="N8" i="32"/>
  <c r="T7" i="32"/>
  <c r="Q7" i="32"/>
  <c r="P7" i="32"/>
  <c r="O7" i="32"/>
  <c r="N7" i="32"/>
  <c r="G7" i="32"/>
  <c r="O40" i="30"/>
  <c r="G55" i="30"/>
  <c r="G49" i="30"/>
  <c r="H45" i="27"/>
  <c r="G45" i="30"/>
  <c r="H45" i="30"/>
  <c r="I45" i="30"/>
  <c r="J45" i="30"/>
  <c r="K45" i="30"/>
  <c r="L45" i="30"/>
  <c r="L44" i="30"/>
  <c r="K44" i="30"/>
  <c r="J44" i="30"/>
  <c r="I44" i="30"/>
  <c r="H44" i="30"/>
  <c r="G44" i="30"/>
  <c r="M40" i="30"/>
  <c r="Q39" i="30"/>
  <c r="O39" i="30"/>
  <c r="N39" i="30"/>
  <c r="L39" i="30"/>
  <c r="K39" i="30"/>
  <c r="J39" i="30"/>
  <c r="D39" i="30"/>
  <c r="T39" i="30" s="1"/>
  <c r="T38" i="30"/>
  <c r="Q38" i="30"/>
  <c r="O38" i="30"/>
  <c r="N38" i="30"/>
  <c r="L38" i="30"/>
  <c r="K38" i="30"/>
  <c r="J38" i="30"/>
  <c r="H38" i="30"/>
  <c r="D38" i="30"/>
  <c r="P38" i="30" s="1"/>
  <c r="Q37" i="30"/>
  <c r="O37" i="30"/>
  <c r="N37" i="30"/>
  <c r="L37" i="30"/>
  <c r="K37" i="30"/>
  <c r="J37" i="30"/>
  <c r="H37" i="30"/>
  <c r="G37" i="30"/>
  <c r="D37" i="30"/>
  <c r="P37" i="30" s="1"/>
  <c r="Q36" i="30"/>
  <c r="O36" i="30"/>
  <c r="N36" i="30"/>
  <c r="L36" i="30"/>
  <c r="K36" i="30"/>
  <c r="J36" i="30"/>
  <c r="H36" i="30"/>
  <c r="D36" i="30"/>
  <c r="P36" i="30" s="1"/>
  <c r="Q35" i="30"/>
  <c r="O35" i="30"/>
  <c r="N35" i="30"/>
  <c r="L35" i="30"/>
  <c r="J35" i="30"/>
  <c r="H35" i="30"/>
  <c r="D35" i="30"/>
  <c r="T35" i="30" s="1"/>
  <c r="Q34" i="30"/>
  <c r="O34" i="30"/>
  <c r="N34" i="30"/>
  <c r="L34" i="30"/>
  <c r="H34" i="30"/>
  <c r="D34" i="30"/>
  <c r="P34" i="30" s="1"/>
  <c r="Q33" i="30"/>
  <c r="O33" i="30"/>
  <c r="N33" i="30"/>
  <c r="L33" i="30"/>
  <c r="K33" i="30"/>
  <c r="J33" i="30"/>
  <c r="H33" i="30"/>
  <c r="D33" i="30"/>
  <c r="P33" i="30" s="1"/>
  <c r="Q32" i="30"/>
  <c r="P32" i="30"/>
  <c r="O32" i="30"/>
  <c r="N32" i="30"/>
  <c r="L32" i="30"/>
  <c r="K32" i="30"/>
  <c r="J32" i="30"/>
  <c r="H32" i="30"/>
  <c r="D32" i="30"/>
  <c r="T32" i="30" s="1"/>
  <c r="T31" i="30"/>
  <c r="Q31" i="30"/>
  <c r="P31" i="30"/>
  <c r="O31" i="30"/>
  <c r="N31" i="30"/>
  <c r="L31" i="30"/>
  <c r="K31" i="30"/>
  <c r="J31" i="30"/>
  <c r="H31" i="30"/>
  <c r="D31" i="30"/>
  <c r="Q30" i="30"/>
  <c r="O30" i="30"/>
  <c r="N30" i="30"/>
  <c r="L30" i="30"/>
  <c r="K30" i="30"/>
  <c r="J30" i="30"/>
  <c r="H30" i="30"/>
  <c r="D30" i="30"/>
  <c r="T30" i="30" s="1"/>
  <c r="T29" i="30"/>
  <c r="Q29" i="30"/>
  <c r="P29" i="30"/>
  <c r="O29" i="30"/>
  <c r="N29" i="30"/>
  <c r="L29" i="30"/>
  <c r="K29" i="30"/>
  <c r="J29" i="30"/>
  <c r="H29" i="30"/>
  <c r="D29" i="30"/>
  <c r="Q28" i="30"/>
  <c r="P28" i="30"/>
  <c r="O28" i="30"/>
  <c r="N28" i="30"/>
  <c r="K28" i="30"/>
  <c r="J28" i="30"/>
  <c r="H28" i="30"/>
  <c r="D28" i="30"/>
  <c r="T28" i="30" s="1"/>
  <c r="T27" i="30"/>
  <c r="Q27" i="30"/>
  <c r="P27" i="30"/>
  <c r="O27" i="30"/>
  <c r="N27" i="30"/>
  <c r="L27" i="30"/>
  <c r="J27" i="30"/>
  <c r="P26" i="30"/>
  <c r="O26" i="30"/>
  <c r="N26" i="30"/>
  <c r="L26" i="30"/>
  <c r="K26" i="30"/>
  <c r="J26" i="30"/>
  <c r="E26" i="30"/>
  <c r="Q26" i="30" s="1"/>
  <c r="T25" i="30"/>
  <c r="Q25" i="30"/>
  <c r="P25" i="30"/>
  <c r="O25" i="30"/>
  <c r="N25" i="30"/>
  <c r="L25" i="30"/>
  <c r="K25" i="30"/>
  <c r="H25" i="30"/>
  <c r="T24" i="30"/>
  <c r="Q24" i="30"/>
  <c r="P24" i="30"/>
  <c r="O24" i="30"/>
  <c r="N24" i="30"/>
  <c r="L24" i="30"/>
  <c r="K24" i="30"/>
  <c r="J24" i="30"/>
  <c r="T23" i="30"/>
  <c r="Q23" i="30"/>
  <c r="P23" i="30"/>
  <c r="O23" i="30"/>
  <c r="N23" i="30"/>
  <c r="L23" i="30"/>
  <c r="K23" i="30"/>
  <c r="J23" i="30"/>
  <c r="T22" i="30"/>
  <c r="Q22" i="30"/>
  <c r="P22" i="30"/>
  <c r="O22" i="30"/>
  <c r="N22" i="30"/>
  <c r="L22" i="30"/>
  <c r="K22" i="30"/>
  <c r="J22" i="30"/>
  <c r="T21" i="30"/>
  <c r="Q21" i="30"/>
  <c r="P21" i="30"/>
  <c r="O21" i="30"/>
  <c r="N21" i="30"/>
  <c r="L21" i="30"/>
  <c r="J21" i="30"/>
  <c r="H21" i="30"/>
  <c r="T20" i="30"/>
  <c r="Q20" i="30"/>
  <c r="P20" i="30"/>
  <c r="O20" i="30"/>
  <c r="N20" i="30"/>
  <c r="H20" i="30"/>
  <c r="G20" i="30"/>
  <c r="T19" i="30"/>
  <c r="Q19" i="30"/>
  <c r="P19" i="30"/>
  <c r="O19" i="30"/>
  <c r="N19" i="30"/>
  <c r="L19" i="30"/>
  <c r="H19" i="30"/>
  <c r="T18" i="30"/>
  <c r="Q18" i="30"/>
  <c r="P18" i="30"/>
  <c r="O18" i="30"/>
  <c r="N18" i="30"/>
  <c r="L18" i="30"/>
  <c r="J18" i="30"/>
  <c r="T17" i="30"/>
  <c r="Q17" i="30"/>
  <c r="P17" i="30"/>
  <c r="O17" i="30"/>
  <c r="N17" i="30"/>
  <c r="J17" i="30"/>
  <c r="T16" i="30"/>
  <c r="Q16" i="30"/>
  <c r="P16" i="30"/>
  <c r="O16" i="30"/>
  <c r="N16" i="30"/>
  <c r="H16" i="30"/>
  <c r="G16" i="30"/>
  <c r="T15" i="30"/>
  <c r="Q15" i="30"/>
  <c r="P15" i="30"/>
  <c r="O15" i="30"/>
  <c r="N15" i="30"/>
  <c r="J15" i="30"/>
  <c r="G15" i="30"/>
  <c r="G17" i="30" s="1"/>
  <c r="T14" i="30"/>
  <c r="Q14" i="30"/>
  <c r="P14" i="30"/>
  <c r="O14" i="30"/>
  <c r="N14" i="30"/>
  <c r="T13" i="30"/>
  <c r="Q13" i="30"/>
  <c r="P13" i="30"/>
  <c r="O13" i="30"/>
  <c r="N13" i="30"/>
  <c r="J13" i="30"/>
  <c r="H13" i="30"/>
  <c r="T12" i="30"/>
  <c r="Q12" i="30"/>
  <c r="P12" i="30"/>
  <c r="O12" i="30"/>
  <c r="N12" i="30"/>
  <c r="G12" i="30"/>
  <c r="T11" i="30"/>
  <c r="Q11" i="30"/>
  <c r="P11" i="30"/>
  <c r="O11" i="30"/>
  <c r="N11" i="30"/>
  <c r="I11" i="30"/>
  <c r="I40" i="30" s="1"/>
  <c r="G11" i="30"/>
  <c r="T10" i="30"/>
  <c r="Q10" i="30"/>
  <c r="P10" i="30"/>
  <c r="O10" i="30"/>
  <c r="N10" i="30"/>
  <c r="G10" i="30"/>
  <c r="T9" i="30"/>
  <c r="Q9" i="30"/>
  <c r="P9" i="30"/>
  <c r="O9" i="30"/>
  <c r="N9" i="30"/>
  <c r="J9" i="30"/>
  <c r="G9" i="30"/>
  <c r="T8" i="30"/>
  <c r="Q8" i="30"/>
  <c r="P8" i="30"/>
  <c r="O8" i="30"/>
  <c r="N8" i="30"/>
  <c r="T7" i="30"/>
  <c r="Q7" i="30"/>
  <c r="P7" i="30"/>
  <c r="O7" i="30"/>
  <c r="N7" i="30"/>
  <c r="G7" i="30"/>
  <c r="M40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P32" i="34" l="1"/>
  <c r="P39" i="34"/>
  <c r="P33" i="34"/>
  <c r="H40" i="34"/>
  <c r="P31" i="34"/>
  <c r="P35" i="34"/>
  <c r="K40" i="34"/>
  <c r="G41" i="34" s="1"/>
  <c r="L43" i="34" s="1"/>
  <c r="L46" i="34" s="1"/>
  <c r="T36" i="34"/>
  <c r="L40" i="34"/>
  <c r="G40" i="34"/>
  <c r="T26" i="34"/>
  <c r="L40" i="32"/>
  <c r="T33" i="32"/>
  <c r="H40" i="32"/>
  <c r="T31" i="32"/>
  <c r="G40" i="32"/>
  <c r="G41" i="32" s="1"/>
  <c r="G43" i="32" s="1"/>
  <c r="G46" i="32" s="1"/>
  <c r="T29" i="32"/>
  <c r="P30" i="32"/>
  <c r="P40" i="32" s="1"/>
  <c r="R32" i="32" s="1"/>
  <c r="T39" i="32"/>
  <c r="P39" i="30"/>
  <c r="P30" i="30"/>
  <c r="G50" i="30"/>
  <c r="T33" i="30"/>
  <c r="J40" i="30"/>
  <c r="K40" i="30"/>
  <c r="H40" i="30"/>
  <c r="G40" i="30"/>
  <c r="L40" i="30"/>
  <c r="P35" i="30"/>
  <c r="T34" i="30"/>
  <c r="T36" i="30"/>
  <c r="T26" i="30"/>
  <c r="O40" i="32"/>
  <c r="G48" i="32" s="1"/>
  <c r="O40" i="34"/>
  <c r="G48" i="34" s="1"/>
  <c r="N40" i="34"/>
  <c r="Q40" i="34"/>
  <c r="P34" i="34"/>
  <c r="T37" i="34"/>
  <c r="P38" i="34"/>
  <c r="N40" i="32"/>
  <c r="Q40" i="32"/>
  <c r="S23" i="32" s="1"/>
  <c r="T37" i="32"/>
  <c r="G48" i="30"/>
  <c r="N40" i="30"/>
  <c r="Q40" i="30"/>
  <c r="P40" i="30"/>
  <c r="T37" i="30"/>
  <c r="G41" i="30" l="1"/>
  <c r="S13" i="34"/>
  <c r="S21" i="34"/>
  <c r="S29" i="34"/>
  <c r="S37" i="34"/>
  <c r="S10" i="34"/>
  <c r="S22" i="34"/>
  <c r="S30" i="34"/>
  <c r="S38" i="34"/>
  <c r="S15" i="34"/>
  <c r="S23" i="34"/>
  <c r="S31" i="34"/>
  <c r="S39" i="34"/>
  <c r="S16" i="34"/>
  <c r="S24" i="34"/>
  <c r="S32" i="34"/>
  <c r="S11" i="34"/>
  <c r="S17" i="34"/>
  <c r="S25" i="34"/>
  <c r="S33" i="34"/>
  <c r="S12" i="34"/>
  <c r="S18" i="34"/>
  <c r="S26" i="34"/>
  <c r="S34" i="34"/>
  <c r="S7" i="34"/>
  <c r="S19" i="34"/>
  <c r="S35" i="34"/>
  <c r="S8" i="34"/>
  <c r="S20" i="34"/>
  <c r="S36" i="34"/>
  <c r="S14" i="34"/>
  <c r="S27" i="34"/>
  <c r="S28" i="34"/>
  <c r="S9" i="34"/>
  <c r="R13" i="30"/>
  <c r="R21" i="30"/>
  <c r="R29" i="30"/>
  <c r="R37" i="30"/>
  <c r="R11" i="30"/>
  <c r="R27" i="30"/>
  <c r="R12" i="30"/>
  <c r="R36" i="30"/>
  <c r="R14" i="30"/>
  <c r="R22" i="30"/>
  <c r="R30" i="30"/>
  <c r="R38" i="30"/>
  <c r="R7" i="30"/>
  <c r="R15" i="30"/>
  <c r="R23" i="30"/>
  <c r="R31" i="30"/>
  <c r="R39" i="30"/>
  <c r="R8" i="30"/>
  <c r="R16" i="30"/>
  <c r="R24" i="30"/>
  <c r="R32" i="30"/>
  <c r="R9" i="30"/>
  <c r="R17" i="30"/>
  <c r="R25" i="30"/>
  <c r="R33" i="30"/>
  <c r="R10" i="30"/>
  <c r="R18" i="30"/>
  <c r="R26" i="30"/>
  <c r="R34" i="30"/>
  <c r="R19" i="30"/>
  <c r="R35" i="30"/>
  <c r="R28" i="30"/>
  <c r="R20" i="30"/>
  <c r="S20" i="30"/>
  <c r="S13" i="30"/>
  <c r="S21" i="30"/>
  <c r="S29" i="30"/>
  <c r="S37" i="30"/>
  <c r="S10" i="30"/>
  <c r="S36" i="30"/>
  <c r="S14" i="30"/>
  <c r="S22" i="30"/>
  <c r="S30" i="30"/>
  <c r="S38" i="30"/>
  <c r="S23" i="30"/>
  <c r="S31" i="30"/>
  <c r="S39" i="30"/>
  <c r="S24" i="30"/>
  <c r="S32" i="30"/>
  <c r="S11" i="30"/>
  <c r="S25" i="30"/>
  <c r="S33" i="30"/>
  <c r="S12" i="30"/>
  <c r="S26" i="30"/>
  <c r="S34" i="30"/>
  <c r="S7" i="30"/>
  <c r="S27" i="30"/>
  <c r="S35" i="30"/>
  <c r="S8" i="30"/>
  <c r="S28" i="30"/>
  <c r="S9" i="30"/>
  <c r="S15" i="30"/>
  <c r="S16" i="30"/>
  <c r="S17" i="30"/>
  <c r="S18" i="30"/>
  <c r="S19" i="30"/>
  <c r="S21" i="32"/>
  <c r="S28" i="32"/>
  <c r="S26" i="32"/>
  <c r="H43" i="32"/>
  <c r="H46" i="32" s="1"/>
  <c r="S19" i="32"/>
  <c r="J43" i="32"/>
  <c r="J46" i="32" s="1"/>
  <c r="S7" i="32"/>
  <c r="I43" i="32"/>
  <c r="I46" i="32" s="1"/>
  <c r="S25" i="32"/>
  <c r="L43" i="32"/>
  <c r="L46" i="32" s="1"/>
  <c r="S24" i="32"/>
  <c r="S36" i="32"/>
  <c r="S14" i="32"/>
  <c r="S35" i="32"/>
  <c r="S34" i="32"/>
  <c r="S16" i="32"/>
  <c r="S30" i="32"/>
  <c r="S22" i="32"/>
  <c r="S17" i="32"/>
  <c r="R37" i="32"/>
  <c r="R31" i="32"/>
  <c r="R33" i="32"/>
  <c r="R21" i="32"/>
  <c r="R16" i="32"/>
  <c r="R29" i="32"/>
  <c r="R36" i="32"/>
  <c r="R35" i="32"/>
  <c r="R27" i="32"/>
  <c r="R18" i="32"/>
  <c r="R22" i="32"/>
  <c r="R7" i="32"/>
  <c r="R20" i="32"/>
  <c r="R14" i="32"/>
  <c r="R30" i="32"/>
  <c r="R38" i="32"/>
  <c r="S8" i="32"/>
  <c r="S9" i="32"/>
  <c r="R34" i="32"/>
  <c r="S29" i="32"/>
  <c r="S37" i="32"/>
  <c r="R9" i="32"/>
  <c r="R8" i="32"/>
  <c r="G56" i="32"/>
  <c r="S13" i="32"/>
  <c r="S20" i="32"/>
  <c r="S11" i="32"/>
  <c r="S33" i="32"/>
  <c r="S18" i="32"/>
  <c r="S39" i="32"/>
  <c r="R19" i="32"/>
  <c r="R10" i="32"/>
  <c r="S32" i="32"/>
  <c r="R39" i="32"/>
  <c r="R17" i="32"/>
  <c r="R28" i="32"/>
  <c r="R25" i="32"/>
  <c r="R15" i="32"/>
  <c r="R12" i="32"/>
  <c r="S27" i="32"/>
  <c r="R24" i="32"/>
  <c r="K43" i="32"/>
  <c r="K46" i="32" s="1"/>
  <c r="S38" i="32"/>
  <c r="S10" i="32"/>
  <c r="R26" i="32"/>
  <c r="R13" i="32"/>
  <c r="R23" i="32"/>
  <c r="R11" i="32"/>
  <c r="S15" i="32"/>
  <c r="S31" i="32"/>
  <c r="S12" i="32"/>
  <c r="P40" i="34"/>
  <c r="K43" i="34"/>
  <c r="K46" i="34" s="1"/>
  <c r="H43" i="34"/>
  <c r="H46" i="34" s="1"/>
  <c r="G43" i="34"/>
  <c r="G46" i="34" s="1"/>
  <c r="J43" i="34"/>
  <c r="J46" i="34" s="1"/>
  <c r="I43" i="34"/>
  <c r="I46" i="34" s="1"/>
  <c r="G51" i="32"/>
  <c r="G52" i="32" s="1"/>
  <c r="H43" i="30"/>
  <c r="H46" i="30" s="1"/>
  <c r="L43" i="30"/>
  <c r="L46" i="30" s="1"/>
  <c r="K43" i="30"/>
  <c r="K46" i="30" s="1"/>
  <c r="G56" i="30"/>
  <c r="J43" i="30"/>
  <c r="J46" i="30" s="1"/>
  <c r="I43" i="30"/>
  <c r="I46" i="30" s="1"/>
  <c r="G51" i="30"/>
  <c r="G52" i="30" s="1"/>
  <c r="G43" i="30"/>
  <c r="G46" i="30" s="1"/>
  <c r="D39" i="27"/>
  <c r="L39" i="27"/>
  <c r="K39" i="27"/>
  <c r="J39" i="27"/>
  <c r="D38" i="27"/>
  <c r="D37" i="27"/>
  <c r="D35" i="27"/>
  <c r="D36" i="27"/>
  <c r="L38" i="27"/>
  <c r="K38" i="27"/>
  <c r="J38" i="27"/>
  <c r="H38" i="27"/>
  <c r="L37" i="27"/>
  <c r="K37" i="27"/>
  <c r="J37" i="27"/>
  <c r="H37" i="27"/>
  <c r="G37" i="27"/>
  <c r="L36" i="27"/>
  <c r="K36" i="27"/>
  <c r="J36" i="27"/>
  <c r="H36" i="27"/>
  <c r="L35" i="27"/>
  <c r="J35" i="27"/>
  <c r="H35" i="27"/>
  <c r="L34" i="27"/>
  <c r="H34" i="27"/>
  <c r="D34" i="27"/>
  <c r="L33" i="27"/>
  <c r="K33" i="27"/>
  <c r="J33" i="27"/>
  <c r="H33" i="27"/>
  <c r="D33" i="27"/>
  <c r="L32" i="27"/>
  <c r="K32" i="27"/>
  <c r="J32" i="27"/>
  <c r="H32" i="27"/>
  <c r="D32" i="27"/>
  <c r="L31" i="27"/>
  <c r="K31" i="27"/>
  <c r="J31" i="27"/>
  <c r="H31" i="27"/>
  <c r="D31" i="27"/>
  <c r="L30" i="27"/>
  <c r="K30" i="27"/>
  <c r="J30" i="27"/>
  <c r="H30" i="27"/>
  <c r="D30" i="27"/>
  <c r="L29" i="27"/>
  <c r="K29" i="27"/>
  <c r="J29" i="27"/>
  <c r="H29" i="27"/>
  <c r="D29" i="27"/>
  <c r="K28" i="27"/>
  <c r="J28" i="27"/>
  <c r="H28" i="27"/>
  <c r="D28" i="27"/>
  <c r="E12" i="2"/>
  <c r="E13" i="2"/>
  <c r="E7" i="2"/>
  <c r="E9" i="2"/>
  <c r="E8" i="2"/>
  <c r="T29" i="27" l="1"/>
  <c r="P29" i="27"/>
  <c r="T34" i="27"/>
  <c r="P34" i="27"/>
  <c r="T39" i="27"/>
  <c r="P39" i="27"/>
  <c r="T35" i="27"/>
  <c r="P35" i="27"/>
  <c r="T28" i="27"/>
  <c r="P28" i="27"/>
  <c r="T30" i="27"/>
  <c r="P30" i="27"/>
  <c r="T37" i="27"/>
  <c r="P37" i="27"/>
  <c r="T31" i="27"/>
  <c r="P31" i="27"/>
  <c r="T33" i="27"/>
  <c r="P33" i="27"/>
  <c r="T36" i="27"/>
  <c r="P36" i="27"/>
  <c r="T32" i="27"/>
  <c r="P32" i="27"/>
  <c r="T38" i="27"/>
  <c r="P38" i="27"/>
  <c r="R20" i="34"/>
  <c r="R28" i="34"/>
  <c r="R36" i="34"/>
  <c r="R9" i="34"/>
  <c r="R13" i="34"/>
  <c r="R21" i="34"/>
  <c r="R29" i="34"/>
  <c r="R37" i="34"/>
  <c r="R10" i="34"/>
  <c r="R14" i="34"/>
  <c r="R22" i="34"/>
  <c r="R30" i="34"/>
  <c r="R38" i="34"/>
  <c r="R15" i="34"/>
  <c r="R23" i="34"/>
  <c r="R31" i="34"/>
  <c r="R39" i="34"/>
  <c r="R16" i="34"/>
  <c r="R24" i="34"/>
  <c r="R32" i="34"/>
  <c r="R11" i="34"/>
  <c r="R17" i="34"/>
  <c r="R33" i="34"/>
  <c r="R12" i="34"/>
  <c r="R18" i="34"/>
  <c r="R34" i="34"/>
  <c r="R19" i="34"/>
  <c r="R27" i="34"/>
  <c r="R8" i="34"/>
  <c r="R25" i="34"/>
  <c r="R26" i="34"/>
  <c r="R7" i="34"/>
  <c r="R35" i="34"/>
  <c r="G51" i="34"/>
  <c r="G52" i="34" s="1"/>
  <c r="G56" i="34"/>
  <c r="O7" i="27"/>
  <c r="O40" i="27" s="1"/>
  <c r="G48" i="27" s="1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F13" i="2"/>
  <c r="F12" i="2"/>
  <c r="G13" i="2"/>
  <c r="H13" i="2"/>
  <c r="G12" i="2"/>
  <c r="H12" i="2"/>
  <c r="E34" i="2" l="1"/>
  <c r="E35" i="2"/>
  <c r="E36" i="2"/>
  <c r="E37" i="2"/>
  <c r="E38" i="2"/>
  <c r="E39" i="2"/>
  <c r="E40" i="2"/>
  <c r="E41" i="2"/>
  <c r="E42" i="2"/>
  <c r="E43" i="2"/>
  <c r="E44" i="2"/>
  <c r="G55" i="27" l="1"/>
  <c r="G49" i="27"/>
  <c r="L45" i="27"/>
  <c r="K45" i="27"/>
  <c r="J45" i="27"/>
  <c r="I45" i="27"/>
  <c r="G45" i="27"/>
  <c r="L44" i="27"/>
  <c r="K44" i="27"/>
  <c r="H44" i="27"/>
  <c r="J44" i="27"/>
  <c r="I44" i="27"/>
  <c r="G44" i="27"/>
  <c r="T27" i="27"/>
  <c r="Q27" i="27"/>
  <c r="P27" i="27"/>
  <c r="N27" i="27"/>
  <c r="L27" i="27"/>
  <c r="J27" i="27"/>
  <c r="P26" i="27"/>
  <c r="N26" i="27"/>
  <c r="L26" i="27"/>
  <c r="K26" i="27"/>
  <c r="J26" i="27"/>
  <c r="E26" i="27"/>
  <c r="T26" i="27" s="1"/>
  <c r="T25" i="27"/>
  <c r="Q25" i="27"/>
  <c r="P25" i="27"/>
  <c r="N25" i="27"/>
  <c r="L25" i="27"/>
  <c r="K25" i="27"/>
  <c r="H25" i="27"/>
  <c r="T24" i="27"/>
  <c r="Q24" i="27"/>
  <c r="P24" i="27"/>
  <c r="N24" i="27"/>
  <c r="L24" i="27"/>
  <c r="K24" i="27"/>
  <c r="J24" i="27"/>
  <c r="T23" i="27"/>
  <c r="Q23" i="27"/>
  <c r="P23" i="27"/>
  <c r="N23" i="27"/>
  <c r="L23" i="27"/>
  <c r="K23" i="27"/>
  <c r="J23" i="27"/>
  <c r="T22" i="27"/>
  <c r="Q22" i="27"/>
  <c r="P22" i="27"/>
  <c r="N22" i="27"/>
  <c r="L22" i="27"/>
  <c r="K22" i="27"/>
  <c r="J22" i="27"/>
  <c r="T21" i="27"/>
  <c r="Q21" i="27"/>
  <c r="P21" i="27"/>
  <c r="N21" i="27"/>
  <c r="L21" i="27"/>
  <c r="J21" i="27"/>
  <c r="H21" i="27"/>
  <c r="T20" i="27"/>
  <c r="Q20" i="27"/>
  <c r="P20" i="27"/>
  <c r="N20" i="27"/>
  <c r="H20" i="27"/>
  <c r="G20" i="27"/>
  <c r="T19" i="27"/>
  <c r="Q19" i="27"/>
  <c r="P19" i="27"/>
  <c r="N19" i="27"/>
  <c r="L19" i="27"/>
  <c r="H19" i="27"/>
  <c r="T18" i="27"/>
  <c r="Q18" i="27"/>
  <c r="P18" i="27"/>
  <c r="N18" i="27"/>
  <c r="L18" i="27"/>
  <c r="J18" i="27"/>
  <c r="T17" i="27"/>
  <c r="Q17" i="27"/>
  <c r="P17" i="27"/>
  <c r="N17" i="27"/>
  <c r="T16" i="27"/>
  <c r="Q16" i="27"/>
  <c r="P16" i="27"/>
  <c r="N16" i="27"/>
  <c r="H16" i="27"/>
  <c r="G16" i="27"/>
  <c r="T15" i="27"/>
  <c r="Q15" i="27"/>
  <c r="P15" i="27"/>
  <c r="N15" i="27"/>
  <c r="J15" i="27"/>
  <c r="J17" i="27" s="1"/>
  <c r="G15" i="27"/>
  <c r="G17" i="27" s="1"/>
  <c r="T14" i="27"/>
  <c r="Q14" i="27"/>
  <c r="P14" i="27"/>
  <c r="N14" i="27"/>
  <c r="T13" i="27"/>
  <c r="Q13" i="27"/>
  <c r="P13" i="27"/>
  <c r="N13" i="27"/>
  <c r="J13" i="27"/>
  <c r="H13" i="27"/>
  <c r="T12" i="27"/>
  <c r="Q12" i="27"/>
  <c r="P12" i="27"/>
  <c r="N12" i="27"/>
  <c r="G12" i="27"/>
  <c r="T11" i="27"/>
  <c r="Q11" i="27"/>
  <c r="P11" i="27"/>
  <c r="N11" i="27"/>
  <c r="I11" i="27"/>
  <c r="I40" i="27" s="1"/>
  <c r="G11" i="27"/>
  <c r="T10" i="27"/>
  <c r="Q10" i="27"/>
  <c r="P10" i="27"/>
  <c r="N10" i="27"/>
  <c r="G10" i="27"/>
  <c r="T9" i="27"/>
  <c r="Q9" i="27"/>
  <c r="P9" i="27"/>
  <c r="N9" i="27"/>
  <c r="J9" i="27"/>
  <c r="G9" i="27"/>
  <c r="T8" i="27"/>
  <c r="Q8" i="27"/>
  <c r="P8" i="27"/>
  <c r="N8" i="27"/>
  <c r="T7" i="27"/>
  <c r="Q7" i="27"/>
  <c r="P7" i="27"/>
  <c r="N7" i="27"/>
  <c r="G7" i="27"/>
  <c r="J40" i="27" l="1"/>
  <c r="H40" i="27"/>
  <c r="L40" i="27"/>
  <c r="K40" i="27"/>
  <c r="G40" i="27"/>
  <c r="G41" i="27" s="1"/>
  <c r="I43" i="27" s="1"/>
  <c r="I46" i="27" s="1"/>
  <c r="P40" i="27"/>
  <c r="Q26" i="27"/>
  <c r="Q40" i="27" s="1"/>
  <c r="G50" i="27"/>
  <c r="N40" i="27"/>
  <c r="S17" i="27" l="1"/>
  <c r="S18" i="27"/>
  <c r="S26" i="27"/>
  <c r="S34" i="27"/>
  <c r="S7" i="27"/>
  <c r="S27" i="27"/>
  <c r="S35" i="27"/>
  <c r="S8" i="27"/>
  <c r="S30" i="27"/>
  <c r="S19" i="27"/>
  <c r="S20" i="27"/>
  <c r="S28" i="27"/>
  <c r="S36" i="27"/>
  <c r="S9" i="27"/>
  <c r="S21" i="27"/>
  <c r="S29" i="27"/>
  <c r="S37" i="27"/>
  <c r="S10" i="27"/>
  <c r="S14" i="27"/>
  <c r="S23" i="27"/>
  <c r="S13" i="27"/>
  <c r="S38" i="27"/>
  <c r="S15" i="27"/>
  <c r="S39" i="27"/>
  <c r="S16" i="27"/>
  <c r="S24" i="27"/>
  <c r="S32" i="27"/>
  <c r="S11" i="27"/>
  <c r="S25" i="27"/>
  <c r="S33" i="27"/>
  <c r="S12" i="27"/>
  <c r="S22" i="27"/>
  <c r="S31" i="27"/>
  <c r="R17" i="27"/>
  <c r="R25" i="27"/>
  <c r="R33" i="27"/>
  <c r="R12" i="27"/>
  <c r="R18" i="27"/>
  <c r="R26" i="27"/>
  <c r="R34" i="27"/>
  <c r="R29" i="27"/>
  <c r="R22" i="27"/>
  <c r="R19" i="27"/>
  <c r="R27" i="27"/>
  <c r="R35" i="27"/>
  <c r="R8" i="27"/>
  <c r="R20" i="27"/>
  <c r="R28" i="27"/>
  <c r="R36" i="27"/>
  <c r="R9" i="27"/>
  <c r="R13" i="27"/>
  <c r="R30" i="27"/>
  <c r="R37" i="27"/>
  <c r="R14" i="27"/>
  <c r="R15" i="27"/>
  <c r="R23" i="27"/>
  <c r="R31" i="27"/>
  <c r="R39" i="27"/>
  <c r="R16" i="27"/>
  <c r="R24" i="27"/>
  <c r="R32" i="27"/>
  <c r="R11" i="27"/>
  <c r="R7" i="27"/>
  <c r="R21" i="27"/>
  <c r="R10" i="27"/>
  <c r="R38" i="27"/>
  <c r="G51" i="27"/>
  <c r="G52" i="27" s="1"/>
  <c r="G43" i="27"/>
  <c r="G46" i="27" s="1"/>
  <c r="G56" i="27"/>
  <c r="K43" i="27"/>
  <c r="K46" i="27" s="1"/>
  <c r="H43" i="27"/>
  <c r="H46" i="27" s="1"/>
  <c r="L43" i="27"/>
  <c r="L46" i="27" s="1"/>
  <c r="J43" i="27"/>
  <c r="J46" i="27" s="1"/>
  <c r="H42" i="30" l="1"/>
  <c r="H42" i="32"/>
  <c r="H42" i="34"/>
  <c r="H42" i="27"/>
  <c r="G42" i="27"/>
  <c r="G42" i="30"/>
  <c r="G42" i="32"/>
  <c r="G42" i="34"/>
  <c r="H6" i="17"/>
  <c r="J42" i="32" l="1"/>
  <c r="J42" i="34"/>
  <c r="J42" i="27"/>
  <c r="J42" i="30"/>
  <c r="I42" i="30"/>
  <c r="I42" i="32"/>
  <c r="I42" i="34"/>
  <c r="I42" i="27"/>
  <c r="K42" i="32"/>
  <c r="K42" i="34"/>
  <c r="K42" i="27"/>
  <c r="K42" i="30"/>
  <c r="L42" i="34"/>
  <c r="L42" i="27"/>
  <c r="L42" i="30"/>
  <c r="L42" i="32"/>
  <c r="M25" i="17"/>
  <c r="K25" i="17"/>
  <c r="K23" i="17"/>
  <c r="M23" i="17"/>
  <c r="J23" i="17"/>
  <c r="K15" i="17"/>
  <c r="M21" i="17"/>
  <c r="J21" i="17"/>
  <c r="K19" i="17"/>
  <c r="K17" i="17"/>
  <c r="J19" i="17"/>
  <c r="J17" i="17"/>
  <c r="H15" i="17"/>
  <c r="K13" i="17"/>
  <c r="J13" i="17"/>
  <c r="I13" i="17"/>
  <c r="K11" i="17"/>
  <c r="H11" i="17"/>
  <c r="L9" i="17"/>
  <c r="H9" i="17"/>
  <c r="I12" i="17" l="1"/>
  <c r="J12" i="17"/>
  <c r="H10" i="2" l="1"/>
  <c r="F10" i="2" l="1"/>
  <c r="G10" i="2"/>
  <c r="E10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<sst xmlns="http://schemas.openxmlformats.org/spreadsheetml/2006/main" count="421" uniqueCount="136">
  <si>
    <t xml:space="preserve">Data extracted from: Quantification of black carbon in marine systems using the benzene polycarboxylic acid method: a mechanistic and yield study </t>
  </si>
  <si>
    <t>Link:</t>
  </si>
  <si>
    <t>https://aslopubs.onlinelibrary.wiley.com/doi/abs/10.4319/lom.2011.9.140</t>
  </si>
  <si>
    <t>PAH with a lower error regarding the expected value of BPCA</t>
  </si>
  <si>
    <t>PAH</t>
  </si>
  <si>
    <t>Structure</t>
  </si>
  <si>
    <t>Carbon</t>
  </si>
  <si>
    <t>% C</t>
  </si>
  <si>
    <t>% C recovered</t>
  </si>
  <si>
    <t>BPCA</t>
  </si>
  <si>
    <t>B4CA-2</t>
  </si>
  <si>
    <t>B6CA</t>
  </si>
  <si>
    <t>Anthracene</t>
  </si>
  <si>
    <t>Experimental</t>
  </si>
  <si>
    <t>Expected</t>
  </si>
  <si>
    <t>Penanthrene</t>
  </si>
  <si>
    <t>Retene</t>
  </si>
  <si>
    <t>Chrysene</t>
  </si>
  <si>
    <t>Pyrene</t>
  </si>
  <si>
    <t>1-Nitropyrene</t>
  </si>
  <si>
    <t>Perylene</t>
  </si>
  <si>
    <t>Benzo[ghi]perylene</t>
  </si>
  <si>
    <t>Coronene</t>
  </si>
  <si>
    <t>Average</t>
  </si>
  <si>
    <t>Method used by Ziolkowski et al., 2011</t>
  </si>
  <si>
    <t>PAHs were digested (2 to 10 mg) with 2 ml concentrated nitric acid (grade ACS). The tubes were heated at 180°C in a high-pressure digestion apparatus. The diggestion was done for 8 h. Internal standard, biphenyl-2,2’-dicarboxylic acid (1 mg mL–1 in methanol) was added after freeze drying the samples.</t>
  </si>
  <si>
    <t>Important conclusions from experimental results obtained by Ziolkowski et al., 2011</t>
  </si>
  <si>
    <t>–Aliphatic side chains of BC could be oxidized to carboxylic acids</t>
  </si>
  <si>
    <t xml:space="preserve">–Smaller PAHs favor the formation of less substituted BPCAs, whereas larger PAHs, such as coronene, favor the formation of more fully substituted BPCAs. </t>
  </si>
  <si>
    <t>–A linear regression of the difference between the expected and observed smaller BPCA percentage against the number of carbons in the PAH for all the non-pyrene PAHs had a positive slope with an r2 = 0.69. These results demonstrate that larger PAHs generally formed larger BPCAs than predicted from their stoichiometry.</t>
  </si>
  <si>
    <t>Acid Name</t>
  </si>
  <si>
    <t>Trimellitic Acid</t>
  </si>
  <si>
    <t>Hemimellitic Acid</t>
  </si>
  <si>
    <t>Mellophanic Acid</t>
  </si>
  <si>
    <t>Pyromellitic Acid</t>
  </si>
  <si>
    <t>Prehnitic Acid</t>
  </si>
  <si>
    <t>Benzenepentacarcoxylic acid</t>
  </si>
  <si>
    <t>Mellitic acid</t>
  </si>
  <si>
    <t>BPCA exp</t>
  </si>
  <si>
    <t>BPCA model</t>
  </si>
  <si>
    <t>C400</t>
  </si>
  <si>
    <t>C500</t>
  </si>
  <si>
    <t>C600</t>
  </si>
  <si>
    <t>C700</t>
  </si>
  <si>
    <t>Comments</t>
  </si>
  <si>
    <t>Total</t>
  </si>
  <si>
    <t>Stdandard error from experiments</t>
  </si>
  <si>
    <t>13C NMR Data</t>
  </si>
  <si>
    <t>Aromatic Carbon</t>
  </si>
  <si>
    <t>H/C</t>
  </si>
  <si>
    <t>Name</t>
  </si>
  <si>
    <t>C</t>
  </si>
  <si>
    <t>H</t>
  </si>
  <si>
    <t>defect1</t>
  </si>
  <si>
    <t>defect2</t>
  </si>
  <si>
    <t>defect3</t>
  </si>
  <si>
    <t>defect4</t>
  </si>
  <si>
    <t>defect5</t>
  </si>
  <si>
    <t>defect6</t>
  </si>
  <si>
    <t>defect7</t>
  </si>
  <si>
    <t>defect8</t>
  </si>
  <si>
    <t>defect9</t>
  </si>
  <si>
    <t>defect10</t>
  </si>
  <si>
    <t>defect11</t>
  </si>
  <si>
    <t>Note: Structures from 1 to 11 , such as pure PAH, are challenging to find in biochar. Still, as in subsequent processes in the methodology, they are modified with functional groups and cross-linked with other molecules, so their probability of being present is more feasible.</t>
  </si>
  <si>
    <t>Aromatic structures</t>
  </si>
  <si>
    <t>Molecule</t>
  </si>
  <si>
    <t>Hydrogen</t>
  </si>
  <si>
    <t>Ring Assign</t>
  </si>
  <si>
    <t>F(X)             Obtained from BPCA.py</t>
  </si>
  <si>
    <t>Molecule (%)</t>
  </si>
  <si>
    <t>Total C</t>
  </si>
  <si>
    <t>Total H</t>
  </si>
  <si>
    <t>Carbon (%)</t>
  </si>
  <si>
    <t>Hydrogen (%)</t>
  </si>
  <si>
    <t>Molecular Weight (Da)</t>
  </si>
  <si>
    <t>Benzene</t>
  </si>
  <si>
    <t>Phenalene</t>
  </si>
  <si>
    <t>Phenanthrene</t>
  </si>
  <si>
    <t>Tetracene</t>
  </si>
  <si>
    <t>Pentacene</t>
  </si>
  <si>
    <t>benzo(a)fluorene</t>
  </si>
  <si>
    <t>Benzo(b)fluoranthene</t>
  </si>
  <si>
    <t>benzo(b)fluorene</t>
  </si>
  <si>
    <t>Benzo(a)pyrene</t>
  </si>
  <si>
    <t>Benzo[g,h,i]perylene</t>
  </si>
  <si>
    <t>Circumpyrene</t>
  </si>
  <si>
    <t>Circumcoronene</t>
  </si>
  <si>
    <t>Circumovalene</t>
  </si>
  <si>
    <t>Pentatriacontaene</t>
  </si>
  <si>
    <t>Circumcircumpyrene</t>
  </si>
  <si>
    <t>C84</t>
  </si>
  <si>
    <t>Sum BPCA</t>
  </si>
  <si>
    <t>Modelo</t>
  </si>
  <si>
    <t>Std error experimental</t>
  </si>
  <si>
    <t>Diference</t>
  </si>
  <si>
    <t>H/C (Exp)</t>
  </si>
  <si>
    <t>H/C expected model</t>
  </si>
  <si>
    <t>H/C (model)</t>
  </si>
  <si>
    <t>Aproximate desired system</t>
  </si>
  <si>
    <t>Aromatic C (Exp)</t>
  </si>
  <si>
    <t>You want an excess of aromatic C for the modification process</t>
  </si>
  <si>
    <t>Aromatic C model</t>
  </si>
  <si>
    <t>Aliphatic</t>
  </si>
  <si>
    <t>Carboxyl</t>
  </si>
  <si>
    <t>Total Carbon</t>
  </si>
  <si>
    <t>It will be adjusted with the inlcusion of COOH and aliphatic chains in the model</t>
  </si>
  <si>
    <t xml:space="preserve">Functional groups to adjust </t>
  </si>
  <si>
    <t>Functional groups available to adjuts</t>
  </si>
  <si>
    <t>Average rings</t>
  </si>
  <si>
    <t>Rings</t>
  </si>
  <si>
    <t>N5</t>
  </si>
  <si>
    <t>N8</t>
  </si>
  <si>
    <t>N9</t>
  </si>
  <si>
    <t>N10</t>
  </si>
  <si>
    <t>N11</t>
  </si>
  <si>
    <t>N12</t>
  </si>
  <si>
    <t>N13</t>
  </si>
  <si>
    <t>N15</t>
  </si>
  <si>
    <t>N14</t>
  </si>
  <si>
    <t>N16</t>
  </si>
  <si>
    <t>N17</t>
  </si>
  <si>
    <t>N18</t>
  </si>
  <si>
    <t>BPCA contributes to pure aromatic H and C; the H/C ratio at this stage should be lower than the experimental ratio. The H/C will be adjusted later by incorporating more functional groups and ring defects</t>
  </si>
  <si>
    <t>–No significant correlations were found between the carbon yield and the number of aromatic rings or the percentage of carbon in the PAH; thus they were not able to draw any conclusions as to how the type or size of PAH oxidized is related to the carbon yield.</t>
  </si>
  <si>
    <t>– There seems to be no systematic pattern of oxidation, they could not accurately model the oxidation products.</t>
  </si>
  <si>
    <t>Ring defects clusters</t>
  </si>
  <si>
    <t>B3CA-2-0</t>
  </si>
  <si>
    <t>B4CA-2-1</t>
  </si>
  <si>
    <t>B4CA-2-0</t>
  </si>
  <si>
    <t>B4CA-3-0</t>
  </si>
  <si>
    <t>B5CA-4-0</t>
  </si>
  <si>
    <t>B6CA-6-0</t>
  </si>
  <si>
    <t>B3CA-1-1</t>
  </si>
  <si>
    <t>B2CA-1-0</t>
  </si>
  <si>
    <t>Fluorene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</si>
</sst>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Var(--jp-code-font-family)"/>
    </font>
    <font>
      <u/>
      <sz val="12"/>
      <color theme="1"/>
      <name val="Times New Roman"/>
      <family val="1"/>
    </font>
    <font>
      <sz val="13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6" fillId="2" borderId="0" xfId="1" applyFont="1" applyFill="1"/>
    <xf numFmtId="0" fontId="2" fillId="4" borderId="0" xfId="0" applyFont="1" applyFill="1" applyAlignment="1">
      <alignment horizontal="left"/>
    </xf>
    <xf numFmtId="164" fontId="2" fillId="0" borderId="0" xfId="0" applyNumberFormat="1" applyFont="1"/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/>
    <xf numFmtId="166" fontId="3" fillId="6" borderId="1" xfId="0" applyNumberFormat="1" applyFont="1" applyFill="1" applyBorder="1"/>
    <xf numFmtId="166" fontId="3" fillId="6" borderId="2" xfId="0" applyNumberFormat="1" applyFont="1" applyFill="1" applyBorder="1" applyAlignment="1">
      <alignment horizontal="left"/>
    </xf>
    <xf numFmtId="166" fontId="3" fillId="6" borderId="2" xfId="0" applyNumberFormat="1" applyFont="1" applyFill="1" applyBorder="1"/>
    <xf numFmtId="165" fontId="5" fillId="6" borderId="2" xfId="0" applyNumberFormat="1" applyFont="1" applyFill="1" applyBorder="1"/>
    <xf numFmtId="166" fontId="3" fillId="6" borderId="3" xfId="0" applyNumberFormat="1" applyFont="1" applyFill="1" applyBorder="1"/>
    <xf numFmtId="166" fontId="2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166" fontId="2" fillId="0" borderId="5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Alignment="1">
      <alignment horizontal="left"/>
    </xf>
    <xf numFmtId="0" fontId="2" fillId="0" borderId="4" xfId="0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166" fontId="3" fillId="6" borderId="4" xfId="0" applyNumberFormat="1" applyFont="1" applyFill="1" applyBorder="1"/>
    <xf numFmtId="166" fontId="3" fillId="6" borderId="0" xfId="0" applyNumberFormat="1" applyFont="1" applyFill="1" applyAlignment="1">
      <alignment horizontal="left"/>
    </xf>
    <xf numFmtId="166" fontId="3" fillId="6" borderId="0" xfId="0" applyNumberFormat="1" applyFont="1" applyFill="1"/>
    <xf numFmtId="165" fontId="5" fillId="6" borderId="0" xfId="0" applyNumberFormat="1" applyFont="1" applyFill="1"/>
    <xf numFmtId="166" fontId="3" fillId="6" borderId="5" xfId="0" applyNumberFormat="1" applyFont="1" applyFill="1" applyBorder="1"/>
    <xf numFmtId="166" fontId="2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4" borderId="0" xfId="0" applyFont="1" applyFill="1"/>
    <xf numFmtId="2" fontId="2" fillId="0" borderId="0" xfId="0" applyNumberFormat="1" applyFont="1"/>
    <xf numFmtId="2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8" xfId="0" applyNumberFormat="1" applyFont="1" applyBorder="1"/>
    <xf numFmtId="0" fontId="2" fillId="3" borderId="4" xfId="0" applyFont="1" applyFill="1" applyBorder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3" fillId="6" borderId="0" xfId="0" applyFont="1" applyFill="1" applyAlignment="1">
      <alignment vertical="center"/>
    </xf>
    <xf numFmtId="164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 wrapText="1"/>
    </xf>
    <xf numFmtId="2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68" fontId="3" fillId="6" borderId="0" xfId="0" applyNumberFormat="1" applyFont="1" applyFill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164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center"/>
    </xf>
    <xf numFmtId="0" fontId="7" fillId="0" borderId="0" xfId="0" applyFont="1"/>
    <xf numFmtId="167" fontId="2" fillId="0" borderId="0" xfId="0" applyNumberFormat="1" applyFont="1"/>
    <xf numFmtId="0" fontId="0" fillId="0" borderId="0" xfId="0" applyAlignment="1">
      <alignment horizontal="center" vertical="center"/>
    </xf>
    <xf numFmtId="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9" fillId="0" borderId="0" xfId="0" applyFont="1"/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493"/>
      <color rgb="FF942093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BPCA_Model_400!$G$42:$L$42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BPCA_Model_400!$G$43:$L$43</c:f>
              <c:numCache>
                <c:formatCode>0.0000</c:formatCode>
                <c:ptCount val="6"/>
                <c:pt idx="0">
                  <c:v>4.4444444444444453E-2</c:v>
                </c:pt>
                <c:pt idx="1">
                  <c:v>0.14488888888888893</c:v>
                </c:pt>
                <c:pt idx="2">
                  <c:v>6.666666666666668E-2</c:v>
                </c:pt>
                <c:pt idx="3">
                  <c:v>0.15282539682539686</c:v>
                </c:pt>
                <c:pt idx="4">
                  <c:v>0.34425396825396831</c:v>
                </c:pt>
                <c:pt idx="5">
                  <c:v>0.24692063492063493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5-BC48-AA60-8968AE682CBE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BPCA_Model_400!$G$45:$L$45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plus>
            <c:minus>
              <c:numRef>
                <c:f>BPCA_Model_400!$G$45:$L$45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BPCA_Model_400!$G$42:$L$42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BPCA_Model_400!$G$44:$L$44</c:f>
              <c:numCache>
                <c:formatCode>0.0000</c:formatCode>
                <c:ptCount val="6"/>
                <c:pt idx="0">
                  <c:v>4.321199577936561E-2</c:v>
                </c:pt>
                <c:pt idx="1">
                  <c:v>0.14932644696928848</c:v>
                </c:pt>
                <c:pt idx="2">
                  <c:v>6.7677328466173317E-2</c:v>
                </c:pt>
                <c:pt idx="3">
                  <c:v>0.15332365253896399</c:v>
                </c:pt>
                <c:pt idx="4">
                  <c:v>0.36028783063541198</c:v>
                </c:pt>
                <c:pt idx="5">
                  <c:v>0.226172745610797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5-BC48-AA60-8968AE68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BPCA_Model_500!$G$42:$L$42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BPCA_Model_500!$G$43:$L$43</c:f>
              <c:numCache>
                <c:formatCode>0.0000</c:formatCode>
                <c:ptCount val="6"/>
                <c:pt idx="0">
                  <c:v>3.669724770642202E-2</c:v>
                </c:pt>
                <c:pt idx="1">
                  <c:v>0.11235400415378827</c:v>
                </c:pt>
                <c:pt idx="2">
                  <c:v>5.5045871559633031E-2</c:v>
                </c:pt>
                <c:pt idx="3">
                  <c:v>0.14102187839711625</c:v>
                </c:pt>
                <c:pt idx="4">
                  <c:v>0.35382503135137555</c:v>
                </c:pt>
                <c:pt idx="5">
                  <c:v>0.3010559668316648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8E42-8ACD-16BA479CAE67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BPCA_Model_500!$G$45:$L$45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plus>
            <c:minus>
              <c:numRef>
                <c:f>BPCA_Model_500!$G$45:$L$45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BPCA_Model_500!$G$42:$L$42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BPCA_Model_500!$G$44:$L$44</c:f>
              <c:numCache>
                <c:formatCode>0.0000</c:formatCode>
                <c:ptCount val="6"/>
                <c:pt idx="0">
                  <c:v>3.6387734810022998E-2</c:v>
                </c:pt>
                <c:pt idx="1">
                  <c:v>0.11050796506756461</c:v>
                </c:pt>
                <c:pt idx="2">
                  <c:v>5.7585518231114477E-2</c:v>
                </c:pt>
                <c:pt idx="3">
                  <c:v>0.14211236193881485</c:v>
                </c:pt>
                <c:pt idx="4">
                  <c:v>0.35258252683498492</c:v>
                </c:pt>
                <c:pt idx="5">
                  <c:v>0.30082389311749813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8E42-8ACD-16BA479C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38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BPCA_Model_600!$G$42:$L$42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BPCA_Model_600!$G$43:$L$43</c:f>
              <c:numCache>
                <c:formatCode>0.0000</c:formatCode>
                <c:ptCount val="6"/>
                <c:pt idx="0">
                  <c:v>2.3076923076923082E-2</c:v>
                </c:pt>
                <c:pt idx="1">
                  <c:v>6.7455621301775154E-2</c:v>
                </c:pt>
                <c:pt idx="2">
                  <c:v>3.461538461538461E-2</c:v>
                </c:pt>
                <c:pt idx="3">
                  <c:v>0.13990384615384616</c:v>
                </c:pt>
                <c:pt idx="4">
                  <c:v>0.32435897435897437</c:v>
                </c:pt>
                <c:pt idx="5">
                  <c:v>0.41058925049309664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A-3C42-8756-2EA7097158B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BPCA_Model_600!$G$45:$L$45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plus>
            <c:minus>
              <c:numRef>
                <c:f>BPCA_Model_600!$G$45:$L$45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BPCA_Model_600!$G$42:$L$42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BPCA_Model_600!$G$44:$L$44</c:f>
              <c:numCache>
                <c:formatCode>0.0000</c:formatCode>
                <c:ptCount val="6"/>
                <c:pt idx="0">
                  <c:v>2.0070599778316559E-2</c:v>
                </c:pt>
                <c:pt idx="1">
                  <c:v>6.7155269359706268E-2</c:v>
                </c:pt>
                <c:pt idx="2">
                  <c:v>3.4547196647557121E-2</c:v>
                </c:pt>
                <c:pt idx="3">
                  <c:v>0.1300441334632115</c:v>
                </c:pt>
                <c:pt idx="4">
                  <c:v>0.3249240329328747</c:v>
                </c:pt>
                <c:pt idx="5">
                  <c:v>0.42325876781833377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A-3C42-8756-2EA70971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3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BPCA_Model_700!$G$42:$L$42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BPCA_Model_700!$G$43:$L$43</c:f>
              <c:numCache>
                <c:formatCode>0.0000</c:formatCode>
                <c:ptCount val="6"/>
                <c:pt idx="0">
                  <c:v>1.7045454545454544E-2</c:v>
                </c:pt>
                <c:pt idx="1">
                  <c:v>2.4825174825174826E-2</c:v>
                </c:pt>
                <c:pt idx="2">
                  <c:v>5.681818181818182E-3</c:v>
                </c:pt>
                <c:pt idx="3">
                  <c:v>0.18746334310850443</c:v>
                </c:pt>
                <c:pt idx="4">
                  <c:v>0.31212121212121208</c:v>
                </c:pt>
                <c:pt idx="5">
                  <c:v>0.45286299721783596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1547-A395-4BDD36914C1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BPCA_Model_700!$G$45:$L$45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plus>
            <c:minus>
              <c:numRef>
                <c:f>BPCA_Model_700!$G$45:$L$45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BPCA_Model_700!$G$42:$L$42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BPCA_Model_700!$G$44:$L$44</c:f>
              <c:numCache>
                <c:formatCode>0.0000</c:formatCode>
                <c:ptCount val="6"/>
                <c:pt idx="0">
                  <c:v>1.7798234948509826E-2</c:v>
                </c:pt>
                <c:pt idx="1">
                  <c:v>2.6873957656278813E-2</c:v>
                </c:pt>
                <c:pt idx="2">
                  <c:v>7.4240498269105603E-3</c:v>
                </c:pt>
                <c:pt idx="3">
                  <c:v>9.9811377982015628E-2</c:v>
                </c:pt>
                <c:pt idx="4">
                  <c:v>0.30986523757109552</c:v>
                </c:pt>
                <c:pt idx="5">
                  <c:v>0.53822714201518951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2-1547-A395-4BDD3691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65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284741</xdr:colOff>
      <xdr:row>23</xdr:row>
      <xdr:rowOff>85014</xdr:rowOff>
    </xdr:from>
    <xdr:to>
      <xdr:col>2</xdr:col>
      <xdr:colOff>1415041</xdr:colOff>
      <xdr:row>24</xdr:row>
      <xdr:rowOff>507852</xdr:rowOff>
    </xdr:to>
    <xdr:pic>
      <xdr:nvPicPr>
        <xdr:cNvPr id="3" name="Picture 2" descr="Coronene - Wikipedia">
          <a:extLst>
            <a:ext uri="{FF2B5EF4-FFF2-40B4-BE49-F238E27FC236}">
              <a16:creationId xmlns:a16="http://schemas.microsoft.com/office/drawing/2014/main" id="{B6FEC7B3-DFAD-E045-975A-8066FE45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650" y="8697923"/>
          <a:ext cx="1130300" cy="109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91948</xdr:colOff>
      <xdr:row>10</xdr:row>
      <xdr:rowOff>167106</xdr:rowOff>
    </xdr:from>
    <xdr:to>
      <xdr:col>2</xdr:col>
      <xdr:colOff>1626834</xdr:colOff>
      <xdr:row>13</xdr:row>
      <xdr:rowOff>283488</xdr:rowOff>
    </xdr:to>
    <xdr:pic>
      <xdr:nvPicPr>
        <xdr:cNvPr id="5" name="Picture 4" descr="Retene | C18H18 | ChemSpider">
          <a:extLst>
            <a:ext uri="{FF2B5EF4-FFF2-40B4-BE49-F238E27FC236}">
              <a16:creationId xmlns:a16="http://schemas.microsoft.com/office/drawing/2014/main" id="{01E6C837-E376-329B-B928-6FE2B617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29" y="2463915"/>
          <a:ext cx="1534886" cy="15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217521</xdr:colOff>
      <xdr:row>13</xdr:row>
      <xdr:rowOff>83915</xdr:rowOff>
    </xdr:from>
    <xdr:to>
      <xdr:col>2</xdr:col>
      <xdr:colOff>1450253</xdr:colOff>
      <xdr:row>15</xdr:row>
      <xdr:rowOff>947</xdr:rowOff>
    </xdr:to>
    <xdr:pic>
      <xdr:nvPicPr>
        <xdr:cNvPr id="6" name="Picture 5" descr="Chrysene - Wikipedia">
          <a:extLst>
            <a:ext uri="{FF2B5EF4-FFF2-40B4-BE49-F238E27FC236}">
              <a16:creationId xmlns:a16="http://schemas.microsoft.com/office/drawing/2014/main" id="{380802E6-AE3E-534A-AD3B-AD4DFB4A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02" y="3799341"/>
          <a:ext cx="1232732" cy="72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225178</xdr:colOff>
      <xdr:row>15</xdr:row>
      <xdr:rowOff>28102</xdr:rowOff>
    </xdr:from>
    <xdr:to>
      <xdr:col>2</xdr:col>
      <xdr:colOff>1418833</xdr:colOff>
      <xdr:row>16</xdr:row>
      <xdr:rowOff>428292</xdr:rowOff>
    </xdr:to>
    <xdr:pic>
      <xdr:nvPicPr>
        <xdr:cNvPr id="7" name="Picture 6" descr="Pyrene - Wikipedia">
          <a:extLst>
            <a:ext uri="{FF2B5EF4-FFF2-40B4-BE49-F238E27FC236}">
              <a16:creationId xmlns:a16="http://schemas.microsoft.com/office/drawing/2014/main" id="{EFD4312F-7A07-5245-8EEB-1DFD9FA82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65" b="14805"/>
        <a:stretch/>
      </xdr:blipFill>
      <xdr:spPr bwMode="auto">
        <a:xfrm>
          <a:off x="2359859" y="4554166"/>
          <a:ext cx="1193655" cy="85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134358</xdr:colOff>
      <xdr:row>17</xdr:row>
      <xdr:rowOff>31659</xdr:rowOff>
    </xdr:from>
    <xdr:to>
      <xdr:col>2</xdr:col>
      <xdr:colOff>1629024</xdr:colOff>
      <xdr:row>18</xdr:row>
      <xdr:rowOff>425347</xdr:rowOff>
    </xdr:to>
    <xdr:pic>
      <xdr:nvPicPr>
        <xdr:cNvPr id="8" name="Picture 7" descr="1-Nitropyrene - Wikipedia">
          <a:extLst>
            <a:ext uri="{FF2B5EF4-FFF2-40B4-BE49-F238E27FC236}">
              <a16:creationId xmlns:a16="http://schemas.microsoft.com/office/drawing/2014/main" id="{CEA7123E-CD91-26D0-E990-7F385FAF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267" y="5481114"/>
          <a:ext cx="1494666" cy="843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259387</xdr:colOff>
      <xdr:row>18</xdr:row>
      <xdr:rowOff>415638</xdr:rowOff>
    </xdr:from>
    <xdr:to>
      <xdr:col>2</xdr:col>
      <xdr:colOff>1445274</xdr:colOff>
      <xdr:row>21</xdr:row>
      <xdr:rowOff>87363</xdr:rowOff>
    </xdr:to>
    <xdr:pic>
      <xdr:nvPicPr>
        <xdr:cNvPr id="10" name="Picture 9" descr="Perylene | C20H12 | ChemSpider">
          <a:extLst>
            <a:ext uri="{FF2B5EF4-FFF2-40B4-BE49-F238E27FC236}">
              <a16:creationId xmlns:a16="http://schemas.microsoft.com/office/drawing/2014/main" id="{9193DEA1-232C-A24E-B784-9DB52CE8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296" y="6315365"/>
          <a:ext cx="1185887" cy="1184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291697</xdr:colOff>
      <xdr:row>21</xdr:row>
      <xdr:rowOff>54111</xdr:rowOff>
    </xdr:from>
    <xdr:ext cx="1036052" cy="1012689"/>
    <xdr:pic>
      <xdr:nvPicPr>
        <xdr:cNvPr id="11" name="Picture 10" descr="Benzo(ghi)perylene - Wikipedia">
          <a:extLst>
            <a:ext uri="{FF2B5EF4-FFF2-40B4-BE49-F238E27FC236}">
              <a16:creationId xmlns:a16="http://schemas.microsoft.com/office/drawing/2014/main" id="{371DE2C2-A111-DE41-B26F-077B1E16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7606" y="7466293"/>
          <a:ext cx="1036052" cy="101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93384</xdr:colOff>
      <xdr:row>7</xdr:row>
      <xdr:rowOff>175041</xdr:rowOff>
    </xdr:from>
    <xdr:to>
      <xdr:col>2</xdr:col>
      <xdr:colOff>1587386</xdr:colOff>
      <xdr:row>8</xdr:row>
      <xdr:rowOff>328393</xdr:rowOff>
    </xdr:to>
    <xdr:pic>
      <xdr:nvPicPr>
        <xdr:cNvPr id="9" name="Picture 8" descr="Anthracene ReagentPlus�, 99 120-12-7">
          <a:extLst>
            <a:ext uri="{FF2B5EF4-FFF2-40B4-BE49-F238E27FC236}">
              <a16:creationId xmlns:a16="http://schemas.microsoft.com/office/drawing/2014/main" id="{4FE32FAD-D8B4-A559-BBDE-F0517360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65" y="1188339"/>
          <a:ext cx="1494002" cy="585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338667</xdr:colOff>
      <xdr:row>9</xdr:row>
      <xdr:rowOff>104790</xdr:rowOff>
    </xdr:from>
    <xdr:to>
      <xdr:col>2</xdr:col>
      <xdr:colOff>1530680</xdr:colOff>
      <xdr:row>10</xdr:row>
      <xdr:rowOff>304799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3A9146E-F11D-2403-E984-EB1C775A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267" y="2407723"/>
          <a:ext cx="1192013" cy="62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196122-5367-9C40-A8D2-7F4E90C0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C776-7339-E843-9A9F-FFFCE7A6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67FEC-F2EB-1F48-AEDB-4693BEC8B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44709-6546-0D47-B17E-0BEE907B2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slopubs.onlinelibrary.wiley.com/doi/abs/10.4319/lom.2011.9.1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3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4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5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086-441D-6449-8E0C-DC26DBD205B3}">
  <sheetPr codeName="Sheet1"/>
  <dimension ref="B1:R43"/>
  <sheetViews>
    <sheetView zoomScale="81" zoomScaleNormal="100" workbookViewId="0">
      <selection activeCell="B1" sqref="B1"/>
    </sheetView>
  </sheetViews>
  <sheetFormatPr baseColWidth="10" defaultColWidth="10.83203125" defaultRowHeight="16"/>
  <cols>
    <col min="1" max="1" width="10.83203125" style="2"/>
    <col min="2" max="2" width="17.1640625" style="3" bestFit="1" customWidth="1"/>
    <col min="3" max="3" width="22.33203125" style="3" customWidth="1"/>
    <col min="4" max="5" width="10.83203125" style="3"/>
    <col min="6" max="6" width="15.1640625" style="3" bestFit="1" customWidth="1"/>
    <col min="7" max="7" width="14.33203125" style="3" customWidth="1"/>
    <col min="8" max="8" width="9.6640625" style="2" bestFit="1" customWidth="1"/>
    <col min="9" max="9" width="9.83203125" style="2" bestFit="1" customWidth="1"/>
    <col min="10" max="10" width="10" style="2" bestFit="1" customWidth="1"/>
    <col min="11" max="11" width="9.83203125" style="2" bestFit="1" customWidth="1"/>
    <col min="12" max="12" width="8.1640625" style="2" customWidth="1"/>
    <col min="13" max="13" width="6.5" style="2" bestFit="1" customWidth="1"/>
    <col min="14" max="16384" width="10.83203125" style="2"/>
  </cols>
  <sheetData>
    <row r="1" spans="2:18"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8">
      <c r="B3" s="4" t="s">
        <v>1</v>
      </c>
      <c r="C3" s="8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2:18">
      <c r="B4" s="4"/>
      <c r="C4" s="8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8">
      <c r="B5" s="9"/>
      <c r="C5" s="7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2:18">
      <c r="B6" s="103" t="s">
        <v>4</v>
      </c>
      <c r="C6" s="98" t="s">
        <v>5</v>
      </c>
      <c r="D6" s="98" t="s">
        <v>6</v>
      </c>
      <c r="E6" s="98" t="s">
        <v>7</v>
      </c>
      <c r="F6" s="98" t="s">
        <v>8</v>
      </c>
      <c r="G6" s="98" t="s">
        <v>9</v>
      </c>
      <c r="H6" s="110" t="str">
        <f>HYPERLINK("#BPCA!B5","BPCA types")</f>
        <v>BPCA types</v>
      </c>
      <c r="I6" s="110"/>
      <c r="J6" s="110"/>
      <c r="K6" s="110"/>
      <c r="L6" s="110"/>
      <c r="M6" s="111"/>
    </row>
    <row r="7" spans="2:18">
      <c r="B7" s="104"/>
      <c r="C7" s="99"/>
      <c r="D7" s="99"/>
      <c r="E7" s="99"/>
      <c r="F7" s="99"/>
      <c r="G7" s="99"/>
      <c r="H7" s="63" t="s">
        <v>134</v>
      </c>
      <c r="I7" s="63" t="s">
        <v>127</v>
      </c>
      <c r="J7" s="63" t="s">
        <v>129</v>
      </c>
      <c r="K7" s="63" t="s">
        <v>130</v>
      </c>
      <c r="L7" s="12" t="s">
        <v>10</v>
      </c>
      <c r="M7" s="15" t="s">
        <v>11</v>
      </c>
    </row>
    <row r="8" spans="2:18" ht="34" customHeight="1">
      <c r="B8" s="102" t="s">
        <v>12</v>
      </c>
      <c r="C8" s="101"/>
      <c r="D8" s="101">
        <v>14</v>
      </c>
      <c r="E8" s="101">
        <v>94.4</v>
      </c>
      <c r="F8" s="101">
        <v>24.2</v>
      </c>
      <c r="G8" s="14" t="s">
        <v>13</v>
      </c>
      <c r="H8" s="14">
        <v>100</v>
      </c>
      <c r="I8" s="14"/>
      <c r="J8" s="14"/>
      <c r="K8" s="14"/>
      <c r="L8" s="14"/>
      <c r="M8" s="16"/>
    </row>
    <row r="9" spans="2:18" ht="34" customHeight="1">
      <c r="B9" s="102"/>
      <c r="C9" s="101"/>
      <c r="D9" s="101"/>
      <c r="E9" s="101"/>
      <c r="F9" s="101"/>
      <c r="G9" s="14" t="s">
        <v>14</v>
      </c>
      <c r="H9" s="17">
        <f>2/3*100</f>
        <v>66.666666666666657</v>
      </c>
      <c r="I9" s="17"/>
      <c r="J9" s="17"/>
      <c r="K9" s="17"/>
      <c r="L9" s="17">
        <f>1/3*100</f>
        <v>33.333333333333329</v>
      </c>
      <c r="M9" s="16"/>
    </row>
    <row r="10" spans="2:18" ht="33" customHeight="1">
      <c r="B10" s="107" t="s">
        <v>15</v>
      </c>
      <c r="C10" s="101"/>
      <c r="D10" s="101">
        <v>14</v>
      </c>
      <c r="E10" s="101">
        <v>94.4</v>
      </c>
      <c r="F10" s="101">
        <v>23.7</v>
      </c>
      <c r="G10" s="14" t="s">
        <v>13</v>
      </c>
      <c r="H10" s="14">
        <v>72.099999999999994</v>
      </c>
      <c r="I10" s="14"/>
      <c r="J10" s="14"/>
      <c r="K10" s="14">
        <v>27.9</v>
      </c>
      <c r="L10" s="17"/>
      <c r="M10" s="16"/>
    </row>
    <row r="11" spans="2:18" ht="33" customHeight="1">
      <c r="B11" s="107"/>
      <c r="C11" s="101"/>
      <c r="D11" s="101"/>
      <c r="E11" s="101"/>
      <c r="F11" s="101"/>
      <c r="G11" s="14" t="s">
        <v>14</v>
      </c>
      <c r="H11" s="17">
        <f>2/3*100</f>
        <v>66.666666666666657</v>
      </c>
      <c r="I11" s="14"/>
      <c r="J11" s="14"/>
      <c r="K11" s="17">
        <f>1/3*100</f>
        <v>33.333333333333329</v>
      </c>
      <c r="L11" s="14"/>
      <c r="M11" s="16"/>
    </row>
    <row r="12" spans="2:18" ht="39" customHeight="1">
      <c r="B12" s="107" t="s">
        <v>16</v>
      </c>
      <c r="C12" s="101"/>
      <c r="D12" s="101">
        <v>18</v>
      </c>
      <c r="E12" s="101">
        <v>92.3</v>
      </c>
      <c r="F12" s="101">
        <v>29.3</v>
      </c>
      <c r="G12" s="14" t="s">
        <v>13</v>
      </c>
      <c r="H12" s="14"/>
      <c r="I12" s="14">
        <f>62.4/2</f>
        <v>31.2</v>
      </c>
      <c r="J12" s="14">
        <f>62.4/2</f>
        <v>31.2</v>
      </c>
      <c r="K12" s="14">
        <v>35.4</v>
      </c>
      <c r="L12" s="14"/>
      <c r="M12" s="16"/>
    </row>
    <row r="13" spans="2:18" ht="39" customHeight="1">
      <c r="B13" s="107"/>
      <c r="C13" s="101"/>
      <c r="D13" s="101"/>
      <c r="E13" s="101"/>
      <c r="F13" s="101"/>
      <c r="G13" s="14" t="s">
        <v>14</v>
      </c>
      <c r="H13" s="14"/>
      <c r="I13" s="17">
        <f>1/3*100</f>
        <v>33.333333333333329</v>
      </c>
      <c r="J13" s="17">
        <f>1/3*100</f>
        <v>33.333333333333329</v>
      </c>
      <c r="K13" s="17">
        <f>1/3*100</f>
        <v>33.333333333333329</v>
      </c>
      <c r="L13" s="14"/>
      <c r="M13" s="16"/>
    </row>
    <row r="14" spans="2:18" ht="32" customHeight="1">
      <c r="B14" s="107" t="s">
        <v>17</v>
      </c>
      <c r="C14" s="101"/>
      <c r="D14" s="101">
        <v>18</v>
      </c>
      <c r="E14" s="101">
        <v>94.7</v>
      </c>
      <c r="F14" s="101">
        <v>21.5</v>
      </c>
      <c r="G14" s="14" t="s">
        <v>13</v>
      </c>
      <c r="H14" s="14">
        <v>64.400000000000006</v>
      </c>
      <c r="I14" s="14"/>
      <c r="J14" s="14"/>
      <c r="K14" s="14">
        <v>35.6</v>
      </c>
      <c r="L14" s="14"/>
      <c r="M14" s="16"/>
    </row>
    <row r="15" spans="2:18" ht="32" customHeight="1">
      <c r="B15" s="107"/>
      <c r="C15" s="101"/>
      <c r="D15" s="101"/>
      <c r="E15" s="101"/>
      <c r="F15" s="101"/>
      <c r="G15" s="14" t="s">
        <v>14</v>
      </c>
      <c r="H15" s="14">
        <f>2/4*100</f>
        <v>50</v>
      </c>
      <c r="I15" s="14"/>
      <c r="J15" s="14"/>
      <c r="K15" s="14">
        <f>2/4*100</f>
        <v>50</v>
      </c>
      <c r="L15" s="14"/>
      <c r="M15" s="16"/>
    </row>
    <row r="16" spans="2:18" ht="36" customHeight="1">
      <c r="B16" s="102" t="s">
        <v>18</v>
      </c>
      <c r="C16" s="101"/>
      <c r="D16" s="101">
        <v>16</v>
      </c>
      <c r="E16" s="101">
        <v>95</v>
      </c>
      <c r="F16" s="101">
        <v>37</v>
      </c>
      <c r="G16" s="14" t="s">
        <v>13</v>
      </c>
      <c r="H16" s="14"/>
      <c r="I16" s="14"/>
      <c r="J16" s="14">
        <v>18.8</v>
      </c>
      <c r="K16" s="14">
        <v>79.3</v>
      </c>
      <c r="L16" s="14"/>
      <c r="M16" s="16"/>
      <c r="R16" s="1"/>
    </row>
    <row r="17" spans="2:13" ht="36" customHeight="1">
      <c r="B17" s="102"/>
      <c r="C17" s="101"/>
      <c r="D17" s="101"/>
      <c r="E17" s="101"/>
      <c r="F17" s="101"/>
      <c r="G17" s="14" t="s">
        <v>14</v>
      </c>
      <c r="H17" s="14"/>
      <c r="I17" s="14"/>
      <c r="J17" s="14">
        <f>2/4*100</f>
        <v>50</v>
      </c>
      <c r="K17" s="14">
        <f>2/4*100</f>
        <v>50</v>
      </c>
      <c r="L17" s="14"/>
      <c r="M17" s="16"/>
    </row>
    <row r="18" spans="2:13" ht="35" customHeight="1">
      <c r="B18" s="102" t="s">
        <v>19</v>
      </c>
      <c r="C18" s="101"/>
      <c r="D18" s="101">
        <v>16</v>
      </c>
      <c r="E18" s="101">
        <v>77.400000000000006</v>
      </c>
      <c r="F18" s="101">
        <v>36.1</v>
      </c>
      <c r="G18" s="14" t="s">
        <v>13</v>
      </c>
      <c r="H18" s="14">
        <v>4</v>
      </c>
      <c r="I18" s="14"/>
      <c r="J18" s="14">
        <v>17.899999999999999</v>
      </c>
      <c r="K18" s="14">
        <v>78.099999999999994</v>
      </c>
      <c r="L18" s="14"/>
      <c r="M18" s="16"/>
    </row>
    <row r="19" spans="2:13" ht="35" customHeight="1">
      <c r="B19" s="102"/>
      <c r="C19" s="101"/>
      <c r="D19" s="101"/>
      <c r="E19" s="101"/>
      <c r="F19" s="101"/>
      <c r="G19" s="14" t="s">
        <v>14</v>
      </c>
      <c r="H19" s="14"/>
      <c r="I19" s="14"/>
      <c r="J19" s="14">
        <f>2/4*100</f>
        <v>50</v>
      </c>
      <c r="K19" s="14">
        <f>2/4*100</f>
        <v>50</v>
      </c>
      <c r="L19" s="14"/>
      <c r="M19" s="16"/>
    </row>
    <row r="20" spans="2:13" ht="42" customHeight="1">
      <c r="B20" s="107" t="s">
        <v>20</v>
      </c>
      <c r="C20" s="101"/>
      <c r="D20" s="101">
        <v>20</v>
      </c>
      <c r="E20" s="101">
        <v>95.2</v>
      </c>
      <c r="F20" s="101">
        <v>22.5</v>
      </c>
      <c r="G20" s="14" t="s">
        <v>13</v>
      </c>
      <c r="H20" s="14"/>
      <c r="I20" s="14"/>
      <c r="J20" s="14">
        <v>80.3</v>
      </c>
      <c r="K20" s="14"/>
      <c r="L20" s="14"/>
      <c r="M20" s="16">
        <v>19.7</v>
      </c>
    </row>
    <row r="21" spans="2:13" ht="42" customHeight="1">
      <c r="B21" s="107"/>
      <c r="C21" s="101"/>
      <c r="D21" s="101"/>
      <c r="E21" s="101"/>
      <c r="F21" s="101"/>
      <c r="G21" s="14" t="s">
        <v>14</v>
      </c>
      <c r="H21" s="14"/>
      <c r="I21" s="14"/>
      <c r="J21" s="14">
        <f>4/5*100</f>
        <v>80</v>
      </c>
      <c r="K21" s="14"/>
      <c r="L21" s="14"/>
      <c r="M21" s="16">
        <f>1/5*100</f>
        <v>20</v>
      </c>
    </row>
    <row r="22" spans="2:13" ht="47" customHeight="1">
      <c r="B22" s="102" t="s">
        <v>21</v>
      </c>
      <c r="C22" s="101"/>
      <c r="D22" s="101">
        <v>22</v>
      </c>
      <c r="E22" s="101">
        <v>95.5</v>
      </c>
      <c r="F22" s="101">
        <v>22.5</v>
      </c>
      <c r="G22" s="14" t="s">
        <v>13</v>
      </c>
      <c r="H22" s="14"/>
      <c r="I22" s="14"/>
      <c r="J22" s="14">
        <v>6.9</v>
      </c>
      <c r="K22" s="14">
        <v>53.1</v>
      </c>
      <c r="L22" s="14"/>
      <c r="M22" s="16">
        <v>40</v>
      </c>
    </row>
    <row r="23" spans="2:13" ht="47" customHeight="1">
      <c r="B23" s="102"/>
      <c r="C23" s="101"/>
      <c r="D23" s="101"/>
      <c r="E23" s="101"/>
      <c r="F23" s="101"/>
      <c r="G23" s="14" t="s">
        <v>14</v>
      </c>
      <c r="H23" s="14"/>
      <c r="I23" s="14"/>
      <c r="J23" s="17">
        <f>2/6*100</f>
        <v>33.333333333333329</v>
      </c>
      <c r="K23" s="14">
        <f>3/6*100</f>
        <v>50</v>
      </c>
      <c r="L23" s="14"/>
      <c r="M23" s="18">
        <f>1/6*100</f>
        <v>16.666666666666664</v>
      </c>
    </row>
    <row r="24" spans="2:13" ht="53" customHeight="1">
      <c r="B24" s="102" t="s">
        <v>22</v>
      </c>
      <c r="C24" s="101"/>
      <c r="D24" s="101">
        <v>24</v>
      </c>
      <c r="E24" s="101">
        <v>96</v>
      </c>
      <c r="F24" s="101">
        <v>19.5</v>
      </c>
      <c r="G24" s="14" t="s">
        <v>13</v>
      </c>
      <c r="H24" s="14"/>
      <c r="I24" s="14"/>
      <c r="J24" s="14"/>
      <c r="K24" s="14">
        <v>67.400000000000006</v>
      </c>
      <c r="L24" s="14"/>
      <c r="M24" s="16">
        <v>32.6</v>
      </c>
    </row>
    <row r="25" spans="2:13" ht="53" customHeight="1">
      <c r="B25" s="102"/>
      <c r="C25" s="101"/>
      <c r="D25" s="101"/>
      <c r="E25" s="101"/>
      <c r="F25" s="101"/>
      <c r="G25" s="14" t="s">
        <v>14</v>
      </c>
      <c r="H25" s="14"/>
      <c r="I25" s="14"/>
      <c r="J25" s="14"/>
      <c r="K25" s="19">
        <f>6/7*100</f>
        <v>85.714285714285708</v>
      </c>
      <c r="L25" s="19"/>
      <c r="M25" s="20">
        <f>1/7*100</f>
        <v>14.285714285714285</v>
      </c>
    </row>
    <row r="26" spans="2:13">
      <c r="B26" s="21"/>
      <c r="C26" s="22"/>
      <c r="D26" s="22"/>
      <c r="E26" s="22" t="s">
        <v>23</v>
      </c>
      <c r="F26" s="22">
        <v>25.7</v>
      </c>
      <c r="G26" s="22"/>
      <c r="H26" s="22"/>
      <c r="I26" s="22"/>
      <c r="J26" s="22"/>
      <c r="K26" s="22"/>
      <c r="L26" s="22"/>
      <c r="M26" s="23"/>
    </row>
    <row r="30" spans="2:13">
      <c r="B30" s="100" t="s">
        <v>24</v>
      </c>
      <c r="C30" s="100"/>
      <c r="D30" s="100"/>
      <c r="E30" s="100"/>
      <c r="F30" s="100"/>
      <c r="G30" s="100"/>
      <c r="H30" s="100"/>
      <c r="I30" s="100"/>
      <c r="J30" s="100"/>
    </row>
    <row r="31" spans="2:13" ht="16" customHeight="1">
      <c r="B31" s="109" t="s">
        <v>25</v>
      </c>
      <c r="C31" s="109"/>
      <c r="D31" s="109"/>
      <c r="E31" s="109"/>
      <c r="F31" s="109"/>
      <c r="G31" s="109"/>
      <c r="H31" s="109"/>
      <c r="I31" s="109"/>
      <c r="J31" s="109"/>
      <c r="K31" s="109"/>
    </row>
    <row r="32" spans="2:13">
      <c r="B32" s="109"/>
      <c r="C32" s="109"/>
      <c r="D32" s="109"/>
      <c r="E32" s="109"/>
      <c r="F32" s="109"/>
      <c r="G32" s="109"/>
      <c r="H32" s="109"/>
      <c r="I32" s="109"/>
      <c r="J32" s="109"/>
      <c r="K32" s="109"/>
    </row>
    <row r="33" spans="2:11">
      <c r="B33" s="109"/>
      <c r="C33" s="109"/>
      <c r="D33" s="109"/>
      <c r="E33" s="109"/>
      <c r="F33" s="109"/>
      <c r="G33" s="109"/>
      <c r="H33" s="109"/>
      <c r="I33" s="109"/>
      <c r="J33" s="109"/>
      <c r="K33" s="109"/>
    </row>
    <row r="34" spans="2:11">
      <c r="B34" s="2"/>
      <c r="C34" s="2"/>
      <c r="D34" s="2"/>
      <c r="E34" s="2"/>
      <c r="F34" s="2"/>
      <c r="G34" s="2"/>
    </row>
    <row r="35" spans="2:11">
      <c r="B35" s="112" t="s">
        <v>26</v>
      </c>
      <c r="C35" s="112"/>
      <c r="D35" s="112"/>
      <c r="E35" s="112"/>
      <c r="F35" s="112"/>
      <c r="G35" s="112"/>
      <c r="H35" s="112"/>
      <c r="I35" s="112"/>
      <c r="J35" s="112"/>
    </row>
    <row r="36" spans="2:11" ht="16" customHeight="1">
      <c r="B36" s="108" t="s">
        <v>124</v>
      </c>
      <c r="C36" s="108"/>
      <c r="D36" s="108"/>
      <c r="E36" s="108"/>
      <c r="F36" s="108"/>
      <c r="G36" s="108"/>
      <c r="H36" s="108"/>
      <c r="I36" s="108"/>
      <c r="J36" s="108"/>
      <c r="K36" s="108"/>
    </row>
    <row r="37" spans="2:11">
      <c r="B37" s="108"/>
      <c r="C37" s="108"/>
      <c r="D37" s="108"/>
      <c r="E37" s="108"/>
      <c r="F37" s="108"/>
      <c r="G37" s="108"/>
      <c r="H37" s="108"/>
      <c r="I37" s="108"/>
      <c r="J37" s="108"/>
      <c r="K37" s="108"/>
    </row>
    <row r="38" spans="2:11">
      <c r="B38" s="105" t="s">
        <v>27</v>
      </c>
      <c r="C38" s="105"/>
      <c r="D38" s="105"/>
      <c r="E38" s="105"/>
      <c r="F38" s="105"/>
      <c r="G38" s="105"/>
      <c r="H38" s="105"/>
      <c r="I38" s="105"/>
      <c r="J38" s="105"/>
    </row>
    <row r="39" spans="2:11" ht="35" customHeight="1">
      <c r="B39" s="106" t="s">
        <v>28</v>
      </c>
      <c r="C39" s="106"/>
      <c r="D39" s="106"/>
      <c r="E39" s="106"/>
      <c r="F39" s="106"/>
      <c r="G39" s="106"/>
      <c r="H39" s="106"/>
      <c r="I39" s="106"/>
      <c r="J39" s="106"/>
      <c r="K39" s="106"/>
    </row>
    <row r="40" spans="2:11">
      <c r="B40" s="105" t="s">
        <v>125</v>
      </c>
      <c r="C40" s="105"/>
      <c r="D40" s="105"/>
      <c r="E40" s="105"/>
      <c r="F40" s="105"/>
      <c r="G40" s="105"/>
      <c r="H40" s="105"/>
      <c r="I40" s="105"/>
      <c r="J40" s="105"/>
      <c r="K40" s="105"/>
    </row>
    <row r="41" spans="2:11">
      <c r="B41" s="106" t="s">
        <v>29</v>
      </c>
      <c r="C41" s="106"/>
      <c r="D41" s="106"/>
      <c r="E41" s="106"/>
      <c r="F41" s="106"/>
      <c r="G41" s="106"/>
      <c r="H41" s="106"/>
      <c r="I41" s="106"/>
      <c r="J41" s="106"/>
      <c r="K41" s="106"/>
    </row>
    <row r="42" spans="2:11">
      <c r="B42" s="106"/>
      <c r="C42" s="106"/>
      <c r="D42" s="106"/>
      <c r="E42" s="106"/>
      <c r="F42" s="106"/>
      <c r="G42" s="106"/>
      <c r="H42" s="106"/>
      <c r="I42" s="106"/>
      <c r="J42" s="106"/>
      <c r="K42" s="106"/>
    </row>
    <row r="43" spans="2:11">
      <c r="B43" s="106"/>
      <c r="C43" s="106"/>
      <c r="D43" s="106"/>
      <c r="E43" s="106"/>
      <c r="F43" s="106"/>
      <c r="G43" s="106"/>
      <c r="H43" s="106"/>
      <c r="I43" s="106"/>
      <c r="J43" s="106"/>
      <c r="K43" s="106"/>
    </row>
  </sheetData>
  <mergeCells count="60">
    <mergeCell ref="D10:D11"/>
    <mergeCell ref="E10:E11"/>
    <mergeCell ref="F10:F11"/>
    <mergeCell ref="B16:B17"/>
    <mergeCell ref="F16:F17"/>
    <mergeCell ref="E16:E17"/>
    <mergeCell ref="D16:D17"/>
    <mergeCell ref="C16:C17"/>
    <mergeCell ref="B14:B15"/>
    <mergeCell ref="F14:F15"/>
    <mergeCell ref="E14:E15"/>
    <mergeCell ref="D14:D15"/>
    <mergeCell ref="C14:C15"/>
    <mergeCell ref="B41:K43"/>
    <mergeCell ref="H6:M6"/>
    <mergeCell ref="B8:B9"/>
    <mergeCell ref="D8:D9"/>
    <mergeCell ref="E8:E9"/>
    <mergeCell ref="C8:C9"/>
    <mergeCell ref="F8:F9"/>
    <mergeCell ref="B35:J35"/>
    <mergeCell ref="B38:J38"/>
    <mergeCell ref="B12:B13"/>
    <mergeCell ref="C12:C13"/>
    <mergeCell ref="F12:F13"/>
    <mergeCell ref="E12:E13"/>
    <mergeCell ref="D12:D13"/>
    <mergeCell ref="B10:B11"/>
    <mergeCell ref="C10:C11"/>
    <mergeCell ref="D18:D19"/>
    <mergeCell ref="C18:C19"/>
    <mergeCell ref="B40:K40"/>
    <mergeCell ref="B39:K39"/>
    <mergeCell ref="F22:F23"/>
    <mergeCell ref="E22:E23"/>
    <mergeCell ref="D22:D23"/>
    <mergeCell ref="F20:F21"/>
    <mergeCell ref="E20:E21"/>
    <mergeCell ref="D20:D21"/>
    <mergeCell ref="C20:C21"/>
    <mergeCell ref="B20:B21"/>
    <mergeCell ref="B18:B19"/>
    <mergeCell ref="B36:K37"/>
    <mergeCell ref="B31:K33"/>
    <mergeCell ref="G6:G7"/>
    <mergeCell ref="B30:J30"/>
    <mergeCell ref="C22:C23"/>
    <mergeCell ref="C24:C25"/>
    <mergeCell ref="B24:B25"/>
    <mergeCell ref="B22:B23"/>
    <mergeCell ref="F24:F25"/>
    <mergeCell ref="E24:E25"/>
    <mergeCell ref="D24:D25"/>
    <mergeCell ref="F18:F19"/>
    <mergeCell ref="B6:B7"/>
    <mergeCell ref="C6:C7"/>
    <mergeCell ref="D6:D7"/>
    <mergeCell ref="E6:E7"/>
    <mergeCell ref="F6:F7"/>
    <mergeCell ref="E18:E19"/>
  </mergeCells>
  <hyperlinks>
    <hyperlink ref="C3" r:id="rId1" xr:uid="{63B72AE5-4AD0-934A-BE7B-D1600FAA98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ABCA-5C43-BE44-A746-9CF55D0E4D06}">
  <sheetPr codeName="Sheet3"/>
  <dimension ref="B2:R48"/>
  <sheetViews>
    <sheetView workbookViewId="0">
      <selection activeCell="F43" sqref="F43"/>
    </sheetView>
  </sheetViews>
  <sheetFormatPr baseColWidth="10" defaultColWidth="10.83203125" defaultRowHeight="16"/>
  <cols>
    <col min="1" max="1" width="8.6640625" style="2" customWidth="1"/>
    <col min="2" max="2" width="24" style="2" bestFit="1" customWidth="1"/>
    <col min="3" max="3" width="10.1640625" style="10" bestFit="1" customWidth="1"/>
    <col min="4" max="4" width="12.33203125" style="10" bestFit="1" customWidth="1"/>
    <col min="5" max="5" width="9.6640625" style="2" bestFit="1" customWidth="1"/>
    <col min="6" max="6" width="11" style="2" bestFit="1" customWidth="1"/>
    <col min="7" max="7" width="11.83203125" style="45" bestFit="1" customWidth="1"/>
    <col min="8" max="8" width="11" style="2" bestFit="1" customWidth="1"/>
    <col min="9" max="9" width="78.33203125" style="2" bestFit="1" customWidth="1"/>
    <col min="10" max="16384" width="10.83203125" style="2"/>
  </cols>
  <sheetData>
    <row r="2" spans="2:18">
      <c r="B2" s="26" t="s">
        <v>30</v>
      </c>
      <c r="C2" s="27" t="s">
        <v>38</v>
      </c>
      <c r="D2" s="27" t="s">
        <v>39</v>
      </c>
      <c r="E2" s="28" t="s">
        <v>40</v>
      </c>
      <c r="F2" s="29" t="s">
        <v>41</v>
      </c>
      <c r="G2" s="28" t="s">
        <v>42</v>
      </c>
      <c r="H2" s="30" t="s">
        <v>43</v>
      </c>
      <c r="I2" s="13" t="s">
        <v>44</v>
      </c>
    </row>
    <row r="3" spans="2:18">
      <c r="B3" s="31" t="s">
        <v>31</v>
      </c>
      <c r="C3" s="32" t="s">
        <v>133</v>
      </c>
      <c r="D3" s="32" t="s">
        <v>134</v>
      </c>
      <c r="E3" s="33">
        <v>4.321199577936561E-2</v>
      </c>
      <c r="F3" s="33">
        <v>3.6387734810022998E-2</v>
      </c>
      <c r="G3" s="33">
        <v>2.0070599778316559E-2</v>
      </c>
      <c r="H3" s="34">
        <v>1.7798234948509826E-2</v>
      </c>
      <c r="I3" s="52" t="s">
        <v>106</v>
      </c>
      <c r="P3" s="48"/>
      <c r="Q3" s="45"/>
      <c r="R3" s="48"/>
    </row>
    <row r="4" spans="2:18">
      <c r="B4" s="35" t="s">
        <v>32</v>
      </c>
      <c r="C4" s="32" t="s">
        <v>127</v>
      </c>
      <c r="D4" s="36" t="s">
        <v>127</v>
      </c>
      <c r="E4" s="33">
        <v>4.2329257225562467E-2</v>
      </c>
      <c r="F4" s="33">
        <v>4.4636780737949994E-2</v>
      </c>
      <c r="G4" s="33">
        <v>3.6991694274753913E-2</v>
      </c>
      <c r="H4" s="34">
        <v>2.4694548368630526E-2</v>
      </c>
      <c r="P4" s="48"/>
      <c r="Q4" s="45"/>
      <c r="R4" s="48"/>
    </row>
    <row r="5" spans="2:18">
      <c r="B5" s="31" t="s">
        <v>33</v>
      </c>
      <c r="C5" s="36" t="s">
        <v>128</v>
      </c>
      <c r="D5" s="36" t="s">
        <v>127</v>
      </c>
      <c r="E5" s="33">
        <v>0.10699718974372603</v>
      </c>
      <c r="F5" s="33">
        <v>6.5871184329614613E-2</v>
      </c>
      <c r="G5" s="33">
        <v>3.0163575084952359E-2</v>
      </c>
      <c r="H5" s="34">
        <v>2.1794092876482856E-3</v>
      </c>
      <c r="I5" s="2" t="s">
        <v>106</v>
      </c>
      <c r="P5" s="48"/>
      <c r="Q5" s="45"/>
      <c r="R5" s="48"/>
    </row>
    <row r="6" spans="2:18">
      <c r="B6" s="35" t="s">
        <v>34</v>
      </c>
      <c r="C6" s="32" t="s">
        <v>129</v>
      </c>
      <c r="D6" s="32" t="s">
        <v>129</v>
      </c>
      <c r="E6" s="33">
        <v>6.7677328466173317E-2</v>
      </c>
      <c r="F6" s="33">
        <v>5.7585518231114477E-2</v>
      </c>
      <c r="G6" s="33">
        <v>3.4547196647557121E-2</v>
      </c>
      <c r="H6" s="34">
        <v>7.4240498269105603E-3</v>
      </c>
      <c r="P6" s="48"/>
      <c r="Q6" s="45"/>
      <c r="R6" s="48"/>
    </row>
    <row r="7" spans="2:18" ht="15" customHeight="1">
      <c r="B7" s="35" t="s">
        <v>35</v>
      </c>
      <c r="C7" s="32" t="s">
        <v>130</v>
      </c>
      <c r="D7" s="32" t="s">
        <v>130</v>
      </c>
      <c r="E7" s="33">
        <f>0.153323652538964</f>
        <v>0.15332365253896399</v>
      </c>
      <c r="F7" s="33">
        <v>0.14211236193881485</v>
      </c>
      <c r="G7" s="33">
        <v>0.1300441334632115</v>
      </c>
      <c r="H7" s="34">
        <v>9.9811377982015628E-2</v>
      </c>
      <c r="P7" s="48"/>
      <c r="Q7" s="45"/>
      <c r="R7" s="48"/>
    </row>
    <row r="8" spans="2:18">
      <c r="B8" s="37" t="s">
        <v>36</v>
      </c>
      <c r="C8" s="32" t="s">
        <v>131</v>
      </c>
      <c r="D8" s="32" t="s">
        <v>131</v>
      </c>
      <c r="E8" s="33">
        <f>0.360287830635412</f>
        <v>0.36028783063541198</v>
      </c>
      <c r="F8" s="33">
        <v>0.35258252683498492</v>
      </c>
      <c r="G8" s="33">
        <v>0.3249240329328747</v>
      </c>
      <c r="H8" s="34">
        <v>0.30986523757109552</v>
      </c>
      <c r="N8" s="45"/>
      <c r="O8" s="45"/>
    </row>
    <row r="9" spans="2:18">
      <c r="B9" s="37" t="s">
        <v>37</v>
      </c>
      <c r="C9" s="32" t="s">
        <v>132</v>
      </c>
      <c r="D9" s="32" t="s">
        <v>132</v>
      </c>
      <c r="E9" s="33">
        <f>0.226172745610797</f>
        <v>0.226172745610797</v>
      </c>
      <c r="F9" s="33">
        <v>0.30082389311749813</v>
      </c>
      <c r="G9" s="33">
        <v>0.42325876781833377</v>
      </c>
      <c r="H9" s="34">
        <v>0.53822714201518951</v>
      </c>
      <c r="N9" s="45"/>
      <c r="O9" s="45"/>
    </row>
    <row r="10" spans="2:18">
      <c r="B10" s="116" t="s">
        <v>45</v>
      </c>
      <c r="C10" s="117"/>
      <c r="D10" s="117"/>
      <c r="E10" s="38">
        <f>SUM(E3:E9)</f>
        <v>1.0000000000000002</v>
      </c>
      <c r="F10" s="38">
        <f t="shared" ref="F10:H10" si="0">SUM(F3:F9)</f>
        <v>1</v>
      </c>
      <c r="G10" s="38">
        <f t="shared" si="0"/>
        <v>0.99999999999999978</v>
      </c>
      <c r="H10" s="39">
        <f t="shared" si="0"/>
        <v>0.99999999999999989</v>
      </c>
      <c r="N10" s="45"/>
      <c r="O10" s="45"/>
    </row>
    <row r="11" spans="2:18">
      <c r="B11" s="13"/>
      <c r="C11" s="13"/>
      <c r="D11" s="13"/>
      <c r="E11" s="45"/>
      <c r="F11" s="45"/>
      <c r="H11" s="45"/>
      <c r="N11" s="45"/>
      <c r="O11" s="45"/>
    </row>
    <row r="12" spans="2:18">
      <c r="B12" s="125" t="s">
        <v>107</v>
      </c>
      <c r="C12" s="125"/>
      <c r="D12" s="125"/>
      <c r="E12" s="11">
        <f>E26+E27</f>
        <v>0.22000000000000003</v>
      </c>
      <c r="F12" s="11">
        <f>F26+F27</f>
        <v>6.6000000000000003E-2</v>
      </c>
      <c r="G12" s="11">
        <f t="shared" ref="G12:H12" si="1">G26+G27</f>
        <v>0.03</v>
      </c>
      <c r="H12" s="11">
        <f t="shared" si="1"/>
        <v>0.02</v>
      </c>
      <c r="N12" s="45"/>
      <c r="O12" s="45"/>
    </row>
    <row r="13" spans="2:18">
      <c r="B13" s="125" t="s">
        <v>108</v>
      </c>
      <c r="C13" s="125"/>
      <c r="D13" s="125"/>
      <c r="E13" s="11">
        <f>E3+E5</f>
        <v>0.15020918552309165</v>
      </c>
      <c r="F13" s="11">
        <f>F3+F5</f>
        <v>0.10225891913963761</v>
      </c>
      <c r="G13" s="11">
        <f>G3+G5</f>
        <v>5.0234174863268921E-2</v>
      </c>
      <c r="H13" s="11">
        <f>H3+H5</f>
        <v>1.997764423615811E-2</v>
      </c>
      <c r="N13" s="45"/>
      <c r="O13" s="45"/>
    </row>
    <row r="14" spans="2:18">
      <c r="B14" s="13"/>
      <c r="C14" s="13"/>
      <c r="D14" s="13"/>
      <c r="E14" s="45"/>
      <c r="F14" s="45"/>
      <c r="H14" s="45"/>
      <c r="N14" s="45"/>
      <c r="O14" s="45"/>
    </row>
    <row r="15" spans="2:18">
      <c r="B15" s="118" t="s">
        <v>46</v>
      </c>
      <c r="C15" s="119"/>
      <c r="D15" s="119"/>
      <c r="E15" s="119"/>
      <c r="F15" s="119"/>
      <c r="G15" s="119"/>
      <c r="H15" s="120"/>
      <c r="N15" s="45"/>
      <c r="O15" s="45"/>
    </row>
    <row r="16" spans="2:18">
      <c r="B16" s="40" t="s">
        <v>30</v>
      </c>
      <c r="C16" s="41" t="s">
        <v>38</v>
      </c>
      <c r="D16" s="41" t="s">
        <v>39</v>
      </c>
      <c r="E16" s="42" t="s">
        <v>40</v>
      </c>
      <c r="F16" s="43" t="s">
        <v>41</v>
      </c>
      <c r="G16" s="42" t="s">
        <v>42</v>
      </c>
      <c r="H16" s="44" t="s">
        <v>43</v>
      </c>
      <c r="N16" s="45"/>
      <c r="O16" s="45"/>
    </row>
    <row r="17" spans="2:18">
      <c r="B17" s="31" t="s">
        <v>31</v>
      </c>
      <c r="C17" s="32" t="s">
        <v>133</v>
      </c>
      <c r="D17" s="32" t="s">
        <v>134</v>
      </c>
      <c r="E17" s="33">
        <v>1.452008162960407E-3</v>
      </c>
      <c r="F17" s="33">
        <v>7.3890280749442793E-4</v>
      </c>
      <c r="G17" s="33">
        <v>8.1329800487500909E-4</v>
      </c>
      <c r="H17" s="34">
        <v>3.3752394696415617E-3</v>
      </c>
      <c r="N17" s="45"/>
      <c r="O17" s="45"/>
    </row>
    <row r="18" spans="2:18">
      <c r="B18" s="35" t="s">
        <v>32</v>
      </c>
      <c r="C18" s="32" t="s">
        <v>127</v>
      </c>
      <c r="D18" s="36" t="s">
        <v>127</v>
      </c>
      <c r="E18" s="33">
        <v>3.6399933731031862E-3</v>
      </c>
      <c r="F18" s="33">
        <v>1.32359954754977E-3</v>
      </c>
      <c r="G18" s="33">
        <v>3.8215538618423866E-3</v>
      </c>
      <c r="H18" s="34">
        <v>2.2123069970848654E-3</v>
      </c>
      <c r="N18" s="45"/>
      <c r="O18" s="45"/>
    </row>
    <row r="19" spans="2:18">
      <c r="B19" s="31" t="s">
        <v>33</v>
      </c>
      <c r="C19" s="36" t="s">
        <v>128</v>
      </c>
      <c r="D19" s="36" t="s">
        <v>127</v>
      </c>
      <c r="E19" s="33">
        <v>3.4369818044473206E-2</v>
      </c>
      <c r="F19" s="33">
        <v>4.725884096319171E-3</v>
      </c>
      <c r="G19" s="33">
        <v>2.8366255764284815E-3</v>
      </c>
      <c r="H19" s="34">
        <v>3.2976936043493065E-4</v>
      </c>
      <c r="N19" s="45"/>
      <c r="O19" s="45"/>
    </row>
    <row r="20" spans="2:18">
      <c r="B20" s="35" t="s">
        <v>34</v>
      </c>
      <c r="C20" s="32" t="s">
        <v>129</v>
      </c>
      <c r="D20" s="32" t="s">
        <v>129</v>
      </c>
      <c r="E20" s="33">
        <v>6.4134346735433378E-4</v>
      </c>
      <c r="F20" s="33">
        <v>4.44949241933013E-4</v>
      </c>
      <c r="G20" s="33">
        <v>1.4903963010309616E-3</v>
      </c>
      <c r="H20" s="34">
        <v>1.9634220262432674E-3</v>
      </c>
      <c r="N20" s="45"/>
      <c r="O20" s="45"/>
    </row>
    <row r="21" spans="2:18">
      <c r="B21" s="35" t="s">
        <v>35</v>
      </c>
      <c r="C21" s="32" t="s">
        <v>130</v>
      </c>
      <c r="D21" s="32" t="s">
        <v>130</v>
      </c>
      <c r="E21" s="33">
        <v>4.2218260434022901E-2</v>
      </c>
      <c r="F21" s="33">
        <v>4.3619769626533174E-3</v>
      </c>
      <c r="G21" s="33">
        <v>4.8679067158982174E-3</v>
      </c>
      <c r="H21" s="34">
        <v>1.5722680239762876E-2</v>
      </c>
      <c r="N21" s="45"/>
      <c r="O21" s="45"/>
    </row>
    <row r="22" spans="2:18">
      <c r="B22" s="37" t="s">
        <v>36</v>
      </c>
      <c r="C22" s="32" t="s">
        <v>131</v>
      </c>
      <c r="D22" s="32" t="s">
        <v>131</v>
      </c>
      <c r="E22" s="33">
        <v>2.7555996511292324E-2</v>
      </c>
      <c r="F22" s="33">
        <v>5.1746708639145347E-3</v>
      </c>
      <c r="G22" s="33">
        <v>7.3795602804227027E-3</v>
      </c>
      <c r="H22" s="34">
        <v>5.4432833074832605E-2</v>
      </c>
      <c r="N22" s="45"/>
      <c r="O22" s="45"/>
      <c r="P22" s="45"/>
      <c r="Q22" s="45"/>
      <c r="R22" s="45"/>
    </row>
    <row r="23" spans="2:18">
      <c r="B23" s="37" t="s">
        <v>37</v>
      </c>
      <c r="C23" s="32" t="s">
        <v>132</v>
      </c>
      <c r="D23" s="32" t="s">
        <v>132</v>
      </c>
      <c r="E23" s="33">
        <v>4.460973667386943E-2</v>
      </c>
      <c r="F23" s="33">
        <v>5.5307433081690401E-3</v>
      </c>
      <c r="G23" s="33">
        <v>5.8422164928758347E-3</v>
      </c>
      <c r="H23" s="34">
        <v>7.7360877544426734E-2</v>
      </c>
      <c r="P23" s="45"/>
      <c r="Q23" s="45"/>
      <c r="R23" s="45"/>
    </row>
    <row r="24" spans="2:18">
      <c r="B24" s="118" t="s">
        <v>47</v>
      </c>
      <c r="C24" s="119"/>
      <c r="D24" s="119"/>
      <c r="E24" s="119"/>
      <c r="F24" s="119"/>
      <c r="G24" s="119"/>
      <c r="H24" s="120"/>
      <c r="P24" s="45"/>
      <c r="Q24" s="45"/>
      <c r="R24" s="45"/>
    </row>
    <row r="25" spans="2:18">
      <c r="B25" s="123" t="s">
        <v>48</v>
      </c>
      <c r="C25" s="124"/>
      <c r="D25" s="124"/>
      <c r="E25" s="11">
        <v>0.51</v>
      </c>
      <c r="F25" s="11">
        <v>0.67333333333333334</v>
      </c>
      <c r="G25" s="11">
        <v>0.82</v>
      </c>
      <c r="H25" s="49">
        <v>0.78</v>
      </c>
      <c r="O25" s="46"/>
    </row>
    <row r="26" spans="2:18">
      <c r="B26" s="123" t="s">
        <v>103</v>
      </c>
      <c r="C26" s="124"/>
      <c r="D26" s="124"/>
      <c r="E26" s="11">
        <v>0.05</v>
      </c>
      <c r="F26" s="11">
        <v>3.3000000000000002E-2</v>
      </c>
      <c r="G26" s="11">
        <v>0.03</v>
      </c>
      <c r="H26" s="49">
        <v>0.02</v>
      </c>
      <c r="O26" s="46"/>
    </row>
    <row r="27" spans="2:18">
      <c r="B27" s="123" t="s">
        <v>104</v>
      </c>
      <c r="C27" s="124"/>
      <c r="D27" s="124"/>
      <c r="E27" s="11">
        <v>0.17</v>
      </c>
      <c r="F27" s="11">
        <v>3.3000000000000002E-2</v>
      </c>
      <c r="G27" s="11">
        <v>0</v>
      </c>
      <c r="H27" s="49">
        <v>0</v>
      </c>
      <c r="O27" s="46"/>
    </row>
    <row r="28" spans="2:18">
      <c r="B28" s="123" t="s">
        <v>105</v>
      </c>
      <c r="C28" s="124"/>
      <c r="D28" s="124"/>
      <c r="E28" s="11">
        <v>0.745</v>
      </c>
      <c r="F28" s="11">
        <v>0.81410000000000005</v>
      </c>
      <c r="G28" s="11">
        <v>0.87370000000000003</v>
      </c>
      <c r="H28" s="49">
        <v>0.90029999999999999</v>
      </c>
      <c r="O28" s="46"/>
    </row>
    <row r="29" spans="2:18">
      <c r="B29" s="121" t="s">
        <v>49</v>
      </c>
      <c r="C29" s="122"/>
      <c r="D29" s="122"/>
      <c r="E29" s="50">
        <v>0.62707194387944809</v>
      </c>
      <c r="F29" s="50">
        <v>0.51179732492351981</v>
      </c>
      <c r="G29" s="50">
        <v>0.3664855234279874</v>
      </c>
      <c r="H29" s="51">
        <v>0.26424758936501019</v>
      </c>
      <c r="O29" s="46"/>
    </row>
    <row r="30" spans="2:18">
      <c r="B30" s="10"/>
      <c r="E30" s="46"/>
      <c r="F30" s="46"/>
      <c r="G30" s="46"/>
      <c r="H30" s="46"/>
      <c r="O30" s="46"/>
    </row>
    <row r="31" spans="2:18">
      <c r="Q31" s="45"/>
    </row>
    <row r="32" spans="2:18">
      <c r="B32" s="113" t="s">
        <v>126</v>
      </c>
      <c r="C32" s="114"/>
      <c r="D32" s="114"/>
      <c r="E32" s="115"/>
      <c r="F32" s="47"/>
      <c r="Q32" s="45"/>
    </row>
    <row r="33" spans="2:17">
      <c r="B33" s="58" t="s">
        <v>50</v>
      </c>
      <c r="C33" s="24" t="s">
        <v>51</v>
      </c>
      <c r="D33" s="24" t="s">
        <v>52</v>
      </c>
      <c r="E33" s="25" t="s">
        <v>49</v>
      </c>
      <c r="Q33" s="45"/>
    </row>
    <row r="34" spans="2:17" ht="17">
      <c r="B34" s="37" t="s">
        <v>53</v>
      </c>
      <c r="C34" s="1">
        <v>107</v>
      </c>
      <c r="D34" s="1">
        <v>0</v>
      </c>
      <c r="E34" s="54">
        <f t="shared" ref="E34:E44" si="2">D34/C34</f>
        <v>0</v>
      </c>
      <c r="F34" s="97">
        <v>1</v>
      </c>
      <c r="G34" s="45">
        <f t="shared" ref="G34:G44" si="3">F34*C34</f>
        <v>107</v>
      </c>
    </row>
    <row r="35" spans="2:17">
      <c r="B35" s="37" t="s">
        <v>54</v>
      </c>
      <c r="C35" s="1">
        <v>78</v>
      </c>
      <c r="D35" s="1">
        <v>116</v>
      </c>
      <c r="E35" s="54">
        <f t="shared" si="2"/>
        <v>1.4871794871794872</v>
      </c>
      <c r="F35">
        <v>0</v>
      </c>
      <c r="G35" s="45">
        <f t="shared" si="3"/>
        <v>0</v>
      </c>
    </row>
    <row r="36" spans="2:17">
      <c r="B36" s="37" t="s">
        <v>55</v>
      </c>
      <c r="C36" s="1">
        <v>107</v>
      </c>
      <c r="D36" s="1">
        <v>162</v>
      </c>
      <c r="E36" s="54">
        <f t="shared" si="2"/>
        <v>1.514018691588785</v>
      </c>
      <c r="F36">
        <v>0</v>
      </c>
      <c r="G36" s="45">
        <f t="shared" si="3"/>
        <v>0</v>
      </c>
    </row>
    <row r="37" spans="2:17">
      <c r="B37" s="37" t="s">
        <v>56</v>
      </c>
      <c r="C37" s="1">
        <v>45</v>
      </c>
      <c r="D37" s="1">
        <v>74</v>
      </c>
      <c r="E37" s="54">
        <f t="shared" si="2"/>
        <v>1.6444444444444444</v>
      </c>
      <c r="F37">
        <v>0</v>
      </c>
      <c r="G37" s="45">
        <f t="shared" si="3"/>
        <v>0</v>
      </c>
    </row>
    <row r="38" spans="2:17">
      <c r="B38" s="37" t="s">
        <v>57</v>
      </c>
      <c r="C38" s="1">
        <v>44</v>
      </c>
      <c r="D38" s="1">
        <v>74</v>
      </c>
      <c r="E38" s="54">
        <f t="shared" si="2"/>
        <v>1.6818181818181819</v>
      </c>
      <c r="F38">
        <v>0</v>
      </c>
      <c r="G38" s="45">
        <f t="shared" si="3"/>
        <v>0</v>
      </c>
    </row>
    <row r="39" spans="2:17">
      <c r="B39" s="37" t="s">
        <v>58</v>
      </c>
      <c r="C39" s="1">
        <v>169</v>
      </c>
      <c r="D39" s="1">
        <v>224</v>
      </c>
      <c r="E39" s="54">
        <f t="shared" si="2"/>
        <v>1.3254437869822486</v>
      </c>
      <c r="F39">
        <v>1</v>
      </c>
      <c r="G39" s="45">
        <f t="shared" si="3"/>
        <v>169</v>
      </c>
    </row>
    <row r="40" spans="2:17">
      <c r="B40" s="37" t="s">
        <v>59</v>
      </c>
      <c r="C40" s="1">
        <v>76</v>
      </c>
      <c r="D40" s="1">
        <v>112</v>
      </c>
      <c r="E40" s="54">
        <f t="shared" si="2"/>
        <v>1.4736842105263157</v>
      </c>
      <c r="F40">
        <v>0</v>
      </c>
      <c r="G40" s="45">
        <f t="shared" si="3"/>
        <v>0</v>
      </c>
    </row>
    <row r="41" spans="2:17">
      <c r="B41" s="37" t="s">
        <v>60</v>
      </c>
      <c r="C41" s="1">
        <v>206</v>
      </c>
      <c r="D41" s="1">
        <v>274</v>
      </c>
      <c r="E41" s="54">
        <f t="shared" si="2"/>
        <v>1.3300970873786409</v>
      </c>
      <c r="F41">
        <v>1</v>
      </c>
      <c r="G41" s="45">
        <f t="shared" si="3"/>
        <v>206</v>
      </c>
    </row>
    <row r="42" spans="2:17">
      <c r="B42" s="37" t="s">
        <v>61</v>
      </c>
      <c r="C42" s="1">
        <v>206</v>
      </c>
      <c r="D42" s="1">
        <v>0</v>
      </c>
      <c r="E42" s="54">
        <f t="shared" si="2"/>
        <v>0</v>
      </c>
      <c r="F42">
        <v>2</v>
      </c>
      <c r="G42" s="45">
        <f t="shared" si="3"/>
        <v>412</v>
      </c>
    </row>
    <row r="43" spans="2:17">
      <c r="B43" s="37" t="s">
        <v>62</v>
      </c>
      <c r="C43" s="1">
        <v>76</v>
      </c>
      <c r="D43" s="1">
        <v>0</v>
      </c>
      <c r="E43" s="54">
        <f t="shared" si="2"/>
        <v>0</v>
      </c>
      <c r="F43">
        <v>1</v>
      </c>
      <c r="G43" s="45">
        <f t="shared" si="3"/>
        <v>76</v>
      </c>
    </row>
    <row r="44" spans="2:17">
      <c r="B44" s="55" t="s">
        <v>63</v>
      </c>
      <c r="C44" s="56">
        <v>78</v>
      </c>
      <c r="D44" s="56">
        <v>0</v>
      </c>
      <c r="E44" s="57">
        <f t="shared" si="2"/>
        <v>0</v>
      </c>
      <c r="F44">
        <v>1</v>
      </c>
      <c r="G44" s="45">
        <f t="shared" si="3"/>
        <v>78</v>
      </c>
    </row>
    <row r="46" spans="2:17">
      <c r="G46" s="45">
        <f>SUM(G34:G44)</f>
        <v>1048</v>
      </c>
    </row>
    <row r="47" spans="2:17">
      <c r="G47" s="45">
        <v>919</v>
      </c>
    </row>
    <row r="48" spans="2:17">
      <c r="G48" s="45">
        <f>G46-G47</f>
        <v>129</v>
      </c>
    </row>
  </sheetData>
  <mergeCells count="11">
    <mergeCell ref="B32:E32"/>
    <mergeCell ref="B10:D10"/>
    <mergeCell ref="B15:H15"/>
    <mergeCell ref="B29:D29"/>
    <mergeCell ref="B25:D25"/>
    <mergeCell ref="B24:H24"/>
    <mergeCell ref="B27:D27"/>
    <mergeCell ref="B26:D26"/>
    <mergeCell ref="B28:D28"/>
    <mergeCell ref="B12:D12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ED31-4C6C-0C48-999B-979E962E2EC9}">
  <dimension ref="A2:V83"/>
  <sheetViews>
    <sheetView tabSelected="1" topLeftCell="A48" zoomScaleNormal="100" workbookViewId="0">
      <selection activeCell="M55" sqref="M55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4</v>
      </c>
      <c r="N8" s="19">
        <f t="shared" si="0"/>
        <v>5.1282051282051277</v>
      </c>
      <c r="O8" s="19">
        <f t="shared" si="1"/>
        <v>3</v>
      </c>
      <c r="P8" s="70">
        <f t="shared" si="2"/>
        <v>52</v>
      </c>
      <c r="Q8" s="70">
        <f t="shared" si="3"/>
        <v>40</v>
      </c>
      <c r="R8" s="70">
        <f t="shared" si="4"/>
        <v>1.1130136986301369</v>
      </c>
      <c r="S8" s="70">
        <f t="shared" si="5"/>
        <v>2.4009603841536618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 t="shared" si="5"/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12.820512820512819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4.7089041095890414</v>
      </c>
      <c r="S12" s="70">
        <f t="shared" si="5"/>
        <v>8.4033613445378155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11</v>
      </c>
      <c r="N22" s="19">
        <f t="shared" si="0"/>
        <v>14.102564102564102</v>
      </c>
      <c r="O22" s="19">
        <f t="shared" si="1"/>
        <v>14</v>
      </c>
      <c r="P22" s="70">
        <f t="shared" si="2"/>
        <v>462</v>
      </c>
      <c r="Q22" s="70">
        <f t="shared" si="3"/>
        <v>176</v>
      </c>
      <c r="R22" s="70">
        <f t="shared" si="4"/>
        <v>9.8886986301369877</v>
      </c>
      <c r="S22" s="70">
        <f t="shared" si="5"/>
        <v>10.56422569027611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53</v>
      </c>
      <c r="N25" s="19">
        <f t="shared" si="0"/>
        <v>67.948717948717956</v>
      </c>
      <c r="O25" s="19">
        <f t="shared" si="1"/>
        <v>25</v>
      </c>
      <c r="P25" s="70">
        <f t="shared" si="2"/>
        <v>3710</v>
      </c>
      <c r="Q25" s="70">
        <f t="shared" si="3"/>
        <v>1166</v>
      </c>
      <c r="R25" s="70">
        <f t="shared" si="4"/>
        <v>79.409246575342465</v>
      </c>
      <c r="S25" s="70">
        <f t="shared" si="5"/>
        <v>69.987995198079233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0</v>
      </c>
      <c r="N26" s="19">
        <f t="shared" si="0"/>
        <v>0</v>
      </c>
      <c r="O26" s="19">
        <f t="shared" si="1"/>
        <v>0</v>
      </c>
      <c r="P26" s="70">
        <f t="shared" si="2"/>
        <v>0</v>
      </c>
      <c r="Q26" s="70">
        <f t="shared" si="3"/>
        <v>0</v>
      </c>
      <c r="R26" s="70">
        <f t="shared" si="4"/>
        <v>0</v>
      </c>
      <c r="S26" s="70">
        <f t="shared" si="5"/>
        <v>0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12</v>
      </c>
      <c r="N28" s="19">
        <f t="shared" si="0"/>
        <v>15.384615384615385</v>
      </c>
      <c r="O28" s="19">
        <f t="shared" si="1"/>
        <v>5</v>
      </c>
      <c r="P28" s="70">
        <f t="shared" si="2"/>
        <v>228</v>
      </c>
      <c r="Q28" s="70">
        <f t="shared" si="3"/>
        <v>144</v>
      </c>
      <c r="R28" s="70">
        <f t="shared" si="4"/>
        <v>4.8801369863013697</v>
      </c>
      <c r="S28" s="70">
        <f t="shared" si="5"/>
        <v>8.6434573829531818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4</v>
      </c>
      <c r="H40" s="59">
        <f t="shared" si="8"/>
        <v>13.040000000000001</v>
      </c>
      <c r="I40" s="59">
        <f t="shared" si="8"/>
        <v>6</v>
      </c>
      <c r="J40" s="59">
        <f t="shared" si="8"/>
        <v>13.754285714285714</v>
      </c>
      <c r="K40" s="59">
        <f t="shared" si="8"/>
        <v>30.982857142857142</v>
      </c>
      <c r="L40" s="59">
        <f t="shared" si="8"/>
        <v>22.222857142857141</v>
      </c>
      <c r="M40" s="70">
        <f>SUM(M6:M39)</f>
        <v>90</v>
      </c>
      <c r="N40" s="19">
        <f>SUM(N6:N27)</f>
        <v>100</v>
      </c>
      <c r="O40" s="19">
        <f>ROUND(AVERAGEIF(O6:O39,"&gt;0"),0)</f>
        <v>10</v>
      </c>
      <c r="P40" s="70">
        <f>SUM(P6:P39)</f>
        <v>4672</v>
      </c>
      <c r="Q40" s="70">
        <f>SUM(Q6:Q39)</f>
        <v>1666</v>
      </c>
    </row>
    <row r="41" spans="1:20">
      <c r="C41" s="60"/>
      <c r="D41" s="1"/>
      <c r="F41" s="73" t="s">
        <v>92</v>
      </c>
      <c r="G41" s="129">
        <f>SUM(G40:L40)</f>
        <v>89.999999999999986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4.4444444444444453E-2</v>
      </c>
      <c r="H43" s="74">
        <f>H40/$G$41</f>
        <v>0.14488888888888893</v>
      </c>
      <c r="I43" s="74">
        <f t="shared" ref="I43" si="9">I40/$G$41</f>
        <v>6.666666666666668E-2</v>
      </c>
      <c r="J43" s="74">
        <f>J40/$G$41</f>
        <v>0.15282539682539686</v>
      </c>
      <c r="K43" s="74">
        <f>K40/$G$41</f>
        <v>0.34425396825396831</v>
      </c>
      <c r="L43" s="74">
        <f>L40/$G$41</f>
        <v>0.24692063492063493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BPCA_Experimental!E3</f>
        <v>4.321199577936561E-2</v>
      </c>
      <c r="H44" s="76">
        <f>BPCA_Experimental!E4+BPCA_Experimental!E5</f>
        <v>0.14932644696928848</v>
      </c>
      <c r="I44" s="76">
        <f>BPCA_Experimental!E6</f>
        <v>6.7677328466173317E-2</v>
      </c>
      <c r="J44" s="76">
        <f>BPCA_Experimental!E7</f>
        <v>0.15332365253896399</v>
      </c>
      <c r="K44" s="76">
        <f>BPCA_Experimental!E8</f>
        <v>0.36028783063541198</v>
      </c>
      <c r="L44" s="76">
        <f>BPCA_Experimental!E9</f>
        <v>0.226172745610797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BPCA_Experimental!E17</f>
        <v>1.452008162960407E-3</v>
      </c>
      <c r="H45" s="76">
        <f>BPCA_Experimental!E18+BPCA_Experimental!E19</f>
        <v>3.8009811417576395E-2</v>
      </c>
      <c r="I45" s="76">
        <f>BPCA_Experimental!E20</f>
        <v>6.4134346735433378E-4</v>
      </c>
      <c r="J45" s="76">
        <f>BPCA_Experimental!E21</f>
        <v>4.2218260434022901E-2</v>
      </c>
      <c r="K45" s="76">
        <f>BPCA_Experimental!E22</f>
        <v>2.7555996511292324E-2</v>
      </c>
      <c r="L45" s="76">
        <f>BPCA_Experimental!E23</f>
        <v>4.460973667386943E-2</v>
      </c>
      <c r="M45" s="59"/>
      <c r="Q45" s="1"/>
    </row>
    <row r="46" spans="1:20">
      <c r="D46" s="1"/>
      <c r="F46" s="77" t="s">
        <v>95</v>
      </c>
      <c r="G46" s="59">
        <f t="shared" ref="G46:K46" si="10">ABS(G43-G44)/G44</f>
        <v>2.8520984575013692E-2</v>
      </c>
      <c r="H46" s="59">
        <f t="shared" si="10"/>
        <v>2.9717161095463653E-2</v>
      </c>
      <c r="I46" s="59">
        <f t="shared" si="10"/>
        <v>1.4933535681920268E-2</v>
      </c>
      <c r="J46" s="59">
        <f t="shared" si="10"/>
        <v>3.2496989558770382E-3</v>
      </c>
      <c r="K46" s="59">
        <f t="shared" si="10"/>
        <v>4.4502925211673046E-2</v>
      </c>
      <c r="L46" s="59">
        <f>ABS(L43-L44)/L44</f>
        <v>9.1734701516783743E-2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10</v>
      </c>
      <c r="M48" s="59"/>
    </row>
    <row r="49" spans="1:22" ht="16" customHeight="1">
      <c r="D49" s="1"/>
      <c r="E49" s="79"/>
      <c r="F49" s="80" t="s">
        <v>96</v>
      </c>
      <c r="G49" s="59">
        <f>BPCA_Experimental!E29</f>
        <v>0.62707194387944809</v>
      </c>
      <c r="H49" s="126" t="s">
        <v>123</v>
      </c>
      <c r="I49" s="126"/>
      <c r="J49" s="126"/>
      <c r="K49" s="126"/>
      <c r="L49" s="126"/>
      <c r="M49" s="59"/>
    </row>
    <row r="50" spans="1:22" ht="16" customHeight="1">
      <c r="D50" s="1"/>
      <c r="E50" s="79"/>
      <c r="F50" s="80" t="s">
        <v>97</v>
      </c>
      <c r="G50" s="59">
        <f>G49*G55</f>
        <v>0.31980669137851853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0.35659246575342468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-3.6785774374906155E-2</v>
      </c>
      <c r="H52" s="126"/>
      <c r="I52" s="126"/>
      <c r="J52" s="126"/>
      <c r="K52" s="126"/>
      <c r="L52" s="126"/>
      <c r="M52" s="59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BPCA_Experimental!E25</f>
        <v>0.51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0.56059515238780899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H55:L56"/>
    <mergeCell ref="B2:T2"/>
    <mergeCell ref="A4:T4"/>
    <mergeCell ref="G41:L41"/>
    <mergeCell ref="H49:L52"/>
  </mergeCells>
  <hyperlinks>
    <hyperlink ref="B8" r:id="rId1" display="phenalene" xr:uid="{FBEF5234-602A-7043-B280-F65C4BB4A959}"/>
    <hyperlink ref="B9" r:id="rId2" display="phenanthrene" xr:uid="{B06942F2-50FD-7344-B604-7D9E5C73F217}"/>
    <hyperlink ref="B10" r:id="rId3" display="anthracene" xr:uid="{1C12C9C2-7219-D14A-B99D-7B9F9CE1E7E4}"/>
    <hyperlink ref="B13" r:id="rId4" display="pyrene" xr:uid="{EEBC79CA-4F37-D043-8B85-FA4AD6D697C6}"/>
    <hyperlink ref="B15" r:id="rId5" display="benzo[c]fluorene" xr:uid="{BCE31A9F-9462-A14E-AF00-1B6B46334898}"/>
    <hyperlink ref="B18" r:id="rId6" display="coronene" xr:uid="{193CB027-DC90-054B-95A4-7A138B0739E7}"/>
    <hyperlink ref="B14" r:id="rId7" display="chrysene" xr:uid="{3D4DC506-E7C2-FD41-ABF4-161D18A7AB9B}"/>
    <hyperlink ref="B16" r:id="rId8" display="Benz[e]acephenanthrylene" xr:uid="{1A3A3701-4F19-8F47-B256-7A756F6D6BDE}"/>
    <hyperlink ref="B6" r:id="rId9" display="benzene" xr:uid="{DE97885D-6C72-1347-90A8-95FAD24345C8}"/>
    <hyperlink ref="B17" r:id="rId10" display="benzo_b_fluorene" xr:uid="{2A96456D-FA65-704B-9F1E-A96F7B6654BE}"/>
    <hyperlink ref="B19" r:id="rId11" xr:uid="{2042BC0F-9253-2543-AC5A-44A21EDD68D1}"/>
    <hyperlink ref="B20" r:id="rId12" display="Benzo_a_pyrene" xr:uid="{6F48FF93-0EEB-E641-9BDB-FED6A85002B5}"/>
    <hyperlink ref="B21" r:id="rId13" xr:uid="{2A5A41E7-EEF3-F447-B982-9FDFC8DAD406}"/>
    <hyperlink ref="B22" r:id="rId14" xr:uid="{F56999EF-0152-A44F-8FD1-08D912523975}"/>
    <hyperlink ref="B23" r:id="rId15" xr:uid="{95ECAEC4-A550-3A4B-905F-D5FF79363A93}"/>
    <hyperlink ref="B25" r:id="rId16" xr:uid="{D3E07C3E-46BE-E144-A1EE-9C596622C0AE}"/>
    <hyperlink ref="B26" r:id="rId17" location="section=InChIKey" xr:uid="{0361BE0B-CE66-684B-A58C-92F4377B1B1C}"/>
    <hyperlink ref="B27" r:id="rId18" xr:uid="{51D5F168-0523-CE4D-87B9-084FC5C649AF}"/>
    <hyperlink ref="B7" r:id="rId19" xr:uid="{C2205E43-0A44-4F4A-BAE7-5D69DCD98309}"/>
    <hyperlink ref="B11" r:id="rId20" xr:uid="{A1FC8EF3-1027-6342-B8C5-67ABE2250A62}"/>
    <hyperlink ref="B12" r:id="rId21" xr:uid="{05BE6F01-A6DE-3F4F-8020-6640630004A7}"/>
    <hyperlink ref="B24" r:id="rId22" xr:uid="{E053B7B4-63D7-8241-B5B1-7AC8816DED3C}"/>
  </hyperlinks>
  <pageMargins left="0.7" right="0.7" top="0.75" bottom="0.75" header="0.3" footer="0.3"/>
  <pageSetup orientation="portrait" horizontalDpi="0" verticalDpi="0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EBAA-0722-804E-9963-5CBF954104AC}">
  <dimension ref="A2:V83"/>
  <sheetViews>
    <sheetView topLeftCell="D46" zoomScaleNormal="100" workbookViewId="0">
      <selection activeCell="M49" sqref="M49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5.1640625" style="14" bestFit="1" customWidth="1"/>
    <col min="7" max="7" width="9.83203125" style="59" bestFit="1" customWidth="1"/>
    <col min="8" max="8" width="11.1640625" style="59" customWidth="1"/>
    <col min="9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3</v>
      </c>
      <c r="N8" s="19">
        <f t="shared" si="0"/>
        <v>3.1914893617021276</v>
      </c>
      <c r="O8" s="19">
        <f t="shared" si="1"/>
        <v>3</v>
      </c>
      <c r="P8" s="70">
        <f t="shared" si="2"/>
        <v>39</v>
      </c>
      <c r="Q8" s="70">
        <f t="shared" si="3"/>
        <v>30</v>
      </c>
      <c r="R8" s="70">
        <f t="shared" si="4"/>
        <v>0.63363119415109659</v>
      </c>
      <c r="S8" s="70">
        <f t="shared" si="5"/>
        <v>1.3979496738117427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 t="shared" si="4"/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10.638297872340425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3.5743298131600327</v>
      </c>
      <c r="S12" s="70">
        <f t="shared" si="5"/>
        <v>6.5237651444547993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2</v>
      </c>
      <c r="N19" s="19">
        <f t="shared" si="0"/>
        <v>2.1276595744680851</v>
      </c>
      <c r="O19" s="19">
        <f t="shared" si="1"/>
        <v>5</v>
      </c>
      <c r="P19" s="70">
        <f t="shared" si="2"/>
        <v>40</v>
      </c>
      <c r="Q19" s="70">
        <f t="shared" si="3"/>
        <v>24</v>
      </c>
      <c r="R19" s="70">
        <f t="shared" si="4"/>
        <v>0.6498781478472786</v>
      </c>
      <c r="S19" s="70">
        <f t="shared" si="5"/>
        <v>1.1183597390493942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11</v>
      </c>
      <c r="N23" s="19">
        <f t="shared" si="0"/>
        <v>11.702127659574469</v>
      </c>
      <c r="O23" s="19">
        <f t="shared" si="1"/>
        <v>19</v>
      </c>
      <c r="P23" s="70">
        <f t="shared" si="2"/>
        <v>594</v>
      </c>
      <c r="Q23" s="70">
        <f t="shared" si="3"/>
        <v>198</v>
      </c>
      <c r="R23" s="70">
        <f t="shared" si="4"/>
        <v>9.6506904955320891</v>
      </c>
      <c r="S23" s="70">
        <f t="shared" si="5"/>
        <v>9.226467847157501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3</v>
      </c>
      <c r="N24" s="19">
        <f t="shared" si="0"/>
        <v>3.1914893617021276</v>
      </c>
      <c r="O24" s="19">
        <f t="shared" si="1"/>
        <v>24</v>
      </c>
      <c r="P24" s="70">
        <f t="shared" si="2"/>
        <v>198</v>
      </c>
      <c r="Q24" s="70">
        <f t="shared" si="3"/>
        <v>60</v>
      </c>
      <c r="R24" s="70">
        <f t="shared" si="4"/>
        <v>3.2168968318440294</v>
      </c>
      <c r="S24" s="70">
        <f t="shared" si="5"/>
        <v>2.7958993476234855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62</v>
      </c>
      <c r="N25" s="19">
        <f t="shared" si="0"/>
        <v>65.957446808510639</v>
      </c>
      <c r="O25" s="19">
        <f t="shared" si="1"/>
        <v>25</v>
      </c>
      <c r="P25" s="70">
        <f t="shared" si="2"/>
        <v>4340</v>
      </c>
      <c r="Q25" s="70">
        <f t="shared" si="3"/>
        <v>1364</v>
      </c>
      <c r="R25" s="70">
        <f t="shared" si="4"/>
        <v>70.511779041429733</v>
      </c>
      <c r="S25" s="70">
        <f t="shared" si="5"/>
        <v>63.560111835973906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3</v>
      </c>
      <c r="N26" s="19">
        <f t="shared" si="0"/>
        <v>3.1914893617021276</v>
      </c>
      <c r="O26" s="19">
        <f t="shared" si="1"/>
        <v>30</v>
      </c>
      <c r="P26" s="70">
        <f t="shared" si="2"/>
        <v>240</v>
      </c>
      <c r="Q26" s="70">
        <f t="shared" si="3"/>
        <v>66</v>
      </c>
      <c r="R26" s="70">
        <f t="shared" si="4"/>
        <v>3.899268887083672</v>
      </c>
      <c r="S26" s="70">
        <f t="shared" si="5"/>
        <v>3.075489282385834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7</v>
      </c>
      <c r="N29" s="19">
        <f t="shared" si="0"/>
        <v>7.4468085106382977</v>
      </c>
      <c r="O29" s="19">
        <f t="shared" si="1"/>
        <v>8</v>
      </c>
      <c r="P29" s="70">
        <f t="shared" si="2"/>
        <v>189</v>
      </c>
      <c r="Q29" s="70">
        <f t="shared" si="3"/>
        <v>98</v>
      </c>
      <c r="R29" s="70">
        <f t="shared" si="4"/>
        <v>3.0706742485783916</v>
      </c>
      <c r="S29" s="70">
        <f t="shared" si="5"/>
        <v>4.5666356011183593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3</v>
      </c>
      <c r="N30" s="19">
        <f t="shared" si="0"/>
        <v>3.1914893617021276</v>
      </c>
      <c r="O30" s="19">
        <f t="shared" si="1"/>
        <v>9</v>
      </c>
      <c r="P30" s="70">
        <f t="shared" si="2"/>
        <v>90</v>
      </c>
      <c r="Q30" s="70">
        <f t="shared" si="3"/>
        <v>54</v>
      </c>
      <c r="R30" s="70">
        <f t="shared" si="4"/>
        <v>1.4622258326563771</v>
      </c>
      <c r="S30" s="70">
        <f t="shared" si="5"/>
        <v>2.516309412861137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1</v>
      </c>
      <c r="N31" s="19">
        <f t="shared" si="0"/>
        <v>1.0638297872340425</v>
      </c>
      <c r="O31" s="19">
        <f t="shared" si="1"/>
        <v>10</v>
      </c>
      <c r="P31" s="70">
        <f t="shared" si="2"/>
        <v>33</v>
      </c>
      <c r="Q31" s="70">
        <f t="shared" si="3"/>
        <v>20</v>
      </c>
      <c r="R31" s="70">
        <f t="shared" si="4"/>
        <v>0.53614947197400487</v>
      </c>
      <c r="S31" s="70">
        <f t="shared" si="5"/>
        <v>0.93196644920782845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2</v>
      </c>
      <c r="N32" s="19">
        <f t="shared" si="0"/>
        <v>2.1276595744680851</v>
      </c>
      <c r="O32" s="19">
        <f t="shared" si="1"/>
        <v>11</v>
      </c>
      <c r="P32" s="70">
        <f t="shared" si="2"/>
        <v>72</v>
      </c>
      <c r="Q32" s="70">
        <f t="shared" si="3"/>
        <v>44</v>
      </c>
      <c r="R32" s="70">
        <f t="shared" si="4"/>
        <v>1.1697806661251016</v>
      </c>
      <c r="S32" s="70">
        <f t="shared" si="5"/>
        <v>2.0503261882572228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2</v>
      </c>
      <c r="N38" s="19">
        <f t="shared" si="0"/>
        <v>2.1276595744680851</v>
      </c>
      <c r="O38" s="19">
        <f t="shared" si="1"/>
        <v>17</v>
      </c>
      <c r="P38" s="70">
        <f t="shared" si="2"/>
        <v>100</v>
      </c>
      <c r="Q38" s="70">
        <f t="shared" si="3"/>
        <v>48</v>
      </c>
      <c r="R38" s="70">
        <f t="shared" si="4"/>
        <v>1.6246953696181965</v>
      </c>
      <c r="S38" s="70">
        <f t="shared" si="5"/>
        <v>2.2367194780987885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4</v>
      </c>
      <c r="H40" s="59">
        <f t="shared" si="8"/>
        <v>12.246586452762921</v>
      </c>
      <c r="I40" s="59">
        <f t="shared" si="8"/>
        <v>6</v>
      </c>
      <c r="J40" s="59">
        <f t="shared" si="8"/>
        <v>15.371384745285672</v>
      </c>
      <c r="K40" s="59">
        <f t="shared" si="8"/>
        <v>38.566928417299934</v>
      </c>
      <c r="L40" s="59">
        <f t="shared" si="8"/>
        <v>32.815100384651466</v>
      </c>
      <c r="M40" s="70">
        <f>SUM(M6:M39)</f>
        <v>109</v>
      </c>
      <c r="N40" s="19">
        <f>SUM(N6:N27)</f>
        <v>100</v>
      </c>
      <c r="O40" s="19">
        <f>ROUND(AVERAGEIF(O6:O39,"&gt;0"),0)</f>
        <v>14</v>
      </c>
      <c r="P40" s="70">
        <f>SUM(P6:P39)</f>
        <v>6155</v>
      </c>
      <c r="Q40" s="70">
        <f>SUM(Q6:Q39)</f>
        <v>2146</v>
      </c>
    </row>
    <row r="41" spans="1:20">
      <c r="C41" s="60"/>
      <c r="D41" s="1"/>
      <c r="F41" s="73" t="s">
        <v>92</v>
      </c>
      <c r="G41" s="129">
        <f>SUM(G40:L40)</f>
        <v>109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3.669724770642202E-2</v>
      </c>
      <c r="H43" s="74">
        <f>H40/$G$41</f>
        <v>0.11235400415378827</v>
      </c>
      <c r="I43" s="74">
        <f t="shared" ref="I43" si="9">I40/$G$41</f>
        <v>5.5045871559633031E-2</v>
      </c>
      <c r="J43" s="74">
        <f>J40/$G$41</f>
        <v>0.14102187839711625</v>
      </c>
      <c r="K43" s="74">
        <f>K40/$G$41</f>
        <v>0.35382503135137555</v>
      </c>
      <c r="L43" s="74">
        <f>L40/$G$41</f>
        <v>0.3010559668316648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BPCA_Experimental!F3</f>
        <v>3.6387734810022998E-2</v>
      </c>
      <c r="H44" s="76">
        <f>BPCA_Experimental!F4+BPCA_Experimental!F5</f>
        <v>0.11050796506756461</v>
      </c>
      <c r="I44" s="76">
        <f>BPCA_Experimental!F6</f>
        <v>5.7585518231114477E-2</v>
      </c>
      <c r="J44" s="76">
        <f>BPCA_Experimental!F7</f>
        <v>0.14211236193881485</v>
      </c>
      <c r="K44" s="76">
        <f>BPCA_Experimental!F8</f>
        <v>0.35258252683498492</v>
      </c>
      <c r="L44" s="76">
        <f>BPCA_Experimental!F9</f>
        <v>0.30082389311749813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BPCA_Experimental!F17</f>
        <v>7.3890280749442793E-4</v>
      </c>
      <c r="H45" s="76">
        <f>BPCA_Experimental!F18+BPCA_Experimental!F19</f>
        <v>6.0494836438689413E-3</v>
      </c>
      <c r="I45" s="76">
        <f>BPCA_Experimental!F20</f>
        <v>4.44949241933013E-4</v>
      </c>
      <c r="J45" s="76">
        <f>BPCA_Experimental!F21</f>
        <v>4.3619769626533174E-3</v>
      </c>
      <c r="K45" s="76">
        <f>BPCA_Experimental!F22</f>
        <v>5.1746708639145347E-3</v>
      </c>
      <c r="L45" s="76">
        <f>BPCA_Experimental!F23</f>
        <v>5.5307433081690401E-3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8.5059676843024339E-3</v>
      </c>
      <c r="H46" s="59">
        <f t="shared" si="10"/>
        <v>1.670503194131746E-2</v>
      </c>
      <c r="I46" s="59">
        <f t="shared" si="10"/>
        <v>4.4102176197994697E-2</v>
      </c>
      <c r="J46" s="59">
        <f t="shared" si="10"/>
        <v>7.6733897517522317E-3</v>
      </c>
      <c r="K46" s="59">
        <f t="shared" si="10"/>
        <v>3.5240104708085689E-3</v>
      </c>
      <c r="L46" s="59">
        <f t="shared" si="10"/>
        <v>7.7146037757055551E-4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14</v>
      </c>
      <c r="M48" s="59"/>
    </row>
    <row r="49" spans="1:22" ht="16" customHeight="1">
      <c r="D49" s="1"/>
      <c r="E49" s="79"/>
      <c r="F49" s="80" t="s">
        <v>96</v>
      </c>
      <c r="G49" s="59">
        <f>BPCA_Experimental!F29</f>
        <v>0.51179732492351981</v>
      </c>
      <c r="H49" s="126" t="s">
        <v>123</v>
      </c>
      <c r="I49" s="126"/>
      <c r="J49" s="126"/>
      <c r="K49" s="126"/>
      <c r="L49" s="126"/>
      <c r="M49" s="59"/>
    </row>
    <row r="50" spans="1:22">
      <c r="D50" s="1"/>
      <c r="E50" s="79"/>
      <c r="F50" s="80" t="s">
        <v>97</v>
      </c>
      <c r="G50" s="59">
        <f>G49*G55</f>
        <v>0.34461019878183669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0.34865962632006497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-4.0494275382282896E-3</v>
      </c>
      <c r="H52" s="126"/>
      <c r="I52" s="126"/>
      <c r="J52" s="126"/>
      <c r="K52" s="126"/>
      <c r="L52" s="126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BPCA_Experimental!F25</f>
        <v>0.67333333333333334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0.78367710720651895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94099E1F-DD08-604D-AF4F-2785C8A31EA5}"/>
    <hyperlink ref="B9" r:id="rId2" display="phenanthrene" xr:uid="{C20A9854-2F58-DE42-A34A-1555260C7A51}"/>
    <hyperlink ref="B10" r:id="rId3" display="anthracene" xr:uid="{8C817EF2-767B-1547-AE92-2BC676F78987}"/>
    <hyperlink ref="B13" r:id="rId4" display="pyrene" xr:uid="{12CB1CC5-F2D3-9445-87DE-C2E2D7D40C0C}"/>
    <hyperlink ref="B15" r:id="rId5" display="benzo[c]fluorene" xr:uid="{83032662-3A46-6145-A278-82901BCB74BB}"/>
    <hyperlink ref="B18" r:id="rId6" display="coronene" xr:uid="{9BC4D248-B9FB-0541-B06A-2B3E0E2819FB}"/>
    <hyperlink ref="B14" r:id="rId7" display="chrysene" xr:uid="{412456D4-2BB5-1840-96FE-7F1059760616}"/>
    <hyperlink ref="B16" r:id="rId8" display="Benz[e]acephenanthrylene" xr:uid="{16D71F9B-82EC-BA44-9310-760F76BA0371}"/>
    <hyperlink ref="B6" r:id="rId9" display="benzene" xr:uid="{3CED632E-D671-C646-95E7-908E5B4F2A00}"/>
    <hyperlink ref="B17" r:id="rId10" display="benzo_b_fluorene" xr:uid="{2D831D40-AAAB-1E4F-9758-D729D5DAB6C5}"/>
    <hyperlink ref="B19" r:id="rId11" xr:uid="{DB799001-9F53-F447-98E3-70E2020C7792}"/>
    <hyperlink ref="B20" r:id="rId12" display="Benzo_a_pyrene" xr:uid="{A39C4CF8-59DF-8241-B16B-8CDC1C7DEBF0}"/>
    <hyperlink ref="B21" r:id="rId13" xr:uid="{CB86D4E3-284F-4B41-A1E7-E557F979FDFA}"/>
    <hyperlink ref="B22" r:id="rId14" xr:uid="{9009C941-D516-FF4A-9D88-5E2F0D13DF2A}"/>
    <hyperlink ref="B23" r:id="rId15" xr:uid="{CE769679-7658-7949-9F14-C521B8C9761C}"/>
    <hyperlink ref="B25" r:id="rId16" xr:uid="{AAB85CEA-5838-A74C-95D6-261135E5207A}"/>
    <hyperlink ref="B26" r:id="rId17" location="section=InChIKey" xr:uid="{F18DE4F7-2B91-F143-B492-1A768D2956A2}"/>
    <hyperlink ref="B27" r:id="rId18" xr:uid="{B096B64C-696D-AA4C-8EAA-32FB59DFF83F}"/>
    <hyperlink ref="B7" r:id="rId19" xr:uid="{ED7957EB-FE09-274D-9228-A1DFE2E20087}"/>
    <hyperlink ref="B11" r:id="rId20" xr:uid="{3E8E05C3-650D-6F48-974D-172AE6BBDC1A}"/>
    <hyperlink ref="B12" r:id="rId21" xr:uid="{DAEC8EEB-3AA5-D04F-BCC0-26808B4A1B99}"/>
    <hyperlink ref="B24" r:id="rId22" xr:uid="{4565EC24-D559-1C42-902F-58CB8B17A934}"/>
  </hyperlinks>
  <pageMargins left="0.7" right="0.7" top="0.75" bottom="0.75" header="0.3" footer="0.3"/>
  <pageSetup orientation="portrait" horizontalDpi="0" verticalDpi="0"/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AF4A-2556-E44D-BD8A-72E1532A4D20}">
  <dimension ref="A2:V83"/>
  <sheetViews>
    <sheetView topLeftCell="D42" zoomScaleNormal="100" workbookViewId="0">
      <selection activeCell="M49" sqref="M49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6</v>
      </c>
      <c r="N12" s="19">
        <f t="shared" si="0"/>
        <v>6.3829787234042552</v>
      </c>
      <c r="O12" s="19">
        <f t="shared" si="1"/>
        <v>5</v>
      </c>
      <c r="P12" s="70">
        <f t="shared" si="2"/>
        <v>132</v>
      </c>
      <c r="Q12" s="70">
        <f t="shared" si="3"/>
        <v>84</v>
      </c>
      <c r="R12" s="70">
        <f t="shared" si="4"/>
        <v>1.8492574950966658</v>
      </c>
      <c r="S12" s="70">
        <f t="shared" si="5"/>
        <v>3.7533512064343162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11</v>
      </c>
      <c r="N24" s="19">
        <f t="shared" si="0"/>
        <v>11.702127659574469</v>
      </c>
      <c r="O24" s="19">
        <f t="shared" si="1"/>
        <v>24</v>
      </c>
      <c r="P24" s="70">
        <f t="shared" si="2"/>
        <v>726</v>
      </c>
      <c r="Q24" s="70">
        <f t="shared" si="3"/>
        <v>220</v>
      </c>
      <c r="R24" s="70">
        <f t="shared" si="4"/>
        <v>10.170916223031663</v>
      </c>
      <c r="S24" s="70">
        <f t="shared" si="5"/>
        <v>9.8302055406613054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30</v>
      </c>
      <c r="N25" s="19">
        <f t="shared" si="0"/>
        <v>31.914893617021278</v>
      </c>
      <c r="O25" s="19">
        <f t="shared" si="1"/>
        <v>25</v>
      </c>
      <c r="P25" s="70">
        <f t="shared" si="2"/>
        <v>2100</v>
      </c>
      <c r="Q25" s="70">
        <f t="shared" si="3"/>
        <v>660</v>
      </c>
      <c r="R25" s="70">
        <f t="shared" si="4"/>
        <v>29.420005603810591</v>
      </c>
      <c r="S25" s="70">
        <f t="shared" si="5"/>
        <v>29.490616621983911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47</v>
      </c>
      <c r="N26" s="19">
        <f t="shared" si="0"/>
        <v>50</v>
      </c>
      <c r="O26" s="19">
        <f t="shared" si="1"/>
        <v>30</v>
      </c>
      <c r="P26" s="70">
        <f t="shared" si="2"/>
        <v>3760</v>
      </c>
      <c r="Q26" s="70">
        <f t="shared" si="3"/>
        <v>1034</v>
      </c>
      <c r="R26" s="70">
        <f t="shared" si="4"/>
        <v>52.675819557298965</v>
      </c>
      <c r="S26" s="70">
        <f t="shared" si="5"/>
        <v>46.201966041108136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10</v>
      </c>
      <c r="N34" s="19">
        <f t="shared" si="0"/>
        <v>10.638297872340425</v>
      </c>
      <c r="O34" s="19">
        <f t="shared" si="1"/>
        <v>13</v>
      </c>
      <c r="P34" s="70">
        <f t="shared" si="2"/>
        <v>420</v>
      </c>
      <c r="Q34" s="70">
        <f t="shared" si="3"/>
        <v>240</v>
      </c>
      <c r="R34" s="70">
        <f t="shared" si="4"/>
        <v>5.8840011207621181</v>
      </c>
      <c r="S34" s="70">
        <f t="shared" si="5"/>
        <v>10.723860589812332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2.4000000000000004</v>
      </c>
      <c r="H40" s="59">
        <f t="shared" si="8"/>
        <v>7.0153846153846153</v>
      </c>
      <c r="I40" s="59">
        <f t="shared" si="8"/>
        <v>3.5999999999999996</v>
      </c>
      <c r="J40" s="59">
        <f t="shared" si="8"/>
        <v>14.55</v>
      </c>
      <c r="K40" s="59">
        <f t="shared" si="8"/>
        <v>33.733333333333334</v>
      </c>
      <c r="L40" s="59">
        <f t="shared" si="8"/>
        <v>42.70128205128205</v>
      </c>
      <c r="M40" s="70">
        <f>SUM(M6:M39)</f>
        <v>104</v>
      </c>
      <c r="N40" s="19">
        <f>SUM(N6:N27)</f>
        <v>100</v>
      </c>
      <c r="O40" s="19">
        <f>ROUND(AVERAGEIF(O6:O39,"&gt;0"),0)</f>
        <v>19</v>
      </c>
      <c r="P40" s="70">
        <f>SUM(P6:P39)</f>
        <v>7138</v>
      </c>
      <c r="Q40" s="70">
        <f>SUM(Q6:Q39)</f>
        <v>2238</v>
      </c>
    </row>
    <row r="41" spans="1:20">
      <c r="C41" s="60"/>
      <c r="D41" s="1"/>
      <c r="F41" s="73" t="s">
        <v>92</v>
      </c>
      <c r="G41" s="129">
        <f>SUM(G40:L40)</f>
        <v>104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2.3076923076923082E-2</v>
      </c>
      <c r="H43" s="74">
        <f>H40/$G$41</f>
        <v>6.7455621301775154E-2</v>
      </c>
      <c r="I43" s="74">
        <f t="shared" ref="I43" si="9">I40/$G$41</f>
        <v>3.461538461538461E-2</v>
      </c>
      <c r="J43" s="74">
        <f>J40/$G$41</f>
        <v>0.13990384615384616</v>
      </c>
      <c r="K43" s="74">
        <f>K40/$G$41</f>
        <v>0.32435897435897437</v>
      </c>
      <c r="L43" s="74">
        <f>L40/$G$41</f>
        <v>0.41058925049309664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BPCA_Experimental!G3</f>
        <v>2.0070599778316559E-2</v>
      </c>
      <c r="H44" s="76">
        <f>BPCA_Experimental!G4+BPCA_Experimental!G5</f>
        <v>6.7155269359706268E-2</v>
      </c>
      <c r="I44" s="76">
        <f>BPCA_Experimental!G6</f>
        <v>3.4547196647557121E-2</v>
      </c>
      <c r="J44" s="76">
        <f>BPCA_Experimental!G7</f>
        <v>0.1300441334632115</v>
      </c>
      <c r="K44" s="76">
        <f>BPCA_Experimental!G8</f>
        <v>0.3249240329328747</v>
      </c>
      <c r="L44" s="76">
        <f>BPCA_Experimental!G9</f>
        <v>0.42325876781833377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BPCA_Experimental!G17</f>
        <v>8.1329800487500909E-4</v>
      </c>
      <c r="H45" s="76">
        <f>BPCA_Experimental!G18+BPCA_Experimental!G19</f>
        <v>6.6581794382708677E-3</v>
      </c>
      <c r="I45" s="76">
        <f>BPCA_Experimental!G20</f>
        <v>1.4903963010309616E-3</v>
      </c>
      <c r="J45" s="76">
        <f>BPCA_Experimental!G21</f>
        <v>4.8679067158982174E-3</v>
      </c>
      <c r="K45" s="76">
        <f>BPCA_Experimental!G22</f>
        <v>7.3795602804227027E-3</v>
      </c>
      <c r="L45" s="76">
        <f>BPCA_Experimental!G23</f>
        <v>5.8422164928758347E-3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0.14978741700855547</v>
      </c>
      <c r="H46" s="59">
        <f t="shared" si="10"/>
        <v>4.4724999978795294E-3</v>
      </c>
      <c r="I46" s="59">
        <f t="shared" si="10"/>
        <v>1.9737626911707972E-3</v>
      </c>
      <c r="J46" s="59">
        <f t="shared" si="10"/>
        <v>7.5818204390003419E-2</v>
      </c>
      <c r="K46" s="59">
        <f t="shared" si="10"/>
        <v>1.739048259372853E-3</v>
      </c>
      <c r="L46" s="59">
        <f t="shared" si="10"/>
        <v>2.9933266097573193E-2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19</v>
      </c>
      <c r="M48" s="59"/>
    </row>
    <row r="49" spans="1:22" ht="16" customHeight="1">
      <c r="D49" s="1"/>
      <c r="E49" s="79"/>
      <c r="F49" s="80" t="s">
        <v>96</v>
      </c>
      <c r="G49" s="59">
        <f>BPCA_Experimental!G29</f>
        <v>0.3664855234279874</v>
      </c>
      <c r="H49" s="126" t="s">
        <v>123</v>
      </c>
      <c r="I49" s="126"/>
      <c r="J49" s="126"/>
      <c r="K49" s="126"/>
      <c r="L49" s="126"/>
      <c r="M49" s="59"/>
    </row>
    <row r="50" spans="1:22">
      <c r="D50" s="1"/>
      <c r="E50" s="79"/>
      <c r="F50" s="80" t="s">
        <v>97</v>
      </c>
      <c r="G50" s="59">
        <f>G49*G55</f>
        <v>0.30051812921094967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0.31353320257775286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-1.3015073366803187E-2</v>
      </c>
      <c r="H52" s="126"/>
      <c r="I52" s="126"/>
      <c r="J52" s="126"/>
      <c r="K52" s="126"/>
      <c r="L52" s="126"/>
      <c r="M52" s="59"/>
      <c r="N52" s="74"/>
      <c r="O52" s="74"/>
      <c r="P52" s="74"/>
      <c r="Q52" s="74"/>
      <c r="R52" s="74"/>
      <c r="S52" s="74"/>
      <c r="T52" s="95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5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BPCA_Experimental!G25</f>
        <v>0.82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0.91960834836382377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86AFFC98-0359-804E-AEAC-1E2B2208683D}"/>
    <hyperlink ref="B9" r:id="rId2" display="phenanthrene" xr:uid="{3CDC1C62-5302-914E-B095-9A20D6188F7B}"/>
    <hyperlink ref="B10" r:id="rId3" display="anthracene" xr:uid="{ABAE11B6-8F9A-784F-964A-D334BC62C44B}"/>
    <hyperlink ref="B13" r:id="rId4" display="pyrene" xr:uid="{8DE6E820-0A0B-A649-930D-E720DF1226B9}"/>
    <hyperlink ref="B15" r:id="rId5" display="benzo[c]fluorene" xr:uid="{3B669E36-BB7C-3845-BADB-E82F330C1D96}"/>
    <hyperlink ref="B18" r:id="rId6" display="coronene" xr:uid="{013AA256-2DED-DE42-8A25-C52663C6C54D}"/>
    <hyperlink ref="B14" r:id="rId7" display="chrysene" xr:uid="{345A9F5C-8D46-3C4C-BD6C-0B3BB266D3B3}"/>
    <hyperlink ref="B16" r:id="rId8" display="Benz[e]acephenanthrylene" xr:uid="{8C7CE2A7-BA00-7E4B-A279-2BCFF5BD613A}"/>
    <hyperlink ref="B6" r:id="rId9" display="benzene" xr:uid="{CA326F4D-1A37-A645-827A-16E1CBF9AD3E}"/>
    <hyperlink ref="B17" r:id="rId10" display="benzo_b_fluorene" xr:uid="{360E79AB-6FD2-E445-A095-A9313C5EBEF3}"/>
    <hyperlink ref="B19" r:id="rId11" xr:uid="{9A13EB68-4A88-FC49-B5B0-838068C1EC7E}"/>
    <hyperlink ref="B20" r:id="rId12" display="Benzo_a_pyrene" xr:uid="{1BAAD046-5695-FC46-B672-00360F2E85F6}"/>
    <hyperlink ref="B21" r:id="rId13" xr:uid="{1E24C073-C154-E548-B14F-628032311AD9}"/>
    <hyperlink ref="B22" r:id="rId14" xr:uid="{82CF6F5D-501D-7643-AA58-13DF811C2FEF}"/>
    <hyperlink ref="B23" r:id="rId15" xr:uid="{68246850-CBD3-BB48-9F29-DF800685D326}"/>
    <hyperlink ref="B25" r:id="rId16" xr:uid="{84204C34-D134-934A-A65B-C8205AABB65B}"/>
    <hyperlink ref="B26" r:id="rId17" location="section=InChIKey" xr:uid="{8D1E1207-781F-8A4F-A084-B503EED37A10}"/>
    <hyperlink ref="B27" r:id="rId18" xr:uid="{3BA39735-7CE4-AF47-B759-A544EBC747C1}"/>
    <hyperlink ref="B7" r:id="rId19" xr:uid="{5F7CC0E5-072D-9943-B750-62BA4974273E}"/>
    <hyperlink ref="B11" r:id="rId20" xr:uid="{82D49D6A-9F14-E546-BD58-0B2C8F75E514}"/>
    <hyperlink ref="B12" r:id="rId21" xr:uid="{01FE9927-2415-4746-9DB7-50CCF44748DD}"/>
    <hyperlink ref="B24" r:id="rId22" xr:uid="{E12BD960-8083-8644-B0C4-7D291327351D}"/>
  </hyperlinks>
  <pageMargins left="0.7" right="0.7" top="0.75" bottom="0.75" header="0.3" footer="0.3"/>
  <pageSetup orientation="portrait" horizontalDpi="0" verticalDpi="0"/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2B00-30F4-764B-9FB9-162B0A78B6BF}">
  <dimension ref="A2:V83"/>
  <sheetViews>
    <sheetView topLeftCell="D42" zoomScaleNormal="100" workbookViewId="0">
      <selection activeCell="N60" sqref="N60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1</v>
      </c>
      <c r="N7" s="19">
        <f t="shared" ref="N7:N39" si="0">(M7/SUM(M$6:M$27)*100)</f>
        <v>1.1764705882352942</v>
      </c>
      <c r="O7" s="19">
        <f t="shared" ref="O7:O39" si="1">IF(M7=0,0,F7*M7/M7)</f>
        <v>2</v>
      </c>
      <c r="P7" s="70">
        <f t="shared" ref="P7:P39" si="2">D7*M7</f>
        <v>13</v>
      </c>
      <c r="Q7" s="70">
        <f t="shared" ref="Q7:Q39" si="3">E7*M7</f>
        <v>10</v>
      </c>
      <c r="R7" s="70">
        <f t="shared" ref="R7:R39" si="4">(P7/$P$40*100)</f>
        <v>0.19353878219443205</v>
      </c>
      <c r="S7" s="70">
        <f t="shared" ref="S7:S39" si="5">(Q7/$Q$40*100)</f>
        <v>0.5181347150259068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1</v>
      </c>
      <c r="N11" s="19">
        <f t="shared" si="0"/>
        <v>1.1764705882352942</v>
      </c>
      <c r="O11" s="19">
        <f t="shared" si="1"/>
        <v>4</v>
      </c>
      <c r="P11" s="70">
        <f t="shared" si="2"/>
        <v>18</v>
      </c>
      <c r="Q11" s="70">
        <f t="shared" si="3"/>
        <v>12</v>
      </c>
      <c r="R11" s="70">
        <f>(P11/$P$40*100)</f>
        <v>0.26797677534613668</v>
      </c>
      <c r="S11" s="70">
        <f>(Q11/$Q$40*100)</f>
        <v>0.62176165803108807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0</v>
      </c>
      <c r="N12" s="19">
        <f t="shared" si="0"/>
        <v>0</v>
      </c>
      <c r="O12" s="19">
        <f t="shared" si="1"/>
        <v>0</v>
      </c>
      <c r="P12" s="70">
        <f t="shared" si="2"/>
        <v>0</v>
      </c>
      <c r="Q12" s="70">
        <f t="shared" si="3"/>
        <v>0</v>
      </c>
      <c r="R12" s="70">
        <f t="shared" si="4"/>
        <v>0</v>
      </c>
      <c r="S12" s="70">
        <f t="shared" si="5"/>
        <v>0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10</v>
      </c>
      <c r="N25" s="19">
        <f t="shared" si="0"/>
        <v>11.76470588235294</v>
      </c>
      <c r="O25" s="19">
        <f t="shared" si="1"/>
        <v>25</v>
      </c>
      <c r="P25" s="70">
        <f t="shared" si="2"/>
        <v>700</v>
      </c>
      <c r="Q25" s="70">
        <f t="shared" si="3"/>
        <v>220</v>
      </c>
      <c r="R25" s="70">
        <f t="shared" si="4"/>
        <v>10.421319041238648</v>
      </c>
      <c r="S25" s="70">
        <f t="shared" si="5"/>
        <v>11.398963730569948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68</v>
      </c>
      <c r="N26" s="19">
        <f t="shared" si="0"/>
        <v>80</v>
      </c>
      <c r="O26" s="19">
        <f t="shared" si="1"/>
        <v>30</v>
      </c>
      <c r="P26" s="70">
        <f t="shared" si="2"/>
        <v>5440</v>
      </c>
      <c r="Q26" s="70">
        <f t="shared" si="3"/>
        <v>1496</v>
      </c>
      <c r="R26" s="70">
        <f t="shared" si="4"/>
        <v>80.988536549054629</v>
      </c>
      <c r="S26" s="70">
        <f t="shared" si="5"/>
        <v>77.512953367875653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5</v>
      </c>
      <c r="N27" s="19">
        <f t="shared" si="0"/>
        <v>5.8823529411764701</v>
      </c>
      <c r="O27" s="19">
        <f t="shared" si="1"/>
        <v>31</v>
      </c>
      <c r="P27" s="70">
        <f t="shared" si="2"/>
        <v>420</v>
      </c>
      <c r="Q27" s="70">
        <f t="shared" si="3"/>
        <v>120</v>
      </c>
      <c r="R27" s="70">
        <f t="shared" si="4"/>
        <v>6.2527914247431884</v>
      </c>
      <c r="S27" s="70">
        <f t="shared" si="5"/>
        <v>6.2176165803108807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3</v>
      </c>
      <c r="N34" s="19">
        <f t="shared" si="0"/>
        <v>3.5294117647058822</v>
      </c>
      <c r="O34" s="19">
        <f t="shared" si="1"/>
        <v>13</v>
      </c>
      <c r="P34" s="70">
        <f t="shared" si="2"/>
        <v>126</v>
      </c>
      <c r="Q34" s="70">
        <f t="shared" si="3"/>
        <v>72</v>
      </c>
      <c r="R34" s="70">
        <f t="shared" si="4"/>
        <v>1.8758374274229568</v>
      </c>
      <c r="S34" s="70">
        <f t="shared" si="5"/>
        <v>3.730569948186528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1.5</v>
      </c>
      <c r="H40" s="59">
        <f t="shared" si="8"/>
        <v>2.1846153846153848</v>
      </c>
      <c r="I40" s="59">
        <f t="shared" si="8"/>
        <v>0.5</v>
      </c>
      <c r="J40" s="59">
        <f t="shared" si="8"/>
        <v>16.49677419354839</v>
      </c>
      <c r="K40" s="59">
        <f t="shared" si="8"/>
        <v>27.466666666666665</v>
      </c>
      <c r="L40" s="59">
        <f t="shared" si="8"/>
        <v>39.851943755169565</v>
      </c>
      <c r="M40" s="70">
        <f>SUM(M6:M39)</f>
        <v>88</v>
      </c>
      <c r="N40" s="19">
        <f>SUM(N6:N27)</f>
        <v>100</v>
      </c>
      <c r="O40" s="19">
        <f>ROUND(AVERAGEIF(O6:O39,"&gt;0"),0)</f>
        <v>18</v>
      </c>
      <c r="P40" s="70">
        <f>SUM(P6:P39)</f>
        <v>6717</v>
      </c>
      <c r="Q40" s="70">
        <f>SUM(Q6:Q39)</f>
        <v>1930</v>
      </c>
    </row>
    <row r="41" spans="1:20">
      <c r="C41" s="60"/>
      <c r="D41" s="1"/>
      <c r="F41" s="73" t="s">
        <v>92</v>
      </c>
      <c r="G41" s="129">
        <f>SUM(G40:L40)</f>
        <v>88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1.7045454545454544E-2</v>
      </c>
      <c r="H43" s="74">
        <f>H40/$G$41</f>
        <v>2.4825174825174826E-2</v>
      </c>
      <c r="I43" s="74">
        <f t="shared" ref="I43" si="9">I40/$G$41</f>
        <v>5.681818181818182E-3</v>
      </c>
      <c r="J43" s="74">
        <f>J40/$G$41</f>
        <v>0.18746334310850443</v>
      </c>
      <c r="K43" s="74">
        <f>K40/$G$41</f>
        <v>0.31212121212121208</v>
      </c>
      <c r="L43" s="74">
        <f>L40/$G$41</f>
        <v>0.45286299721783596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BPCA_Experimental!H3</f>
        <v>1.7798234948509826E-2</v>
      </c>
      <c r="H44" s="76">
        <f>BPCA_Experimental!H4+BPCA_Experimental!H5</f>
        <v>2.6873957656278813E-2</v>
      </c>
      <c r="I44" s="76">
        <f>BPCA_Experimental!H6</f>
        <v>7.4240498269105603E-3</v>
      </c>
      <c r="J44" s="76">
        <f>BPCA_Experimental!H7</f>
        <v>9.9811377982015628E-2</v>
      </c>
      <c r="K44" s="76">
        <f>BPCA_Experimental!H8</f>
        <v>0.30986523757109552</v>
      </c>
      <c r="L44" s="76">
        <f>BPCA_Experimental!H9</f>
        <v>0.53822714201518951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BPCA_Experimental!H17</f>
        <v>3.3752394696415617E-3</v>
      </c>
      <c r="H45" s="76">
        <f>BPCA_Experimental!H18+BPCA_Experimental!H19</f>
        <v>2.5420763575197962E-3</v>
      </c>
      <c r="I45" s="76">
        <f>BPCA_Experimental!H20</f>
        <v>1.9634220262432674E-3</v>
      </c>
      <c r="J45" s="76">
        <f>BPCA_Experimental!H21</f>
        <v>1.5722680239762876E-2</v>
      </c>
      <c r="K45" s="76">
        <f>BPCA_Experimental!H22</f>
        <v>5.4432833074832605E-2</v>
      </c>
      <c r="L45" s="76">
        <f>BPCA_Experimental!H23</f>
        <v>7.7360877544426734E-2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4.2295227882600171E-2</v>
      </c>
      <c r="H46" s="59">
        <f t="shared" si="10"/>
        <v>7.6236736594891163E-2</v>
      </c>
      <c r="I46" s="59">
        <f t="shared" si="10"/>
        <v>0.23467402370834969</v>
      </c>
      <c r="J46" s="59">
        <f t="shared" si="10"/>
        <v>0.87817608471733799</v>
      </c>
      <c r="K46" s="59">
        <f t="shared" si="10"/>
        <v>7.28050222025614E-3</v>
      </c>
      <c r="L46" s="59">
        <f t="shared" si="10"/>
        <v>0.15860245263317554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18</v>
      </c>
      <c r="M48" s="59"/>
    </row>
    <row r="49" spans="1:22" ht="16" customHeight="1">
      <c r="D49" s="1"/>
      <c r="E49" s="79"/>
      <c r="F49" s="80" t="s">
        <v>96</v>
      </c>
      <c r="G49" s="59">
        <f>BPCA_Experimental!H29</f>
        <v>0.26424758936501019</v>
      </c>
      <c r="H49" s="126" t="s">
        <v>123</v>
      </c>
      <c r="I49" s="126"/>
      <c r="J49" s="126"/>
      <c r="K49" s="126"/>
      <c r="L49" s="126"/>
      <c r="M49" s="59"/>
    </row>
    <row r="50" spans="1:22">
      <c r="D50" s="1"/>
      <c r="E50" s="79"/>
      <c r="F50" s="80" t="s">
        <v>97</v>
      </c>
      <c r="G50" s="59">
        <f>G49*G55</f>
        <v>0.20611311970470797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0.28733065356557985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-8.1217533860871882E-2</v>
      </c>
      <c r="H52" s="126"/>
      <c r="I52" s="126"/>
      <c r="J52" s="126"/>
      <c r="K52" s="126"/>
      <c r="L52" s="126"/>
      <c r="M52" s="59"/>
      <c r="N52" s="74"/>
      <c r="O52" s="74"/>
      <c r="P52" s="74"/>
      <c r="Q52" s="74"/>
      <c r="R52" s="74"/>
      <c r="S52" s="74"/>
      <c r="T52" s="95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5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BPCA_Experimental!H25</f>
        <v>0.78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0.83234200743494424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B827AE7C-9F57-A543-AF9B-BDB6F8F1A7AA}"/>
    <hyperlink ref="B9" r:id="rId2" display="phenanthrene" xr:uid="{9A81A41A-E14A-D544-8313-95E99C92874F}"/>
    <hyperlink ref="B10" r:id="rId3" display="anthracene" xr:uid="{4069FCE5-340D-E444-95AE-5E4B7DB06C29}"/>
    <hyperlink ref="B13" r:id="rId4" display="pyrene" xr:uid="{C84A785A-F43F-0444-B6FD-CC6FDF334623}"/>
    <hyperlink ref="B15" r:id="rId5" display="benzo[c]fluorene" xr:uid="{1D1880DF-F941-BE42-9C7C-FF9BCBE5B5F2}"/>
    <hyperlink ref="B18" r:id="rId6" display="coronene" xr:uid="{F4D4AFB7-EDA4-7249-9A45-1421D17AE2E3}"/>
    <hyperlink ref="B14" r:id="rId7" display="chrysene" xr:uid="{75731E02-845C-844C-A1A4-FEB3343920C3}"/>
    <hyperlink ref="B16" r:id="rId8" display="Benz[e]acephenanthrylene" xr:uid="{DF46B36B-27E0-C541-AE7F-48D7AA48647F}"/>
    <hyperlink ref="B6" r:id="rId9" display="benzene" xr:uid="{94B18952-00E4-E74C-9F61-E6762FD4F647}"/>
    <hyperlink ref="B17" r:id="rId10" display="benzo_b_fluorene" xr:uid="{109BB1A3-369F-FF4C-8485-FD742AAB1BE7}"/>
    <hyperlink ref="B19" r:id="rId11" xr:uid="{5E3F35BE-4262-2347-8F1C-F40DD0B83127}"/>
    <hyperlink ref="B20" r:id="rId12" display="Benzo_a_pyrene" xr:uid="{2F008339-B081-1545-9E1F-DD2A9F98B00A}"/>
    <hyperlink ref="B21" r:id="rId13" xr:uid="{B964848B-1FDF-B143-BB5C-69BC20E66C0C}"/>
    <hyperlink ref="B22" r:id="rId14" xr:uid="{43FEA9B3-34DB-3F4F-BAAF-F09313195E8D}"/>
    <hyperlink ref="B23" r:id="rId15" xr:uid="{D748F52F-6A21-404C-BF56-B81C11B06D66}"/>
    <hyperlink ref="B25" r:id="rId16" xr:uid="{1D130506-F5EB-9A43-8D85-DC05E1522CEF}"/>
    <hyperlink ref="B26" r:id="rId17" location="section=InChIKey" xr:uid="{93EAEAF9-762F-4A4B-84E2-2459259DEEA1}"/>
    <hyperlink ref="B27" r:id="rId18" xr:uid="{CD8CACEF-FFE7-B94B-B20A-B29CBD1F7E64}"/>
    <hyperlink ref="B7" r:id="rId19" xr:uid="{9F3997AE-19A6-6542-B493-5F73C1DA7141}"/>
    <hyperlink ref="B11" r:id="rId20" xr:uid="{964F78B7-8CD5-FC48-978C-283A06161ADD}"/>
    <hyperlink ref="B12" r:id="rId21" xr:uid="{78B44321-7DD6-7448-BD66-32104C686291}"/>
    <hyperlink ref="B24" r:id="rId22" xr:uid="{626916D5-5027-874C-BD3F-A0532E86F3B5}"/>
  </hyperlinks>
  <pageMargins left="0.7" right="0.7" top="0.75" bottom="0.75" header="0.3" footer="0.3"/>
  <pageSetup orientation="portrait" horizontalDpi="0" verticalDpi="0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PAH_Standard</vt:lpstr>
      <vt:lpstr>BPCA_Experimental</vt:lpstr>
      <vt:lpstr>BPCA_Model_400</vt:lpstr>
      <vt:lpstr>BPCA_Model_500</vt:lpstr>
      <vt:lpstr>BPCA_Model_600</vt:lpstr>
      <vt:lpstr>BPCA_Model_700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Sierra Jimenez, Valentina</cp:lastModifiedBy>
  <cp:revision/>
  <dcterms:created xsi:type="dcterms:W3CDTF">2023-08-09T15:11:39Z</dcterms:created>
  <dcterms:modified xsi:type="dcterms:W3CDTF">2024-06-04T12:04:13Z</dcterms:modified>
  <cp:category/>
  <cp:contentStatus/>
</cp:coreProperties>
</file>