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codeName="ThisWorkbook" defaultThemeVersion="166925"/>
  <mc:AlternateContent xmlns:mc="http://schemas.openxmlformats.org/markup-compatibility/2006">
    <mc:Choice Requires="x15">
      <x15ac:absPath xmlns:x15ac="http://schemas.microsoft.com/office/spreadsheetml/2010/11/ac" url="https://emailwsu-my.sharepoint.com/personal/v_sierrajimenez_wsu_edu/Documents/WSU/PhD/Thesis/Paper 1 Methodology/Paper/"/>
    </mc:Choice>
  </mc:AlternateContent>
  <xr:revisionPtr revIDLastSave="1905" documentId="13_ncr:1_{0596981D-2AE2-2C4B-8991-BB3DEC03047F}" xr6:coauthVersionLast="47" xr6:coauthVersionMax="47" xr10:uidLastSave="{2982EBD5-0DD3-E949-BC82-6ED9F8D98F2F}"/>
  <bookViews>
    <workbookView xWindow="0" yWindow="500" windowWidth="28800" windowHeight="15820" activeTab="1" xr2:uid="{EB29A718-2CE6-174F-8972-CCE909784FB0}"/>
  </bookViews>
  <sheets>
    <sheet name="PAH_Standard" sheetId="17" r:id="rId1"/>
    <sheet name="BPCA" sheetId="18" r:id="rId2"/>
    <sheet name="BPCA_Experimental" sheetId="2" r:id="rId3"/>
    <sheet name="BPCA_Model_400" sheetId="27" r:id="rId4"/>
    <sheet name="BPCA_Model_500" sheetId="30" r:id="rId5"/>
    <sheet name="BPCA_Model_600" sheetId="32" r:id="rId6"/>
    <sheet name="BPCA_Model_700" sheetId="34" r:id="rId7"/>
  </sheets>
  <definedNames>
    <definedName name="_xlnm._FilterDatabase" localSheetId="3" hidden="1">BPCA_Model_400!$A$5:$X$5</definedName>
    <definedName name="solver_adj" localSheetId="3" hidden="1">BPCA_Model_400!#REF!</definedName>
    <definedName name="solver_adj" localSheetId="4" hidden="1">BPCA_Model_500!#REF!</definedName>
    <definedName name="solver_adj" localSheetId="5" hidden="1">BPCA_Model_600!#REF!</definedName>
    <definedName name="solver_adj" localSheetId="6" hidden="1">BPCA_Model_700!#REF!</definedName>
    <definedName name="solver_cvg" localSheetId="3" hidden="1">0.0001</definedName>
    <definedName name="solver_cvg" localSheetId="4" hidden="1">0.0001</definedName>
    <definedName name="solver_cvg" localSheetId="5" hidden="1">0.0001</definedName>
    <definedName name="solver_cvg" localSheetId="6" hidden="1">0.0001</definedName>
    <definedName name="solver_drv" localSheetId="3" hidden="1">1</definedName>
    <definedName name="solver_drv" localSheetId="4" hidden="1">1</definedName>
    <definedName name="solver_drv" localSheetId="5" hidden="1">1</definedName>
    <definedName name="solver_drv" localSheetId="6" hidden="1">1</definedName>
    <definedName name="solver_eng" localSheetId="3" hidden="1">2</definedName>
    <definedName name="solver_eng" localSheetId="4" hidden="1">2</definedName>
    <definedName name="solver_eng" localSheetId="5" hidden="1">2</definedName>
    <definedName name="solver_eng" localSheetId="6" hidden="1">2</definedName>
    <definedName name="solver_itr" localSheetId="3" hidden="1">2147483647</definedName>
    <definedName name="solver_itr" localSheetId="4" hidden="1">2147483647</definedName>
    <definedName name="solver_itr" localSheetId="5" hidden="1">2147483647</definedName>
    <definedName name="solver_itr" localSheetId="6" hidden="1">2147483647</definedName>
    <definedName name="solver_lhs1" localSheetId="3" hidden="1">BPCA_Model_400!$H$43</definedName>
    <definedName name="solver_lhs1" localSheetId="4" hidden="1">BPCA_Model_500!$H$43</definedName>
    <definedName name="solver_lhs1" localSheetId="5" hidden="1">BPCA_Model_600!$H$43</definedName>
    <definedName name="solver_lhs1" localSheetId="6" hidden="1">BPCA_Model_700!$H$43</definedName>
    <definedName name="solver_lhs2" localSheetId="3" hidden="1">BPCA_Model_400!$L$43</definedName>
    <definedName name="solver_lhs2" localSheetId="4" hidden="1">BPCA_Model_500!$L$43</definedName>
    <definedName name="solver_lhs2" localSheetId="5" hidden="1">BPCA_Model_600!$L$43</definedName>
    <definedName name="solver_lhs2" localSheetId="6" hidden="1">BPCA_Model_700!$L$43</definedName>
    <definedName name="solver_lhs3" localSheetId="3" hidden="1">BPCA_Model_400!$M$43</definedName>
    <definedName name="solver_lhs3" localSheetId="4" hidden="1">BPCA_Model_500!$M$43</definedName>
    <definedName name="solver_lhs3" localSheetId="5" hidden="1">BPCA_Model_600!$M$43</definedName>
    <definedName name="solver_lhs3" localSheetId="6" hidden="1">BPCA_Model_700!$M$43</definedName>
    <definedName name="solver_lhs4" localSheetId="3" hidden="1">BPCA_Model_400!#REF!</definedName>
    <definedName name="solver_lhs4" localSheetId="4" hidden="1">BPCA_Model_500!#REF!</definedName>
    <definedName name="solver_lhs4" localSheetId="5" hidden="1">BPCA_Model_600!#REF!</definedName>
    <definedName name="solver_lhs4" localSheetId="6" hidden="1">BPCA_Model_700!#REF!</definedName>
    <definedName name="solver_lin" localSheetId="3" hidden="1">1</definedName>
    <definedName name="solver_lin" localSheetId="4" hidden="1">1</definedName>
    <definedName name="solver_lin" localSheetId="5" hidden="1">1</definedName>
    <definedName name="solver_lin" localSheetId="6" hidden="1">1</definedName>
    <definedName name="solver_mip" localSheetId="3" hidden="1">2147483647</definedName>
    <definedName name="solver_mip" localSheetId="4" hidden="1">2147483647</definedName>
    <definedName name="solver_mip" localSheetId="5" hidden="1">2147483647</definedName>
    <definedName name="solver_mip" localSheetId="6" hidden="1">2147483647</definedName>
    <definedName name="solver_mni" localSheetId="3" hidden="1">30</definedName>
    <definedName name="solver_mni" localSheetId="4" hidden="1">30</definedName>
    <definedName name="solver_mni" localSheetId="5" hidden="1">30</definedName>
    <definedName name="solver_mni" localSheetId="6" hidden="1">30</definedName>
    <definedName name="solver_mrt" localSheetId="3" hidden="1">0.075</definedName>
    <definedName name="solver_mrt" localSheetId="4" hidden="1">0.075</definedName>
    <definedName name="solver_mrt" localSheetId="5" hidden="1">0.075</definedName>
    <definedName name="solver_mrt" localSheetId="6" hidden="1">0.075</definedName>
    <definedName name="solver_msl" localSheetId="3" hidden="1">2</definedName>
    <definedName name="solver_msl" localSheetId="4" hidden="1">2</definedName>
    <definedName name="solver_msl" localSheetId="5" hidden="1">2</definedName>
    <definedName name="solver_msl" localSheetId="6" hidden="1">2</definedName>
    <definedName name="solver_neg" localSheetId="3" hidden="1">1</definedName>
    <definedName name="solver_neg" localSheetId="4" hidden="1">1</definedName>
    <definedName name="solver_neg" localSheetId="5" hidden="1">1</definedName>
    <definedName name="solver_neg" localSheetId="6" hidden="1">1</definedName>
    <definedName name="solver_nod" localSheetId="3" hidden="1">2147483647</definedName>
    <definedName name="solver_nod" localSheetId="4" hidden="1">2147483647</definedName>
    <definedName name="solver_nod" localSheetId="5" hidden="1">2147483647</definedName>
    <definedName name="solver_nod" localSheetId="6" hidden="1">2147483647</definedName>
    <definedName name="solver_num" localSheetId="3" hidden="1">4</definedName>
    <definedName name="solver_num" localSheetId="4" hidden="1">4</definedName>
    <definedName name="solver_num" localSheetId="5" hidden="1">4</definedName>
    <definedName name="solver_num" localSheetId="6" hidden="1">4</definedName>
    <definedName name="solver_opt" localSheetId="3" hidden="1">BPCA_Model_400!$N$43</definedName>
    <definedName name="solver_opt" localSheetId="4" hidden="1">BPCA_Model_500!$N$43</definedName>
    <definedName name="solver_opt" localSheetId="5" hidden="1">BPCA_Model_600!$N$43</definedName>
    <definedName name="solver_opt" localSheetId="6" hidden="1">BPCA_Model_700!$N$43</definedName>
    <definedName name="solver_pre" localSheetId="3" hidden="1">0.000001</definedName>
    <definedName name="solver_pre" localSheetId="4" hidden="1">0.000001</definedName>
    <definedName name="solver_pre" localSheetId="5" hidden="1">0.000001</definedName>
    <definedName name="solver_pre" localSheetId="6" hidden="1">0.000001</definedName>
    <definedName name="solver_rbv" localSheetId="3" hidden="1">1</definedName>
    <definedName name="solver_rbv" localSheetId="4" hidden="1">1</definedName>
    <definedName name="solver_rbv" localSheetId="5" hidden="1">1</definedName>
    <definedName name="solver_rbv" localSheetId="6" hidden="1">1</definedName>
    <definedName name="solver_rel1" localSheetId="3" hidden="1">1</definedName>
    <definedName name="solver_rel1" localSheetId="4" hidden="1">1</definedName>
    <definedName name="solver_rel1" localSheetId="5" hidden="1">1</definedName>
    <definedName name="solver_rel1" localSheetId="6" hidden="1">1</definedName>
    <definedName name="solver_rel2" localSheetId="3" hidden="1">1</definedName>
    <definedName name="solver_rel2" localSheetId="4" hidden="1">1</definedName>
    <definedName name="solver_rel2" localSheetId="5" hidden="1">1</definedName>
    <definedName name="solver_rel2" localSheetId="6" hidden="1">1</definedName>
    <definedName name="solver_rel3" localSheetId="3" hidden="1">1</definedName>
    <definedName name="solver_rel3" localSheetId="4" hidden="1">1</definedName>
    <definedName name="solver_rel3" localSheetId="5" hidden="1">1</definedName>
    <definedName name="solver_rel3" localSheetId="6" hidden="1">1</definedName>
    <definedName name="solver_rel4" localSheetId="3" hidden="1">2</definedName>
    <definedName name="solver_rel4" localSheetId="4" hidden="1">2</definedName>
    <definedName name="solver_rel4" localSheetId="5" hidden="1">2</definedName>
    <definedName name="solver_rel4" localSheetId="6" hidden="1">2</definedName>
    <definedName name="solver_rhs1" localSheetId="3" hidden="1">0.02</definedName>
    <definedName name="solver_rhs1" localSheetId="4" hidden="1">0.02</definedName>
    <definedName name="solver_rhs1" localSheetId="5" hidden="1">0.02</definedName>
    <definedName name="solver_rhs1" localSheetId="6" hidden="1">0.02</definedName>
    <definedName name="solver_rhs2" localSheetId="3" hidden="1">0.169</definedName>
    <definedName name="solver_rhs2" localSheetId="4" hidden="1">0.169</definedName>
    <definedName name="solver_rhs2" localSheetId="5" hidden="1">0.169</definedName>
    <definedName name="solver_rhs2" localSheetId="6" hidden="1">0.169</definedName>
    <definedName name="solver_rhs3" localSheetId="3" hidden="1">0.336</definedName>
    <definedName name="solver_rhs3" localSheetId="4" hidden="1">0.336</definedName>
    <definedName name="solver_rhs3" localSheetId="5" hidden="1">0.336</definedName>
    <definedName name="solver_rhs3" localSheetId="6" hidden="1">0.336</definedName>
    <definedName name="solver_rhs4" localSheetId="3" hidden="1">1</definedName>
    <definedName name="solver_rhs4" localSheetId="4" hidden="1">1</definedName>
    <definedName name="solver_rhs4" localSheetId="5" hidden="1">1</definedName>
    <definedName name="solver_rhs4" localSheetId="6" hidden="1">1</definedName>
    <definedName name="solver_rlx" localSheetId="3" hidden="1">2</definedName>
    <definedName name="solver_rlx" localSheetId="4" hidden="1">2</definedName>
    <definedName name="solver_rlx" localSheetId="5" hidden="1">2</definedName>
    <definedName name="solver_rlx" localSheetId="6" hidden="1">2</definedName>
    <definedName name="solver_rsd" localSheetId="3" hidden="1">0</definedName>
    <definedName name="solver_rsd" localSheetId="4" hidden="1">0</definedName>
    <definedName name="solver_rsd" localSheetId="5" hidden="1">0</definedName>
    <definedName name="solver_rsd" localSheetId="6" hidden="1">0</definedName>
    <definedName name="solver_scl" localSheetId="3" hidden="1">1</definedName>
    <definedName name="solver_scl" localSheetId="4" hidden="1">1</definedName>
    <definedName name="solver_scl" localSheetId="5" hidden="1">1</definedName>
    <definedName name="solver_scl" localSheetId="6" hidden="1">1</definedName>
    <definedName name="solver_sho" localSheetId="3" hidden="1">2</definedName>
    <definedName name="solver_sho" localSheetId="4" hidden="1">2</definedName>
    <definedName name="solver_sho" localSheetId="5" hidden="1">2</definedName>
    <definedName name="solver_sho" localSheetId="6" hidden="1">2</definedName>
    <definedName name="solver_ssz" localSheetId="3" hidden="1">100</definedName>
    <definedName name="solver_ssz" localSheetId="4" hidden="1">100</definedName>
    <definedName name="solver_ssz" localSheetId="5" hidden="1">100</definedName>
    <definedName name="solver_ssz" localSheetId="6" hidden="1">100</definedName>
    <definedName name="solver_tim" localSheetId="3" hidden="1">2147483647</definedName>
    <definedName name="solver_tim" localSheetId="4" hidden="1">2147483647</definedName>
    <definedName name="solver_tim" localSheetId="5" hidden="1">2147483647</definedName>
    <definedName name="solver_tim" localSheetId="6" hidden="1">2147483647</definedName>
    <definedName name="solver_tol" localSheetId="3" hidden="1">0.01</definedName>
    <definedName name="solver_tol" localSheetId="4" hidden="1">0.01</definedName>
    <definedName name="solver_tol" localSheetId="5" hidden="1">0.01</definedName>
    <definedName name="solver_tol" localSheetId="6" hidden="1">0.01</definedName>
    <definedName name="solver_typ" localSheetId="3" hidden="1">3</definedName>
    <definedName name="solver_typ" localSheetId="4" hidden="1">3</definedName>
    <definedName name="solver_typ" localSheetId="5" hidden="1">3</definedName>
    <definedName name="solver_typ" localSheetId="6" hidden="1">3</definedName>
    <definedName name="solver_val" localSheetId="3" hidden="1">0.476</definedName>
    <definedName name="solver_val" localSheetId="4" hidden="1">0.476</definedName>
    <definedName name="solver_val" localSheetId="5" hidden="1">0.476</definedName>
    <definedName name="solver_val" localSheetId="6" hidden="1">0.476</definedName>
    <definedName name="solver_ver" localSheetId="3" hidden="1">2</definedName>
    <definedName name="solver_ver" localSheetId="4" hidden="1">2</definedName>
    <definedName name="solver_ver" localSheetId="5" hidden="1">2</definedName>
    <definedName name="solver_ver" localSheetId="6" hidden="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3" i="34" l="1"/>
  <c r="U14" i="34"/>
  <c r="U15" i="34"/>
  <c r="U16" i="34"/>
  <c r="U17" i="34"/>
  <c r="U18" i="34"/>
  <c r="U19" i="34"/>
  <c r="U20" i="34"/>
  <c r="U21" i="34"/>
  <c r="U22" i="34"/>
  <c r="U23" i="34"/>
  <c r="U24" i="34"/>
  <c r="U25" i="34"/>
  <c r="U26" i="34"/>
  <c r="U27" i="34"/>
  <c r="U28" i="34"/>
  <c r="U29" i="34"/>
  <c r="U30" i="34"/>
  <c r="U31" i="34"/>
  <c r="U32" i="34"/>
  <c r="U33" i="34"/>
  <c r="U34" i="34"/>
  <c r="U35" i="34"/>
  <c r="U36" i="34"/>
  <c r="U37" i="34"/>
  <c r="U38" i="34"/>
  <c r="U39" i="34"/>
  <c r="U11" i="34"/>
  <c r="U12" i="34"/>
  <c r="U7" i="34"/>
  <c r="U8" i="34"/>
  <c r="U9" i="34"/>
  <c r="U10" i="34"/>
  <c r="U6" i="34"/>
  <c r="T13" i="34"/>
  <c r="T14" i="34"/>
  <c r="T15" i="34"/>
  <c r="T16" i="34"/>
  <c r="T17" i="34"/>
  <c r="T18" i="34"/>
  <c r="T19" i="34"/>
  <c r="T20" i="34"/>
  <c r="T21" i="34"/>
  <c r="T22" i="34"/>
  <c r="T23" i="34"/>
  <c r="T24" i="34"/>
  <c r="T25" i="34"/>
  <c r="T26" i="34"/>
  <c r="T27" i="34"/>
  <c r="T28" i="34"/>
  <c r="T29" i="34"/>
  <c r="T30" i="34"/>
  <c r="T31" i="34"/>
  <c r="T32" i="34"/>
  <c r="T33" i="34"/>
  <c r="T34" i="34"/>
  <c r="T35" i="34"/>
  <c r="T36" i="34"/>
  <c r="T37" i="34"/>
  <c r="T38" i="34"/>
  <c r="T39" i="34"/>
  <c r="T11" i="34"/>
  <c r="T12" i="34"/>
  <c r="T7" i="34"/>
  <c r="T8" i="34"/>
  <c r="T9" i="34"/>
  <c r="T10" i="34"/>
  <c r="T6" i="34"/>
  <c r="U13" i="32"/>
  <c r="U14" i="32"/>
  <c r="U15" i="32"/>
  <c r="U16" i="32"/>
  <c r="U17" i="32"/>
  <c r="U18" i="32"/>
  <c r="U19" i="32"/>
  <c r="U20" i="32"/>
  <c r="U21" i="32"/>
  <c r="U22" i="32"/>
  <c r="U23" i="32"/>
  <c r="U24" i="32"/>
  <c r="U25" i="32"/>
  <c r="U26" i="32"/>
  <c r="U27" i="32"/>
  <c r="U28" i="32"/>
  <c r="U29" i="32"/>
  <c r="U30" i="32"/>
  <c r="U31" i="32"/>
  <c r="U32" i="32"/>
  <c r="U33" i="32"/>
  <c r="U34" i="32"/>
  <c r="U35" i="32"/>
  <c r="U36" i="32"/>
  <c r="U37" i="32"/>
  <c r="U38" i="32"/>
  <c r="U39" i="32"/>
  <c r="U11" i="32"/>
  <c r="U12" i="32"/>
  <c r="U7" i="32"/>
  <c r="U8" i="32"/>
  <c r="U9" i="32"/>
  <c r="U10" i="32"/>
  <c r="U6" i="32"/>
  <c r="T13" i="32"/>
  <c r="T14" i="32"/>
  <c r="T15" i="32"/>
  <c r="T16" i="32"/>
  <c r="T17" i="32"/>
  <c r="T18" i="32"/>
  <c r="T19" i="32"/>
  <c r="T20" i="32"/>
  <c r="T21" i="32"/>
  <c r="T22" i="32"/>
  <c r="T23" i="32"/>
  <c r="T24" i="32"/>
  <c r="T25" i="32"/>
  <c r="T26" i="32"/>
  <c r="T27" i="32"/>
  <c r="T28" i="32"/>
  <c r="T29" i="32"/>
  <c r="T30" i="32"/>
  <c r="T31" i="32"/>
  <c r="T32" i="32"/>
  <c r="T33" i="32"/>
  <c r="T34" i="32"/>
  <c r="T35" i="32"/>
  <c r="T36" i="32"/>
  <c r="T37" i="32"/>
  <c r="T38" i="32"/>
  <c r="T39" i="32"/>
  <c r="T11" i="32"/>
  <c r="T12" i="32"/>
  <c r="T7" i="32"/>
  <c r="T8" i="32"/>
  <c r="T9" i="32"/>
  <c r="T10" i="32"/>
  <c r="T6" i="32"/>
  <c r="U13" i="27"/>
  <c r="U14" i="27"/>
  <c r="U15" i="27"/>
  <c r="U16" i="27"/>
  <c r="U17" i="27"/>
  <c r="U18" i="27"/>
  <c r="U19" i="27"/>
  <c r="U20" i="27"/>
  <c r="U21" i="27"/>
  <c r="U22" i="27"/>
  <c r="U23" i="27"/>
  <c r="U24" i="27"/>
  <c r="U25" i="27"/>
  <c r="U26" i="27"/>
  <c r="U27" i="27"/>
  <c r="U28" i="27"/>
  <c r="U29" i="27"/>
  <c r="U30" i="27"/>
  <c r="U31" i="27"/>
  <c r="U32" i="27"/>
  <c r="U33" i="27"/>
  <c r="U34" i="27"/>
  <c r="U35" i="27"/>
  <c r="U36" i="27"/>
  <c r="U37" i="27"/>
  <c r="U38" i="27"/>
  <c r="U39" i="27"/>
  <c r="U11" i="27"/>
  <c r="U12" i="27"/>
  <c r="V6" i="27"/>
  <c r="U7" i="27"/>
  <c r="U8" i="27"/>
  <c r="U9" i="27"/>
  <c r="U10" i="27"/>
  <c r="U6" i="27"/>
  <c r="T13" i="27"/>
  <c r="T14" i="27"/>
  <c r="T15" i="27"/>
  <c r="T16" i="27"/>
  <c r="T17" i="27"/>
  <c r="T18" i="27"/>
  <c r="T19" i="27"/>
  <c r="T20" i="27"/>
  <c r="T21" i="27"/>
  <c r="T22" i="27"/>
  <c r="T23" i="27"/>
  <c r="T24" i="27"/>
  <c r="T25" i="27"/>
  <c r="T26" i="27"/>
  <c r="T27" i="27"/>
  <c r="T28" i="27"/>
  <c r="T29" i="27"/>
  <c r="T30" i="27"/>
  <c r="T31" i="27"/>
  <c r="T32" i="27"/>
  <c r="T33" i="27"/>
  <c r="T34" i="27"/>
  <c r="T35" i="27"/>
  <c r="T36" i="27"/>
  <c r="T37" i="27"/>
  <c r="T38" i="27"/>
  <c r="T39" i="27"/>
  <c r="T11" i="27"/>
  <c r="T12" i="27"/>
  <c r="T7" i="27"/>
  <c r="T8" i="27"/>
  <c r="T9" i="27"/>
  <c r="T10" i="27"/>
  <c r="T6" i="27"/>
  <c r="U13" i="30"/>
  <c r="U14" i="30"/>
  <c r="U15" i="30"/>
  <c r="U16" i="30"/>
  <c r="U17" i="30"/>
  <c r="U18" i="30"/>
  <c r="U19" i="30"/>
  <c r="U20" i="30"/>
  <c r="U21" i="30"/>
  <c r="U22" i="30"/>
  <c r="U23" i="30"/>
  <c r="U24" i="30"/>
  <c r="U25" i="30"/>
  <c r="U26" i="30"/>
  <c r="U27" i="30"/>
  <c r="U28" i="30"/>
  <c r="U29" i="30"/>
  <c r="U30" i="30"/>
  <c r="U31" i="30"/>
  <c r="U32" i="30"/>
  <c r="U33" i="30"/>
  <c r="U34" i="30"/>
  <c r="U35" i="30"/>
  <c r="U36" i="30"/>
  <c r="U37" i="30"/>
  <c r="U38" i="30"/>
  <c r="U39" i="30"/>
  <c r="U11" i="30"/>
  <c r="U12" i="30"/>
  <c r="U7" i="30"/>
  <c r="U8" i="30"/>
  <c r="U9" i="30"/>
  <c r="U10" i="30"/>
  <c r="U6" i="30"/>
  <c r="T7" i="30"/>
  <c r="T8" i="30"/>
  <c r="T9" i="30"/>
  <c r="T10" i="30"/>
  <c r="T11" i="30"/>
  <c r="T12" i="30"/>
  <c r="T13" i="30"/>
  <c r="T14" i="30"/>
  <c r="T15" i="30"/>
  <c r="T16" i="30"/>
  <c r="T17" i="30"/>
  <c r="T18" i="30"/>
  <c r="T19" i="30"/>
  <c r="T20" i="30"/>
  <c r="T21" i="30"/>
  <c r="T22" i="30"/>
  <c r="T23" i="30"/>
  <c r="T24" i="30"/>
  <c r="T25" i="30"/>
  <c r="T26" i="30"/>
  <c r="T27" i="30"/>
  <c r="T28" i="30"/>
  <c r="T29" i="30"/>
  <c r="T30" i="30"/>
  <c r="T31" i="30"/>
  <c r="T32" i="30"/>
  <c r="T33" i="30"/>
  <c r="T34" i="30"/>
  <c r="T35" i="30"/>
  <c r="T36" i="30"/>
  <c r="T37" i="30"/>
  <c r="T38" i="30"/>
  <c r="T39" i="30"/>
  <c r="T6" i="30"/>
  <c r="G55" i="34"/>
  <c r="G49" i="34"/>
  <c r="G55" i="32"/>
  <c r="G49" i="32"/>
  <c r="L40" i="34" l="1"/>
  <c r="N45" i="34"/>
  <c r="N44" i="34"/>
  <c r="M45" i="34"/>
  <c r="M44" i="34"/>
  <c r="L45" i="34"/>
  <c r="L44" i="34"/>
  <c r="K45" i="34"/>
  <c r="K44" i="34"/>
  <c r="H45" i="34"/>
  <c r="G45" i="34"/>
  <c r="H44" i="34"/>
  <c r="G44" i="34"/>
  <c r="G50" i="34"/>
  <c r="O40" i="34"/>
  <c r="J40" i="34"/>
  <c r="I40" i="34"/>
  <c r="H40" i="34"/>
  <c r="S39" i="34"/>
  <c r="R39" i="34"/>
  <c r="Q39" i="34"/>
  <c r="P39" i="34"/>
  <c r="N39" i="34"/>
  <c r="M39" i="34"/>
  <c r="L39" i="34"/>
  <c r="D39" i="34"/>
  <c r="V39" i="34" s="1"/>
  <c r="S38" i="34"/>
  <c r="Q38" i="34"/>
  <c r="P38" i="34"/>
  <c r="N38" i="34"/>
  <c r="M38" i="34"/>
  <c r="L38" i="34"/>
  <c r="H38" i="34"/>
  <c r="D38" i="34"/>
  <c r="V38" i="34" s="1"/>
  <c r="S37" i="34"/>
  <c r="Q37" i="34"/>
  <c r="P37" i="34"/>
  <c r="N37" i="34"/>
  <c r="M37" i="34"/>
  <c r="L37" i="34"/>
  <c r="H37" i="34"/>
  <c r="G37" i="34"/>
  <c r="D37" i="34"/>
  <c r="R37" i="34" s="1"/>
  <c r="V36" i="34"/>
  <c r="S36" i="34"/>
  <c r="Q36" i="34"/>
  <c r="P36" i="34"/>
  <c r="N36" i="34"/>
  <c r="M36" i="34"/>
  <c r="L36" i="34"/>
  <c r="H36" i="34"/>
  <c r="D36" i="34"/>
  <c r="R36" i="34" s="1"/>
  <c r="S35" i="34"/>
  <c r="R35" i="34"/>
  <c r="Q35" i="34"/>
  <c r="P35" i="34"/>
  <c r="N35" i="34"/>
  <c r="L35" i="34"/>
  <c r="H35" i="34"/>
  <c r="D35" i="34"/>
  <c r="V35" i="34" s="1"/>
  <c r="S34" i="34"/>
  <c r="Q34" i="34"/>
  <c r="P34" i="34"/>
  <c r="N34" i="34"/>
  <c r="H34" i="34"/>
  <c r="D34" i="34"/>
  <c r="V34" i="34" s="1"/>
  <c r="V33" i="34"/>
  <c r="S33" i="34"/>
  <c r="R33" i="34"/>
  <c r="Q33" i="34"/>
  <c r="P33" i="34"/>
  <c r="N33" i="34"/>
  <c r="M33" i="34"/>
  <c r="L33" i="34"/>
  <c r="H33" i="34"/>
  <c r="D33" i="34"/>
  <c r="S32" i="34"/>
  <c r="R32" i="34"/>
  <c r="Q32" i="34"/>
  <c r="P32" i="34"/>
  <c r="N32" i="34"/>
  <c r="M32" i="34"/>
  <c r="L32" i="34"/>
  <c r="H32" i="34"/>
  <c r="D32" i="34"/>
  <c r="V32" i="34" s="1"/>
  <c r="V31" i="34"/>
  <c r="S31" i="34"/>
  <c r="R31" i="34"/>
  <c r="Q31" i="34"/>
  <c r="P31" i="34"/>
  <c r="N31" i="34"/>
  <c r="M31" i="34"/>
  <c r="L31" i="34"/>
  <c r="H31" i="34"/>
  <c r="D31" i="34"/>
  <c r="S30" i="34"/>
  <c r="R30" i="34"/>
  <c r="Q30" i="34"/>
  <c r="P30" i="34"/>
  <c r="N30" i="34"/>
  <c r="M30" i="34"/>
  <c r="L30" i="34"/>
  <c r="H30" i="34"/>
  <c r="D30" i="34"/>
  <c r="V30" i="34" s="1"/>
  <c r="V29" i="34"/>
  <c r="S29" i="34"/>
  <c r="R29" i="34"/>
  <c r="Q29" i="34"/>
  <c r="P29" i="34"/>
  <c r="N29" i="34"/>
  <c r="M29" i="34"/>
  <c r="L29" i="34"/>
  <c r="H29" i="34"/>
  <c r="D29" i="34"/>
  <c r="S28" i="34"/>
  <c r="R28" i="34"/>
  <c r="Q28" i="34"/>
  <c r="P28" i="34"/>
  <c r="M28" i="34"/>
  <c r="L28" i="34"/>
  <c r="H28" i="34"/>
  <c r="D28" i="34"/>
  <c r="V28" i="34" s="1"/>
  <c r="V27" i="34"/>
  <c r="S27" i="34"/>
  <c r="R27" i="34"/>
  <c r="Q27" i="34"/>
  <c r="P27" i="34"/>
  <c r="N27" i="34"/>
  <c r="L27" i="34"/>
  <c r="V26" i="34"/>
  <c r="R26" i="34"/>
  <c r="Q26" i="34"/>
  <c r="P26" i="34"/>
  <c r="N26" i="34"/>
  <c r="M26" i="34"/>
  <c r="L26" i="34"/>
  <c r="E26" i="34"/>
  <c r="S26" i="34" s="1"/>
  <c r="V25" i="34"/>
  <c r="S25" i="34"/>
  <c r="R25" i="34"/>
  <c r="Q25" i="34"/>
  <c r="P25" i="34"/>
  <c r="N25" i="34"/>
  <c r="M25" i="34"/>
  <c r="H25" i="34"/>
  <c r="V24" i="34"/>
  <c r="S24" i="34"/>
  <c r="R24" i="34"/>
  <c r="Q24" i="34"/>
  <c r="P24" i="34"/>
  <c r="N24" i="34"/>
  <c r="M24" i="34"/>
  <c r="L24" i="34"/>
  <c r="V23" i="34"/>
  <c r="S23" i="34"/>
  <c r="R23" i="34"/>
  <c r="Q23" i="34"/>
  <c r="P23" i="34"/>
  <c r="N23" i="34"/>
  <c r="M23" i="34"/>
  <c r="L23" i="34"/>
  <c r="V22" i="34"/>
  <c r="S22" i="34"/>
  <c r="R22" i="34"/>
  <c r="Q22" i="34"/>
  <c r="P22" i="34"/>
  <c r="N22" i="34"/>
  <c r="M22" i="34"/>
  <c r="M40" i="34" s="1"/>
  <c r="L22" i="34"/>
  <c r="V21" i="34"/>
  <c r="S21" i="34"/>
  <c r="R21" i="34"/>
  <c r="Q21" i="34"/>
  <c r="P21" i="34"/>
  <c r="N21" i="34"/>
  <c r="L21" i="34"/>
  <c r="H21" i="34"/>
  <c r="V20" i="34"/>
  <c r="S20" i="34"/>
  <c r="R20" i="34"/>
  <c r="Q20" i="34"/>
  <c r="P20" i="34"/>
  <c r="H20" i="34"/>
  <c r="G20" i="34"/>
  <c r="V19" i="34"/>
  <c r="S19" i="34"/>
  <c r="R19" i="34"/>
  <c r="Q19" i="34"/>
  <c r="P19" i="34"/>
  <c r="N19" i="34"/>
  <c r="H19" i="34"/>
  <c r="V18" i="34"/>
  <c r="S18" i="34"/>
  <c r="R18" i="34"/>
  <c r="Q18" i="34"/>
  <c r="P18" i="34"/>
  <c r="N18" i="34"/>
  <c r="N40" i="34" s="1"/>
  <c r="L18" i="34"/>
  <c r="V17" i="34"/>
  <c r="S17" i="34"/>
  <c r="R17" i="34"/>
  <c r="Q17" i="34"/>
  <c r="P17" i="34"/>
  <c r="G17" i="34"/>
  <c r="V16" i="34"/>
  <c r="S16" i="34"/>
  <c r="R16" i="34"/>
  <c r="Q16" i="34"/>
  <c r="P16" i="34"/>
  <c r="H16" i="34"/>
  <c r="G16" i="34"/>
  <c r="V15" i="34"/>
  <c r="S15" i="34"/>
  <c r="R15" i="34"/>
  <c r="Q15" i="34"/>
  <c r="P15" i="34"/>
  <c r="L15" i="34"/>
  <c r="L17" i="34" s="1"/>
  <c r="G15" i="34"/>
  <c r="V14" i="34"/>
  <c r="S14" i="34"/>
  <c r="R14" i="34"/>
  <c r="Q14" i="34"/>
  <c r="P14" i="34"/>
  <c r="V13" i="34"/>
  <c r="S13" i="34"/>
  <c r="R13" i="34"/>
  <c r="Q13" i="34"/>
  <c r="P13" i="34"/>
  <c r="L13" i="34"/>
  <c r="H13" i="34"/>
  <c r="V12" i="34"/>
  <c r="S12" i="34"/>
  <c r="R12" i="34"/>
  <c r="Q12" i="34"/>
  <c r="P12" i="34"/>
  <c r="G12" i="34"/>
  <c r="V11" i="34"/>
  <c r="S11" i="34"/>
  <c r="R11" i="34"/>
  <c r="Q11" i="34"/>
  <c r="P11" i="34"/>
  <c r="K11" i="34"/>
  <c r="K40" i="34" s="1"/>
  <c r="G11" i="34"/>
  <c r="G40" i="34" s="1"/>
  <c r="V10" i="34"/>
  <c r="S10" i="34"/>
  <c r="R10" i="34"/>
  <c r="Q10" i="34"/>
  <c r="P10" i="34"/>
  <c r="G10" i="34"/>
  <c r="V9" i="34"/>
  <c r="S9" i="34"/>
  <c r="R9" i="34"/>
  <c r="Q9" i="34"/>
  <c r="P9" i="34"/>
  <c r="L9" i="34"/>
  <c r="G9" i="34"/>
  <c r="V8" i="34"/>
  <c r="S8" i="34"/>
  <c r="R8" i="34"/>
  <c r="Q8" i="34"/>
  <c r="P8" i="34"/>
  <c r="V7" i="34"/>
  <c r="S7" i="34"/>
  <c r="R7" i="34"/>
  <c r="Q7" i="34"/>
  <c r="P7" i="34"/>
  <c r="G7" i="34"/>
  <c r="V6" i="34"/>
  <c r="S6" i="34"/>
  <c r="R6" i="34"/>
  <c r="Q6" i="34"/>
  <c r="P6" i="34"/>
  <c r="M5" i="34"/>
  <c r="L5" i="34"/>
  <c r="K5" i="34"/>
  <c r="J5" i="34"/>
  <c r="I5" i="34"/>
  <c r="H5" i="34"/>
  <c r="G5" i="34"/>
  <c r="N45" i="32"/>
  <c r="N44" i="32"/>
  <c r="M45" i="32"/>
  <c r="M44" i="32"/>
  <c r="L45" i="32"/>
  <c r="L44" i="32"/>
  <c r="K45" i="32"/>
  <c r="K44" i="32"/>
  <c r="H45" i="32"/>
  <c r="G45" i="32"/>
  <c r="H44" i="32"/>
  <c r="G44" i="32"/>
  <c r="G50" i="32"/>
  <c r="O40" i="32"/>
  <c r="J40" i="32"/>
  <c r="I40" i="32"/>
  <c r="V39" i="32"/>
  <c r="S39" i="32"/>
  <c r="Q39" i="32"/>
  <c r="P39" i="32"/>
  <c r="N39" i="32"/>
  <c r="M39" i="32"/>
  <c r="L39" i="32"/>
  <c r="D39" i="32"/>
  <c r="R39" i="32" s="1"/>
  <c r="V38" i="32"/>
  <c r="S38" i="32"/>
  <c r="R38" i="32"/>
  <c r="Q38" i="32"/>
  <c r="P38" i="32"/>
  <c r="N38" i="32"/>
  <c r="M38" i="32"/>
  <c r="L38" i="32"/>
  <c r="H38" i="32"/>
  <c r="D38" i="32"/>
  <c r="S37" i="32"/>
  <c r="Q37" i="32"/>
  <c r="P37" i="32"/>
  <c r="N37" i="32"/>
  <c r="M37" i="32"/>
  <c r="L37" i="32"/>
  <c r="H37" i="32"/>
  <c r="G37" i="32"/>
  <c r="D37" i="32"/>
  <c r="R37" i="32" s="1"/>
  <c r="S36" i="32"/>
  <c r="R36" i="32"/>
  <c r="Q36" i="32"/>
  <c r="P36" i="32"/>
  <c r="N36" i="32"/>
  <c r="M36" i="32"/>
  <c r="L36" i="32"/>
  <c r="H36" i="32"/>
  <c r="D36" i="32"/>
  <c r="V36" i="32" s="1"/>
  <c r="V35" i="32"/>
  <c r="S35" i="32"/>
  <c r="Q35" i="32"/>
  <c r="P35" i="32"/>
  <c r="N35" i="32"/>
  <c r="L35" i="32"/>
  <c r="H35" i="32"/>
  <c r="D35" i="32"/>
  <c r="R35" i="32" s="1"/>
  <c r="V34" i="32"/>
  <c r="S34" i="32"/>
  <c r="R34" i="32"/>
  <c r="Q34" i="32"/>
  <c r="P34" i="32"/>
  <c r="N34" i="32"/>
  <c r="H34" i="32"/>
  <c r="D34" i="32"/>
  <c r="V33" i="32"/>
  <c r="S33" i="32"/>
  <c r="Q33" i="32"/>
  <c r="P33" i="32"/>
  <c r="N33" i="32"/>
  <c r="M33" i="32"/>
  <c r="L33" i="32"/>
  <c r="H33" i="32"/>
  <c r="D33" i="32"/>
  <c r="R33" i="32" s="1"/>
  <c r="S32" i="32"/>
  <c r="R32" i="32"/>
  <c r="Q32" i="32"/>
  <c r="P32" i="32"/>
  <c r="N32" i="32"/>
  <c r="M32" i="32"/>
  <c r="L32" i="32"/>
  <c r="H32" i="32"/>
  <c r="D32" i="32"/>
  <c r="V32" i="32" s="1"/>
  <c r="V31" i="32"/>
  <c r="S31" i="32"/>
  <c r="Q31" i="32"/>
  <c r="P31" i="32"/>
  <c r="N31" i="32"/>
  <c r="M31" i="32"/>
  <c r="L31" i="32"/>
  <c r="H31" i="32"/>
  <c r="D31" i="32"/>
  <c r="R31" i="32" s="1"/>
  <c r="S30" i="32"/>
  <c r="R30" i="32"/>
  <c r="Q30" i="32"/>
  <c r="P30" i="32"/>
  <c r="N30" i="32"/>
  <c r="M30" i="32"/>
  <c r="L30" i="32"/>
  <c r="H30" i="32"/>
  <c r="D30" i="32"/>
  <c r="V30" i="32" s="1"/>
  <c r="V29" i="32"/>
  <c r="S29" i="32"/>
  <c r="Q29" i="32"/>
  <c r="P29" i="32"/>
  <c r="N29" i="32"/>
  <c r="M29" i="32"/>
  <c r="L29" i="32"/>
  <c r="H29" i="32"/>
  <c r="D29" i="32"/>
  <c r="R29" i="32" s="1"/>
  <c r="S28" i="32"/>
  <c r="R28" i="32"/>
  <c r="Q28" i="32"/>
  <c r="P28" i="32"/>
  <c r="M28" i="32"/>
  <c r="L28" i="32"/>
  <c r="H28" i="32"/>
  <c r="D28" i="32"/>
  <c r="V28" i="32" s="1"/>
  <c r="V27" i="32"/>
  <c r="S27" i="32"/>
  <c r="R27" i="32"/>
  <c r="Q27" i="32"/>
  <c r="P27" i="32"/>
  <c r="N27" i="32"/>
  <c r="L27" i="32"/>
  <c r="V26" i="32"/>
  <c r="S26" i="32"/>
  <c r="R26" i="32"/>
  <c r="Q26" i="32"/>
  <c r="P26" i="32"/>
  <c r="N26" i="32"/>
  <c r="M26" i="32"/>
  <c r="L26" i="32"/>
  <c r="E26" i="32"/>
  <c r="V25" i="32"/>
  <c r="S25" i="32"/>
  <c r="R25" i="32"/>
  <c r="Q25" i="32"/>
  <c r="P25" i="32"/>
  <c r="N25" i="32"/>
  <c r="M25" i="32"/>
  <c r="H25" i="32"/>
  <c r="V24" i="32"/>
  <c r="S24" i="32"/>
  <c r="R24" i="32"/>
  <c r="Q24" i="32"/>
  <c r="P24" i="32"/>
  <c r="N24" i="32"/>
  <c r="M24" i="32"/>
  <c r="L24" i="32"/>
  <c r="V23" i="32"/>
  <c r="S23" i="32"/>
  <c r="R23" i="32"/>
  <c r="Q23" i="32"/>
  <c r="P23" i="32"/>
  <c r="N23" i="32"/>
  <c r="M23" i="32"/>
  <c r="L23" i="32"/>
  <c r="V22" i="32"/>
  <c r="S22" i="32"/>
  <c r="R22" i="32"/>
  <c r="Q22" i="32"/>
  <c r="P22" i="32"/>
  <c r="N22" i="32"/>
  <c r="M22" i="32"/>
  <c r="M40" i="32" s="1"/>
  <c r="L22" i="32"/>
  <c r="V21" i="32"/>
  <c r="S21" i="32"/>
  <c r="R21" i="32"/>
  <c r="Q21" i="32"/>
  <c r="P21" i="32"/>
  <c r="N21" i="32"/>
  <c r="L21" i="32"/>
  <c r="H21" i="32"/>
  <c r="V20" i="32"/>
  <c r="S20" i="32"/>
  <c r="R20" i="32"/>
  <c r="Q20" i="32"/>
  <c r="P20" i="32"/>
  <c r="H20" i="32"/>
  <c r="G20" i="32"/>
  <c r="V19" i="32"/>
  <c r="S19" i="32"/>
  <c r="R19" i="32"/>
  <c r="Q19" i="32"/>
  <c r="P19" i="32"/>
  <c r="N19" i="32"/>
  <c r="H19" i="32"/>
  <c r="V18" i="32"/>
  <c r="S18" i="32"/>
  <c r="R18" i="32"/>
  <c r="Q18" i="32"/>
  <c r="P18" i="32"/>
  <c r="N18" i="32"/>
  <c r="N40" i="32" s="1"/>
  <c r="L18" i="32"/>
  <c r="V17" i="32"/>
  <c r="S17" i="32"/>
  <c r="R17" i="32"/>
  <c r="Q17" i="32"/>
  <c r="P17" i="32"/>
  <c r="L17" i="32"/>
  <c r="G17" i="32"/>
  <c r="V16" i="32"/>
  <c r="S16" i="32"/>
  <c r="R16" i="32"/>
  <c r="Q16" i="32"/>
  <c r="P16" i="32"/>
  <c r="H16" i="32"/>
  <c r="G16" i="32"/>
  <c r="V15" i="32"/>
  <c r="S15" i="32"/>
  <c r="R15" i="32"/>
  <c r="Q15" i="32"/>
  <c r="P15" i="32"/>
  <c r="L15" i="32"/>
  <c r="G15" i="32"/>
  <c r="V14" i="32"/>
  <c r="S14" i="32"/>
  <c r="R14" i="32"/>
  <c r="Q14" i="32"/>
  <c r="P14" i="32"/>
  <c r="V13" i="32"/>
  <c r="S13" i="32"/>
  <c r="R13" i="32"/>
  <c r="Q13" i="32"/>
  <c r="P13" i="32"/>
  <c r="L13" i="32"/>
  <c r="H13" i="32"/>
  <c r="H40" i="32" s="1"/>
  <c r="V12" i="32"/>
  <c r="S12" i="32"/>
  <c r="R12" i="32"/>
  <c r="Q12" i="32"/>
  <c r="P12" i="32"/>
  <c r="G12" i="32"/>
  <c r="G40" i="32" s="1"/>
  <c r="V11" i="32"/>
  <c r="S11" i="32"/>
  <c r="R11" i="32"/>
  <c r="Q11" i="32"/>
  <c r="P11" i="32"/>
  <c r="K11" i="32"/>
  <c r="K40" i="32" s="1"/>
  <c r="G11" i="32"/>
  <c r="V10" i="32"/>
  <c r="S10" i="32"/>
  <c r="R10" i="32"/>
  <c r="Q10" i="32"/>
  <c r="P10" i="32"/>
  <c r="G10" i="32"/>
  <c r="V9" i="32"/>
  <c r="S9" i="32"/>
  <c r="R9" i="32"/>
  <c r="Q9" i="32"/>
  <c r="P9" i="32"/>
  <c r="L9" i="32"/>
  <c r="L40" i="32" s="1"/>
  <c r="G9" i="32"/>
  <c r="V8" i="32"/>
  <c r="S8" i="32"/>
  <c r="R8" i="32"/>
  <c r="Q8" i="32"/>
  <c r="Q40" i="32" s="1"/>
  <c r="G48" i="32" s="1"/>
  <c r="P8" i="32"/>
  <c r="V7" i="32"/>
  <c r="S7" i="32"/>
  <c r="R7" i="32"/>
  <c r="Q7" i="32"/>
  <c r="P7" i="32"/>
  <c r="G7" i="32"/>
  <c r="V6" i="32"/>
  <c r="S6" i="32"/>
  <c r="R6" i="32"/>
  <c r="Q6" i="32"/>
  <c r="P6" i="32"/>
  <c r="M5" i="32"/>
  <c r="L5" i="32"/>
  <c r="K5" i="32"/>
  <c r="J5" i="32"/>
  <c r="I5" i="32"/>
  <c r="H5" i="32"/>
  <c r="G5" i="32"/>
  <c r="Q40" i="30"/>
  <c r="G55" i="30"/>
  <c r="G49" i="30"/>
  <c r="G50" i="30" s="1"/>
  <c r="H45" i="27"/>
  <c r="G45" i="30"/>
  <c r="H45" i="30"/>
  <c r="K45" i="30"/>
  <c r="L45" i="30"/>
  <c r="M45" i="30"/>
  <c r="N45" i="30"/>
  <c r="N44" i="30"/>
  <c r="M44" i="30"/>
  <c r="L44" i="30"/>
  <c r="K44" i="30"/>
  <c r="H44" i="30"/>
  <c r="G44" i="30"/>
  <c r="O40" i="30"/>
  <c r="J40" i="30"/>
  <c r="I40" i="30"/>
  <c r="S39" i="30"/>
  <c r="R39" i="30"/>
  <c r="Q39" i="30"/>
  <c r="P39" i="30"/>
  <c r="N39" i="30"/>
  <c r="M39" i="30"/>
  <c r="L39" i="30"/>
  <c r="D39" i="30"/>
  <c r="V39" i="30" s="1"/>
  <c r="V38" i="30"/>
  <c r="S38" i="30"/>
  <c r="R38" i="30"/>
  <c r="Q38" i="30"/>
  <c r="P38" i="30"/>
  <c r="N38" i="30"/>
  <c r="M38" i="30"/>
  <c r="L38" i="30"/>
  <c r="H38" i="30"/>
  <c r="D38" i="30"/>
  <c r="S37" i="30"/>
  <c r="Q37" i="30"/>
  <c r="P37" i="30"/>
  <c r="N37" i="30"/>
  <c r="M37" i="30"/>
  <c r="L37" i="30"/>
  <c r="H37" i="30"/>
  <c r="G37" i="30"/>
  <c r="D37" i="30"/>
  <c r="R37" i="30" s="1"/>
  <c r="V36" i="30"/>
  <c r="S36" i="30"/>
  <c r="Q36" i="30"/>
  <c r="P36" i="30"/>
  <c r="N36" i="30"/>
  <c r="M36" i="30"/>
  <c r="L36" i="30"/>
  <c r="H36" i="30"/>
  <c r="D36" i="30"/>
  <c r="R36" i="30" s="1"/>
  <c r="S35" i="30"/>
  <c r="R35" i="30"/>
  <c r="Q35" i="30"/>
  <c r="P35" i="30"/>
  <c r="N35" i="30"/>
  <c r="L35" i="30"/>
  <c r="H35" i="30"/>
  <c r="D35" i="30"/>
  <c r="V35" i="30" s="1"/>
  <c r="V34" i="30"/>
  <c r="S34" i="30"/>
  <c r="Q34" i="30"/>
  <c r="P34" i="30"/>
  <c r="N34" i="30"/>
  <c r="H34" i="30"/>
  <c r="D34" i="30"/>
  <c r="R34" i="30" s="1"/>
  <c r="V33" i="30"/>
  <c r="S33" i="30"/>
  <c r="R33" i="30"/>
  <c r="Q33" i="30"/>
  <c r="P33" i="30"/>
  <c r="N33" i="30"/>
  <c r="M33" i="30"/>
  <c r="L33" i="30"/>
  <c r="H33" i="30"/>
  <c r="D33" i="30"/>
  <c r="S32" i="30"/>
  <c r="R32" i="30"/>
  <c r="Q32" i="30"/>
  <c r="P32" i="30"/>
  <c r="N32" i="30"/>
  <c r="M32" i="30"/>
  <c r="L32" i="30"/>
  <c r="H32" i="30"/>
  <c r="D32" i="30"/>
  <c r="V32" i="30" s="1"/>
  <c r="V31" i="30"/>
  <c r="S31" i="30"/>
  <c r="R31" i="30"/>
  <c r="Q31" i="30"/>
  <c r="P31" i="30"/>
  <c r="N31" i="30"/>
  <c r="M31" i="30"/>
  <c r="L31" i="30"/>
  <c r="H31" i="30"/>
  <c r="D31" i="30"/>
  <c r="S30" i="30"/>
  <c r="R30" i="30"/>
  <c r="Q30" i="30"/>
  <c r="P30" i="30"/>
  <c r="N30" i="30"/>
  <c r="M30" i="30"/>
  <c r="L30" i="30"/>
  <c r="H30" i="30"/>
  <c r="D30" i="30"/>
  <c r="V30" i="30" s="1"/>
  <c r="V29" i="30"/>
  <c r="S29" i="30"/>
  <c r="R29" i="30"/>
  <c r="Q29" i="30"/>
  <c r="P29" i="30"/>
  <c r="N29" i="30"/>
  <c r="M29" i="30"/>
  <c r="L29" i="30"/>
  <c r="H29" i="30"/>
  <c r="D29" i="30"/>
  <c r="S28" i="30"/>
  <c r="R28" i="30"/>
  <c r="Q28" i="30"/>
  <c r="P28" i="30"/>
  <c r="M28" i="30"/>
  <c r="L28" i="30"/>
  <c r="H28" i="30"/>
  <c r="D28" i="30"/>
  <c r="V28" i="30" s="1"/>
  <c r="V27" i="30"/>
  <c r="S27" i="30"/>
  <c r="R27" i="30"/>
  <c r="Q27" i="30"/>
  <c r="P27" i="30"/>
  <c r="N27" i="30"/>
  <c r="L27" i="30"/>
  <c r="V26" i="30"/>
  <c r="R26" i="30"/>
  <c r="Q26" i="30"/>
  <c r="P26" i="30"/>
  <c r="N26" i="30"/>
  <c r="M26" i="30"/>
  <c r="L26" i="30"/>
  <c r="E26" i="30"/>
  <c r="S26" i="30" s="1"/>
  <c r="V25" i="30"/>
  <c r="S25" i="30"/>
  <c r="R25" i="30"/>
  <c r="Q25" i="30"/>
  <c r="P25" i="30"/>
  <c r="N25" i="30"/>
  <c r="M25" i="30"/>
  <c r="H25" i="30"/>
  <c r="V24" i="30"/>
  <c r="S24" i="30"/>
  <c r="R24" i="30"/>
  <c r="Q24" i="30"/>
  <c r="P24" i="30"/>
  <c r="N24" i="30"/>
  <c r="M24" i="30"/>
  <c r="L24" i="30"/>
  <c r="V23" i="30"/>
  <c r="S23" i="30"/>
  <c r="R23" i="30"/>
  <c r="Q23" i="30"/>
  <c r="P23" i="30"/>
  <c r="N23" i="30"/>
  <c r="M23" i="30"/>
  <c r="L23" i="30"/>
  <c r="V22" i="30"/>
  <c r="S22" i="30"/>
  <c r="R22" i="30"/>
  <c r="Q22" i="30"/>
  <c r="P22" i="30"/>
  <c r="N22" i="30"/>
  <c r="M22" i="30"/>
  <c r="M40" i="30" s="1"/>
  <c r="L22" i="30"/>
  <c r="V21" i="30"/>
  <c r="S21" i="30"/>
  <c r="R21" i="30"/>
  <c r="Q21" i="30"/>
  <c r="P21" i="30"/>
  <c r="N21" i="30"/>
  <c r="L21" i="30"/>
  <c r="H21" i="30"/>
  <c r="V20" i="30"/>
  <c r="S20" i="30"/>
  <c r="R20" i="30"/>
  <c r="Q20" i="30"/>
  <c r="P20" i="30"/>
  <c r="H20" i="30"/>
  <c r="G20" i="30"/>
  <c r="V19" i="30"/>
  <c r="S19" i="30"/>
  <c r="R19" i="30"/>
  <c r="Q19" i="30"/>
  <c r="P19" i="30"/>
  <c r="N19" i="30"/>
  <c r="H19" i="30"/>
  <c r="V18" i="30"/>
  <c r="S18" i="30"/>
  <c r="R18" i="30"/>
  <c r="Q18" i="30"/>
  <c r="P18" i="30"/>
  <c r="N18" i="30"/>
  <c r="N40" i="30" s="1"/>
  <c r="L18" i="30"/>
  <c r="V17" i="30"/>
  <c r="S17" i="30"/>
  <c r="R17" i="30"/>
  <c r="Q17" i="30"/>
  <c r="P17" i="30"/>
  <c r="L17" i="30"/>
  <c r="G17" i="30"/>
  <c r="V16" i="30"/>
  <c r="S16" i="30"/>
  <c r="R16" i="30"/>
  <c r="Q16" i="30"/>
  <c r="P16" i="30"/>
  <c r="H16" i="30"/>
  <c r="G16" i="30"/>
  <c r="V15" i="30"/>
  <c r="S15" i="30"/>
  <c r="R15" i="30"/>
  <c r="Q15" i="30"/>
  <c r="P15" i="30"/>
  <c r="L15" i="30"/>
  <c r="G15" i="30"/>
  <c r="V14" i="30"/>
  <c r="S14" i="30"/>
  <c r="R14" i="30"/>
  <c r="Q14" i="30"/>
  <c r="P14" i="30"/>
  <c r="V13" i="30"/>
  <c r="S13" i="30"/>
  <c r="R13" i="30"/>
  <c r="Q13" i="30"/>
  <c r="P13" i="30"/>
  <c r="L13" i="30"/>
  <c r="H13" i="30"/>
  <c r="H40" i="30" s="1"/>
  <c r="V12" i="30"/>
  <c r="S12" i="30"/>
  <c r="R12" i="30"/>
  <c r="Q12" i="30"/>
  <c r="P12" i="30"/>
  <c r="G12" i="30"/>
  <c r="V11" i="30"/>
  <c r="S11" i="30"/>
  <c r="R11" i="30"/>
  <c r="Q11" i="30"/>
  <c r="P11" i="30"/>
  <c r="K11" i="30"/>
  <c r="K40" i="30" s="1"/>
  <c r="G11" i="30"/>
  <c r="G40" i="30" s="1"/>
  <c r="V10" i="30"/>
  <c r="S10" i="30"/>
  <c r="R10" i="30"/>
  <c r="Q10" i="30"/>
  <c r="P10" i="30"/>
  <c r="G10" i="30"/>
  <c r="V9" i="30"/>
  <c r="S9" i="30"/>
  <c r="R9" i="30"/>
  <c r="Q9" i="30"/>
  <c r="P9" i="30"/>
  <c r="L9" i="30"/>
  <c r="L40" i="30" s="1"/>
  <c r="G9" i="30"/>
  <c r="V8" i="30"/>
  <c r="S8" i="30"/>
  <c r="R8" i="30"/>
  <c r="Q8" i="30"/>
  <c r="P8" i="30"/>
  <c r="V7" i="30"/>
  <c r="S7" i="30"/>
  <c r="R7" i="30"/>
  <c r="Q7" i="30"/>
  <c r="P7" i="30"/>
  <c r="G7" i="30"/>
  <c r="V6" i="30"/>
  <c r="S6" i="30"/>
  <c r="R6" i="30"/>
  <c r="Q6" i="30"/>
  <c r="P6" i="30"/>
  <c r="M5" i="30"/>
  <c r="L5" i="30"/>
  <c r="K5" i="30"/>
  <c r="J5" i="30"/>
  <c r="I5" i="30"/>
  <c r="H5" i="30"/>
  <c r="G5" i="30"/>
  <c r="R38" i="27"/>
  <c r="R39" i="27"/>
  <c r="O40" i="27"/>
  <c r="H40" i="27"/>
  <c r="I40" i="27"/>
  <c r="J40" i="27"/>
  <c r="K40" i="27"/>
  <c r="L40" i="27"/>
  <c r="M40" i="27"/>
  <c r="N40" i="27"/>
  <c r="G40" i="27"/>
  <c r="V28" i="27"/>
  <c r="V29" i="27"/>
  <c r="V30" i="27"/>
  <c r="V31" i="27"/>
  <c r="V32" i="27"/>
  <c r="V33" i="27"/>
  <c r="V34" i="27"/>
  <c r="V35" i="27"/>
  <c r="V36" i="27"/>
  <c r="V37" i="27"/>
  <c r="V38" i="27"/>
  <c r="V39" i="27"/>
  <c r="S28" i="27"/>
  <c r="S29" i="27"/>
  <c r="S30" i="27"/>
  <c r="S31" i="27"/>
  <c r="S32" i="27"/>
  <c r="S33" i="27"/>
  <c r="S34" i="27"/>
  <c r="S35" i="27"/>
  <c r="S36" i="27"/>
  <c r="S37" i="27"/>
  <c r="S38" i="27"/>
  <c r="S39" i="27"/>
  <c r="R28" i="27"/>
  <c r="R29" i="27"/>
  <c r="R30" i="27"/>
  <c r="R31" i="27"/>
  <c r="R32" i="27"/>
  <c r="R33" i="27"/>
  <c r="R34" i="27"/>
  <c r="R35" i="27"/>
  <c r="R36" i="27"/>
  <c r="R37" i="27"/>
  <c r="Q28" i="27"/>
  <c r="Q29" i="27"/>
  <c r="Q30" i="27"/>
  <c r="Q31" i="27"/>
  <c r="Q32" i="27"/>
  <c r="Q33" i="27"/>
  <c r="Q34" i="27"/>
  <c r="Q35" i="27"/>
  <c r="Q36" i="27"/>
  <c r="Q37" i="27"/>
  <c r="Q38" i="27"/>
  <c r="Q39" i="27"/>
  <c r="P28" i="27"/>
  <c r="P29" i="27"/>
  <c r="P30" i="27"/>
  <c r="P31" i="27"/>
  <c r="P32" i="27"/>
  <c r="P33" i="27"/>
  <c r="P34" i="27"/>
  <c r="P35" i="27"/>
  <c r="P36" i="27"/>
  <c r="P37" i="27"/>
  <c r="P38" i="27"/>
  <c r="P39" i="27"/>
  <c r="Q40" i="34" l="1"/>
  <c r="G48" i="34" s="1"/>
  <c r="P40" i="34"/>
  <c r="S40" i="34"/>
  <c r="G41" i="34"/>
  <c r="N43" i="34" s="1"/>
  <c r="N46" i="34" s="1"/>
  <c r="R34" i="34"/>
  <c r="V37" i="34"/>
  <c r="R38" i="34"/>
  <c r="P40" i="32"/>
  <c r="S40" i="32"/>
  <c r="G41" i="32"/>
  <c r="G43" i="32" s="1"/>
  <c r="G46" i="32" s="1"/>
  <c r="N43" i="32"/>
  <c r="N46" i="32" s="1"/>
  <c r="K43" i="32"/>
  <c r="K46" i="32" s="1"/>
  <c r="L43" i="32"/>
  <c r="L46" i="32" s="1"/>
  <c r="H43" i="32"/>
  <c r="H46" i="32" s="1"/>
  <c r="M43" i="32"/>
  <c r="M46" i="32" s="1"/>
  <c r="I43" i="32"/>
  <c r="R40" i="32"/>
  <c r="G56" i="32" s="1"/>
  <c r="V37" i="32"/>
  <c r="G48" i="30"/>
  <c r="P40" i="30"/>
  <c r="S40" i="30"/>
  <c r="G41" i="30"/>
  <c r="J43" i="30" s="1"/>
  <c r="R40" i="30"/>
  <c r="V37" i="30"/>
  <c r="J43" i="34" l="1"/>
  <c r="R40" i="34"/>
  <c r="M43" i="34"/>
  <c r="M46" i="34" s="1"/>
  <c r="H43" i="34"/>
  <c r="H46" i="34" s="1"/>
  <c r="G43" i="34"/>
  <c r="G46" i="34" s="1"/>
  <c r="I43" i="34"/>
  <c r="L43" i="34"/>
  <c r="L46" i="34" s="1"/>
  <c r="K43" i="34"/>
  <c r="K46" i="34" s="1"/>
  <c r="J43" i="32"/>
  <c r="G51" i="32"/>
  <c r="G52" i="32" s="1"/>
  <c r="H43" i="30"/>
  <c r="H46" i="30" s="1"/>
  <c r="N43" i="30"/>
  <c r="N46" i="30" s="1"/>
  <c r="I43" i="30"/>
  <c r="M43" i="30"/>
  <c r="M46" i="30" s="1"/>
  <c r="G56" i="30"/>
  <c r="L43" i="30"/>
  <c r="L46" i="30" s="1"/>
  <c r="K43" i="30"/>
  <c r="K46" i="30" s="1"/>
  <c r="G51" i="30"/>
  <c r="G52" i="30" s="1"/>
  <c r="G43" i="30"/>
  <c r="G46" i="30" s="1"/>
  <c r="D39" i="27"/>
  <c r="N39" i="27"/>
  <c r="M39" i="27"/>
  <c r="L39" i="27"/>
  <c r="D38" i="27"/>
  <c r="D37" i="27"/>
  <c r="D35" i="27"/>
  <c r="D36" i="27"/>
  <c r="N38" i="27"/>
  <c r="M38" i="27"/>
  <c r="L38" i="27"/>
  <c r="H38" i="27"/>
  <c r="N37" i="27"/>
  <c r="M37" i="27"/>
  <c r="L37" i="27"/>
  <c r="H37" i="27"/>
  <c r="G37" i="27"/>
  <c r="N36" i="27"/>
  <c r="M36" i="27"/>
  <c r="L36" i="27"/>
  <c r="H36" i="27"/>
  <c r="N35" i="27"/>
  <c r="L35" i="27"/>
  <c r="H35" i="27"/>
  <c r="N34" i="27"/>
  <c r="H34" i="27"/>
  <c r="D34" i="27"/>
  <c r="N33" i="27"/>
  <c r="M33" i="27"/>
  <c r="L33" i="27"/>
  <c r="H33" i="27"/>
  <c r="D33" i="27"/>
  <c r="N32" i="27"/>
  <c r="M32" i="27"/>
  <c r="L32" i="27"/>
  <c r="H32" i="27"/>
  <c r="D32" i="27"/>
  <c r="N31" i="27"/>
  <c r="M31" i="27"/>
  <c r="L31" i="27"/>
  <c r="H31" i="27"/>
  <c r="D31" i="27"/>
  <c r="N30" i="27"/>
  <c r="M30" i="27"/>
  <c r="L30" i="27"/>
  <c r="H30" i="27"/>
  <c r="D30" i="27"/>
  <c r="N29" i="27"/>
  <c r="M29" i="27"/>
  <c r="L29" i="27"/>
  <c r="H29" i="27"/>
  <c r="D29" i="27"/>
  <c r="M28" i="27"/>
  <c r="L28" i="27"/>
  <c r="H28" i="27"/>
  <c r="D28" i="27"/>
  <c r="E12" i="2"/>
  <c r="E13" i="2"/>
  <c r="E7" i="2"/>
  <c r="E9" i="2"/>
  <c r="E8" i="2"/>
  <c r="G51" i="34" l="1"/>
  <c r="G52" i="34" s="1"/>
  <c r="G56" i="34"/>
  <c r="Q7" i="27"/>
  <c r="Q40" i="27" s="1"/>
  <c r="G48" i="27" s="1"/>
  <c r="Q8" i="27"/>
  <c r="Q9" i="27"/>
  <c r="Q10" i="27"/>
  <c r="Q11" i="27"/>
  <c r="Q12" i="27"/>
  <c r="Q13" i="27"/>
  <c r="Q14" i="27"/>
  <c r="Q15" i="27"/>
  <c r="Q16" i="27"/>
  <c r="Q17" i="27"/>
  <c r="Q18" i="27"/>
  <c r="Q19" i="27"/>
  <c r="Q20" i="27"/>
  <c r="Q21" i="27"/>
  <c r="Q22" i="27"/>
  <c r="Q23" i="27"/>
  <c r="Q24" i="27"/>
  <c r="Q25" i="27"/>
  <c r="Q26" i="27"/>
  <c r="Q27" i="27"/>
  <c r="Q6" i="27"/>
  <c r="F13" i="2"/>
  <c r="F12" i="2"/>
  <c r="G13" i="2"/>
  <c r="H13" i="2"/>
  <c r="G12" i="2"/>
  <c r="H12" i="2"/>
  <c r="E34" i="2" l="1"/>
  <c r="E35" i="2"/>
  <c r="E36" i="2"/>
  <c r="E37" i="2"/>
  <c r="E38" i="2"/>
  <c r="E39" i="2"/>
  <c r="E40" i="2"/>
  <c r="E41" i="2"/>
  <c r="E42" i="2"/>
  <c r="E43" i="2"/>
  <c r="E44" i="2"/>
  <c r="G55" i="27" l="1"/>
  <c r="G49" i="27"/>
  <c r="N45" i="27"/>
  <c r="M45" i="27"/>
  <c r="L45" i="27"/>
  <c r="K45" i="27"/>
  <c r="G45" i="27"/>
  <c r="N44" i="27"/>
  <c r="M44" i="27"/>
  <c r="H44" i="27"/>
  <c r="L44" i="27"/>
  <c r="K44" i="27"/>
  <c r="G44" i="27"/>
  <c r="V27" i="27"/>
  <c r="S27" i="27"/>
  <c r="R27" i="27"/>
  <c r="P27" i="27"/>
  <c r="N27" i="27"/>
  <c r="L27" i="27"/>
  <c r="R26" i="27"/>
  <c r="P26" i="27"/>
  <c r="N26" i="27"/>
  <c r="M26" i="27"/>
  <c r="L26" i="27"/>
  <c r="E26" i="27"/>
  <c r="V26" i="27" s="1"/>
  <c r="V25" i="27"/>
  <c r="S25" i="27"/>
  <c r="R25" i="27"/>
  <c r="P25" i="27"/>
  <c r="N25" i="27"/>
  <c r="M25" i="27"/>
  <c r="H25" i="27"/>
  <c r="V24" i="27"/>
  <c r="S24" i="27"/>
  <c r="R24" i="27"/>
  <c r="P24" i="27"/>
  <c r="N24" i="27"/>
  <c r="M24" i="27"/>
  <c r="L24" i="27"/>
  <c r="V23" i="27"/>
  <c r="S23" i="27"/>
  <c r="R23" i="27"/>
  <c r="P23" i="27"/>
  <c r="N23" i="27"/>
  <c r="M23" i="27"/>
  <c r="L23" i="27"/>
  <c r="V22" i="27"/>
  <c r="S22" i="27"/>
  <c r="R22" i="27"/>
  <c r="P22" i="27"/>
  <c r="N22" i="27"/>
  <c r="M22" i="27"/>
  <c r="L22" i="27"/>
  <c r="V21" i="27"/>
  <c r="S21" i="27"/>
  <c r="R21" i="27"/>
  <c r="P21" i="27"/>
  <c r="N21" i="27"/>
  <c r="L21" i="27"/>
  <c r="H21" i="27"/>
  <c r="V20" i="27"/>
  <c r="S20" i="27"/>
  <c r="R20" i="27"/>
  <c r="P20" i="27"/>
  <c r="H20" i="27"/>
  <c r="G20" i="27"/>
  <c r="V19" i="27"/>
  <c r="S19" i="27"/>
  <c r="R19" i="27"/>
  <c r="P19" i="27"/>
  <c r="N19" i="27"/>
  <c r="H19" i="27"/>
  <c r="V18" i="27"/>
  <c r="S18" i="27"/>
  <c r="R18" i="27"/>
  <c r="P18" i="27"/>
  <c r="N18" i="27"/>
  <c r="L18" i="27"/>
  <c r="V17" i="27"/>
  <c r="S17" i="27"/>
  <c r="R17" i="27"/>
  <c r="P17" i="27"/>
  <c r="V16" i="27"/>
  <c r="S16" i="27"/>
  <c r="R16" i="27"/>
  <c r="P16" i="27"/>
  <c r="H16" i="27"/>
  <c r="G16" i="27"/>
  <c r="V15" i="27"/>
  <c r="S15" i="27"/>
  <c r="R15" i="27"/>
  <c r="P15" i="27"/>
  <c r="L15" i="27"/>
  <c r="L17" i="27" s="1"/>
  <c r="G15" i="27"/>
  <c r="G17" i="27" s="1"/>
  <c r="V14" i="27"/>
  <c r="S14" i="27"/>
  <c r="R14" i="27"/>
  <c r="P14" i="27"/>
  <c r="V13" i="27"/>
  <c r="S13" i="27"/>
  <c r="R13" i="27"/>
  <c r="P13" i="27"/>
  <c r="L13" i="27"/>
  <c r="H13" i="27"/>
  <c r="V12" i="27"/>
  <c r="S12" i="27"/>
  <c r="R12" i="27"/>
  <c r="P12" i="27"/>
  <c r="G12" i="27"/>
  <c r="V11" i="27"/>
  <c r="S11" i="27"/>
  <c r="R11" i="27"/>
  <c r="P11" i="27"/>
  <c r="K11" i="27"/>
  <c r="G11" i="27"/>
  <c r="V10" i="27"/>
  <c r="S10" i="27"/>
  <c r="R10" i="27"/>
  <c r="P10" i="27"/>
  <c r="G10" i="27"/>
  <c r="V9" i="27"/>
  <c r="S9" i="27"/>
  <c r="R9" i="27"/>
  <c r="P9" i="27"/>
  <c r="L9" i="27"/>
  <c r="G9" i="27"/>
  <c r="V8" i="27"/>
  <c r="S8" i="27"/>
  <c r="R8" i="27"/>
  <c r="P8" i="27"/>
  <c r="V7" i="27"/>
  <c r="S7" i="27"/>
  <c r="R7" i="27"/>
  <c r="P7" i="27"/>
  <c r="G7" i="27"/>
  <c r="S6" i="27"/>
  <c r="R6" i="27"/>
  <c r="P6" i="27"/>
  <c r="M5" i="27"/>
  <c r="L5" i="27"/>
  <c r="K5" i="27"/>
  <c r="J5" i="27"/>
  <c r="I5" i="27"/>
  <c r="H5" i="27"/>
  <c r="G5" i="27"/>
  <c r="R40" i="27" l="1"/>
  <c r="S26" i="27"/>
  <c r="S40" i="27" s="1"/>
  <c r="G50" i="27"/>
  <c r="G41" i="27"/>
  <c r="K43" i="27" s="1"/>
  <c r="K46" i="27" s="1"/>
  <c r="P40" i="27"/>
  <c r="G51" i="27" l="1"/>
  <c r="J43" i="27"/>
  <c r="G43" i="27"/>
  <c r="G46" i="27" s="1"/>
  <c r="G56" i="27"/>
  <c r="M43" i="27"/>
  <c r="M46" i="27" s="1"/>
  <c r="G52" i="27"/>
  <c r="H43" i="27"/>
  <c r="H46" i="27" s="1"/>
  <c r="N43" i="27"/>
  <c r="N46" i="27" s="1"/>
  <c r="I43" i="27"/>
  <c r="L43" i="27"/>
  <c r="L46" i="27" s="1"/>
  <c r="B3" i="2"/>
  <c r="B4" i="2"/>
  <c r="B5" i="2"/>
  <c r="B6" i="2"/>
  <c r="B7" i="2"/>
  <c r="B8" i="2"/>
  <c r="B9" i="2"/>
  <c r="D5" i="2" l="1"/>
  <c r="D3" i="2"/>
  <c r="D4" i="2"/>
  <c r="D9" i="2" l="1"/>
  <c r="D8" i="2"/>
  <c r="D6" i="2"/>
  <c r="D7" i="2"/>
  <c r="H6" i="17"/>
  <c r="P25" i="17" l="1"/>
  <c r="Y24" i="17" s="1"/>
  <c r="M25" i="17"/>
  <c r="V24" i="17" s="1"/>
  <c r="M23" i="17"/>
  <c r="V22" i="17" s="1"/>
  <c r="P23" i="17"/>
  <c r="Y22" i="17" s="1"/>
  <c r="K23" i="17"/>
  <c r="T22" i="17" s="1"/>
  <c r="M15" i="17"/>
  <c r="V14" i="17" s="1"/>
  <c r="P21" i="17"/>
  <c r="Y20" i="17" s="1"/>
  <c r="K21" i="17"/>
  <c r="T20" i="17" s="1"/>
  <c r="M19" i="17"/>
  <c r="V18" i="17" s="1"/>
  <c r="M17" i="17"/>
  <c r="V16" i="17" s="1"/>
  <c r="K19" i="17"/>
  <c r="T18" i="17" s="1"/>
  <c r="K17" i="17"/>
  <c r="T16" i="17" s="1"/>
  <c r="H15" i="17"/>
  <c r="Q14" i="17" s="1"/>
  <c r="M13" i="17"/>
  <c r="V12" i="17" s="1"/>
  <c r="K13" i="17"/>
  <c r="J13" i="17"/>
  <c r="M11" i="17"/>
  <c r="V10" i="17" s="1"/>
  <c r="H11" i="17"/>
  <c r="Q10" i="17" s="1"/>
  <c r="N9" i="17"/>
  <c r="H9" i="17"/>
  <c r="Q8" i="17" s="1"/>
  <c r="K7" i="17"/>
  <c r="I7" i="17"/>
  <c r="J7" i="17"/>
  <c r="M7" i="17"/>
  <c r="V26" i="17" l="1"/>
  <c r="Q27" i="17"/>
  <c r="T26" i="17"/>
  <c r="Y26" i="17"/>
  <c r="H7" i="17"/>
  <c r="J12" i="17" l="1"/>
  <c r="S12" i="17" s="1"/>
  <c r="K12" i="17"/>
  <c r="T12" i="17" s="1"/>
  <c r="H10" i="2" l="1"/>
  <c r="F10" i="2" l="1"/>
  <c r="G10" i="2"/>
  <c r="E10" i="2" l="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34">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bk>
      <extLst>
        <ext uri="{3e2802c4-a4d2-4d8b-9148-e3be6c30e623}">
          <xlrd:rvb i="19"/>
        </ext>
      </extLst>
    </bk>
    <bk>
      <extLst>
        <ext uri="{3e2802c4-a4d2-4d8b-9148-e3be6c30e623}">
          <xlrd:rvb i="20"/>
        </ext>
      </extLst>
    </bk>
    <bk>
      <extLst>
        <ext uri="{3e2802c4-a4d2-4d8b-9148-e3be6c30e623}">
          <xlrd:rvb i="21"/>
        </ext>
      </extLst>
    </bk>
    <bk>
      <extLst>
        <ext uri="{3e2802c4-a4d2-4d8b-9148-e3be6c30e623}">
          <xlrd:rvb i="22"/>
        </ext>
      </extLst>
    </bk>
    <bk>
      <extLst>
        <ext uri="{3e2802c4-a4d2-4d8b-9148-e3be6c30e623}">
          <xlrd:rvb i="23"/>
        </ext>
      </extLst>
    </bk>
    <bk>
      <extLst>
        <ext uri="{3e2802c4-a4d2-4d8b-9148-e3be6c30e623}">
          <xlrd:rvb i="24"/>
        </ext>
      </extLst>
    </bk>
    <bk>
      <extLst>
        <ext uri="{3e2802c4-a4d2-4d8b-9148-e3be6c30e623}">
          <xlrd:rvb i="25"/>
        </ext>
      </extLst>
    </bk>
    <bk>
      <extLst>
        <ext uri="{3e2802c4-a4d2-4d8b-9148-e3be6c30e623}">
          <xlrd:rvb i="26"/>
        </ext>
      </extLst>
    </bk>
    <bk>
      <extLst>
        <ext uri="{3e2802c4-a4d2-4d8b-9148-e3be6c30e623}">
          <xlrd:rvb i="27"/>
        </ext>
      </extLst>
    </bk>
    <bk>
      <extLst>
        <ext uri="{3e2802c4-a4d2-4d8b-9148-e3be6c30e623}">
          <xlrd:rvb i="28"/>
        </ext>
      </extLst>
    </bk>
    <bk>
      <extLst>
        <ext uri="{3e2802c4-a4d2-4d8b-9148-e3be6c30e623}">
          <xlrd:rvb i="29"/>
        </ext>
      </extLst>
    </bk>
    <bk>
      <extLst>
        <ext uri="{3e2802c4-a4d2-4d8b-9148-e3be6c30e623}">
          <xlrd:rvb i="30"/>
        </ext>
      </extLst>
    </bk>
    <bk>
      <extLst>
        <ext uri="{3e2802c4-a4d2-4d8b-9148-e3be6c30e623}">
          <xlrd:rvb i="31"/>
        </ext>
      </extLst>
    </bk>
    <bk>
      <extLst>
        <ext uri="{3e2802c4-a4d2-4d8b-9148-e3be6c30e623}">
          <xlrd:rvb i="32"/>
        </ext>
      </extLst>
    </bk>
    <bk>
      <extLst>
        <ext uri="{3e2802c4-a4d2-4d8b-9148-e3be6c30e623}">
          <xlrd:rvb i="33"/>
        </ext>
      </extLst>
    </bk>
  </futureMetadata>
  <valueMetadata count="34">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valueMetadata>
</metadata>
</file>

<file path=xl/sharedStrings.xml><?xml version="1.0" encoding="utf-8"?>
<sst xmlns="http://schemas.openxmlformats.org/spreadsheetml/2006/main" count="497" uniqueCount="174">
  <si>
    <t xml:space="preserve">Data extracted from: Quantification of black carbon in marine systems using the benzene polycarboxylic acid method: a mechanistic and yield study </t>
  </si>
  <si>
    <t>Link:</t>
  </si>
  <si>
    <t>https://aslopubs.onlinelibrary.wiley.com/doi/abs/10.4319/lom.2011.9.140</t>
  </si>
  <si>
    <t>PAH with a lower error regarding the expected value of BPCA</t>
  </si>
  <si>
    <t>PAH</t>
  </si>
  <si>
    <t>Structure</t>
  </si>
  <si>
    <t>Carbon</t>
  </si>
  <si>
    <t>% C</t>
  </si>
  <si>
    <t>% C recovered</t>
  </si>
  <si>
    <t>BPCA</t>
  </si>
  <si>
    <t>Correction Factors for BPCAS</t>
  </si>
  <si>
    <t>B3CA-3</t>
  </si>
  <si>
    <t>B4CA-2</t>
  </si>
  <si>
    <t>B5CA</t>
  </si>
  <si>
    <t>B6CA</t>
  </si>
  <si>
    <t>B2CA-1,2</t>
  </si>
  <si>
    <t xml:space="preserve">B2CA-2 </t>
  </si>
  <si>
    <t xml:space="preserve">B3CA-1 </t>
  </si>
  <si>
    <t>B3CA-2</t>
  </si>
  <si>
    <t>B4CA-3</t>
  </si>
  <si>
    <t>Anthracene</t>
  </si>
  <si>
    <t>Experimental</t>
  </si>
  <si>
    <t>Expected</t>
  </si>
  <si>
    <t>Penanthrene</t>
  </si>
  <si>
    <t>Retene</t>
  </si>
  <si>
    <t>Chrysene</t>
  </si>
  <si>
    <t>Pyrene</t>
  </si>
  <si>
    <t>1-Nitropyrene</t>
  </si>
  <si>
    <t>Perylene</t>
  </si>
  <si>
    <t>Benzo[ghi]perylene</t>
  </si>
  <si>
    <t>Coronene</t>
  </si>
  <si>
    <t>Average</t>
  </si>
  <si>
    <t>Method used by Ziolkowski et al., 2011</t>
  </si>
  <si>
    <t>PAHs were digested (2 to 10 mg) with 2 ml concentrated nitric acid (grade ACS). The tubes were heated at 180°C in a high-pressure digestion apparatus. The diggestion was done for 8 h. Internal standard, biphenyl-2,2’-dicarboxylic acid (1 mg mL–1 in methanol) was added after freeze drying the samples.</t>
  </si>
  <si>
    <t>Important conclusions from experimental results obtained by Ziolkowski et al., 2011</t>
  </si>
  <si>
    <t>–No significant correlations were found between the carbon yield and the number of aromatic rings or the percentage of carbon in the PAH; thus we are not able to draw any conclusions as to how the type or size of PAH oxidized is related to the carbon yield.</t>
  </si>
  <si>
    <t>–Aliphatic side chains of BC could be oxidized to carboxylic acids</t>
  </si>
  <si>
    <t xml:space="preserve">–Smaller PAHs favor the formation of less substituted BPCAs, whereas larger PAHs, such as coronene, favor the formation of more fully substituted BPCAs. </t>
  </si>
  <si>
    <t>– There seems to be no systematic pattern of oxidation, we cannot accurately model the oxidation products.</t>
  </si>
  <si>
    <t>–A linear regression of the difference between the expected and observed smaller BPCA percentage against the number of carbons in the PAH for all the non-pyrene PAHs had a positive slope with an r2 = 0.69. These results demonstrate that larger PAHs generally formed larger BPCAs than predicted from their stoichiometry.</t>
  </si>
  <si>
    <t>Acid Name</t>
  </si>
  <si>
    <t>Phthalic Acid</t>
  </si>
  <si>
    <t>Trimellitic Acid</t>
  </si>
  <si>
    <t>Trimesic Acid</t>
  </si>
  <si>
    <t>Hemimellitic Acid</t>
  </si>
  <si>
    <t>Mellophanic Acid</t>
  </si>
  <si>
    <t>Pyromellitic Acid</t>
  </si>
  <si>
    <t>Prehnitic Acid</t>
  </si>
  <si>
    <t>Benzenepentacarcoxylic acid</t>
  </si>
  <si>
    <t>Mellitic acid</t>
  </si>
  <si>
    <t>COOH position</t>
  </si>
  <si>
    <t>B3CA-1,2,4</t>
  </si>
  <si>
    <t>B3CA-1,3,5</t>
  </si>
  <si>
    <t>B3CA-1,2,3</t>
  </si>
  <si>
    <t>B4CA-1,2,3,5</t>
  </si>
  <si>
    <t>B4CA-1,2,4,5</t>
  </si>
  <si>
    <t>B4CA-1,2,3,4</t>
  </si>
  <si>
    <t>Reference Name</t>
  </si>
  <si>
    <t xml:space="preserve">B2CA-1 </t>
  </si>
  <si>
    <t>Not assigned</t>
  </si>
  <si>
    <t xml:space="preserve">B4CA-1 </t>
  </si>
  <si>
    <t>Explanation</t>
  </si>
  <si>
    <t>Internal standard used</t>
  </si>
  <si>
    <t>It can be this type when the 4 position was a COOH group that was before the digestion in the biochar</t>
  </si>
  <si>
    <t>The probability of finding this type of structure is very low.</t>
  </si>
  <si>
    <t>Most likely, it originates from a circular concatenation of PAH</t>
  </si>
  <si>
    <t>It can be this type when the 5 position was a COOH group that was before the digestion in the biochar</t>
  </si>
  <si>
    <t>It can be this type when the 5 position was an aliphatic chain that was before the digestion in the biochar</t>
  </si>
  <si>
    <t>If they are found, most likely, they come from linear PAH bigger than anthracene.</t>
  </si>
  <si>
    <t>Most likely, it originates from a circular concatenation of PAH.</t>
  </si>
  <si>
    <t>Used in the molecular model?</t>
  </si>
  <si>
    <t>No</t>
  </si>
  <si>
    <t>Yes</t>
  </si>
  <si>
    <t xml:space="preserve">No </t>
  </si>
  <si>
    <t>Why?</t>
  </si>
  <si>
    <t xml:space="preserve">B2CA structures are likely not relevant due to low amounts of these structures expected in biochar. But they are included because BPCA results suggest their presence mostly on low temperature biochar. Trimellitic acid would be included as B2CA-1 because the 4- position would be an additional H to be removed to fit a functional group, either COOH or an aliphatic chain.	
	</t>
  </si>
  <si>
    <t>Exclude this structure from the B3CA pool because it does not reflect condensed aromatic sheets</t>
  </si>
  <si>
    <t>This is a true B3CA</t>
  </si>
  <si>
    <t xml:space="preserve">This is included in the model as B3CA-2 because the 5- position would be an additional H to be removed to fit a functional group, either COOH or an aliphatic chain.	
	</t>
  </si>
  <si>
    <t>This is a true B4CA</t>
  </si>
  <si>
    <t>This is a true B5CA</t>
  </si>
  <si>
    <t>This is a true B6CA</t>
  </si>
  <si>
    <t>Example for Mellophanic Acid</t>
  </si>
  <si>
    <t>BPCA exp</t>
  </si>
  <si>
    <t>BPCA model</t>
  </si>
  <si>
    <t>C400</t>
  </si>
  <si>
    <t>C500</t>
  </si>
  <si>
    <t>C600</t>
  </si>
  <si>
    <t>C700</t>
  </si>
  <si>
    <t>Comments</t>
  </si>
  <si>
    <t>B3CA</t>
  </si>
  <si>
    <t>B4CA</t>
  </si>
  <si>
    <t>Total</t>
  </si>
  <si>
    <t>Stdandard error from experiments</t>
  </si>
  <si>
    <t>13C NMR Data</t>
  </si>
  <si>
    <t>Aromatic Carbon</t>
  </si>
  <si>
    <t>H/C</t>
  </si>
  <si>
    <t>Defective clusters</t>
  </si>
  <si>
    <t>Name</t>
  </si>
  <si>
    <t>C</t>
  </si>
  <si>
    <t>H</t>
  </si>
  <si>
    <t>defect1</t>
  </si>
  <si>
    <t>defect2</t>
  </si>
  <si>
    <t>defect3</t>
  </si>
  <si>
    <t>defect4</t>
  </si>
  <si>
    <t>defect5</t>
  </si>
  <si>
    <t>defect6</t>
  </si>
  <si>
    <t>defect7</t>
  </si>
  <si>
    <t>defect8</t>
  </si>
  <si>
    <t>defect9</t>
  </si>
  <si>
    <t>defect10</t>
  </si>
  <si>
    <t>defect11</t>
  </si>
  <si>
    <t>Note: Structures from 1 to 11 , such as pure PAH, are challenging to find in biochar. Still, as in subsequent processes in the methodology, they are modified with functional groups and cross-linked with other molecules, so their probability of being present is more feasible.</t>
  </si>
  <si>
    <t>Aromatic structures</t>
  </si>
  <si>
    <t>Molecule</t>
  </si>
  <si>
    <t>Hydrogen</t>
  </si>
  <si>
    <t>Ring Assign</t>
  </si>
  <si>
    <t>F(X)             Obtained from BPCA.py</t>
  </si>
  <si>
    <t>Molecule (%)</t>
  </si>
  <si>
    <t>Total C</t>
  </si>
  <si>
    <t>Total H</t>
  </si>
  <si>
    <t>Carbon (%)</t>
  </si>
  <si>
    <t>Hydrogen (%)</t>
  </si>
  <si>
    <t>Molecular Weight (Da)</t>
  </si>
  <si>
    <t>Benzene</t>
  </si>
  <si>
    <t>Dibenzofuran</t>
  </si>
  <si>
    <t>Phenalene</t>
  </si>
  <si>
    <t>Phenanthrene</t>
  </si>
  <si>
    <t>Tetracene</t>
  </si>
  <si>
    <t>Pentacene</t>
  </si>
  <si>
    <t>benzo(a)fluorene</t>
  </si>
  <si>
    <t>Benzo(b)fluoranthene</t>
  </si>
  <si>
    <t>benzo(b)fluorene</t>
  </si>
  <si>
    <t>Benzo(a)pyrene</t>
  </si>
  <si>
    <t>Benzo[g,h,i]perylene</t>
  </si>
  <si>
    <t>Circumpyrene</t>
  </si>
  <si>
    <t>Circumcoronene</t>
  </si>
  <si>
    <t>Circumovalene</t>
  </si>
  <si>
    <t>Pentatriacontaene</t>
  </si>
  <si>
    <t>Circumcircumpyrene</t>
  </si>
  <si>
    <t>C84</t>
  </si>
  <si>
    <t>Sum BPCA</t>
  </si>
  <si>
    <t>Modelo</t>
  </si>
  <si>
    <t>Std error experimental</t>
  </si>
  <si>
    <t>Diference</t>
  </si>
  <si>
    <t>H/C (Exp)</t>
  </si>
  <si>
    <t>BPCA contributes to pure aromatic H and C; the H/C ratio at this stage should be lower than the experimental ratio. The H/C will be adjusted later by incorporating more functional groups and carbon defects.</t>
  </si>
  <si>
    <t>H/C expected model</t>
  </si>
  <si>
    <t>H/C (model)</t>
  </si>
  <si>
    <t>Aproximate desired system</t>
  </si>
  <si>
    <t>Aromatic C (Exp)</t>
  </si>
  <si>
    <t>You want an excess of aromatic C for the modification process</t>
  </si>
  <si>
    <t>Aromatic C model</t>
  </si>
  <si>
    <t>Aliphatic</t>
  </si>
  <si>
    <t>Carboxyl</t>
  </si>
  <si>
    <t>Total Carbon</t>
  </si>
  <si>
    <t>It will be adjusted with the inlcusion of COOH and aliphatic chains in the model</t>
  </si>
  <si>
    <t xml:space="preserve">Functional groups to adjust </t>
  </si>
  <si>
    <t>Functional groups available to adjuts</t>
  </si>
  <si>
    <t>Average rings</t>
  </si>
  <si>
    <t>Rings</t>
  </si>
  <si>
    <t>N5</t>
  </si>
  <si>
    <t>N8</t>
  </si>
  <si>
    <t>N9</t>
  </si>
  <si>
    <t>N10</t>
  </si>
  <si>
    <t>N11</t>
  </si>
  <si>
    <t>N12</t>
  </si>
  <si>
    <t>N13</t>
  </si>
  <si>
    <t>N15</t>
  </si>
  <si>
    <t>N14</t>
  </si>
  <si>
    <t>N16</t>
  </si>
  <si>
    <t>N17</t>
  </si>
  <si>
    <t>N18</t>
  </si>
  <si>
    <t>It can be this type when the 4 position was an aliphatic chain before the digestion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</si>
</sst>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0"/>
    <numFmt numFmtId="166" formatCode="0.0000"/>
    <numFmt numFmtId="167" formatCode="0.000000"/>
    <numFmt numFmtId="168" formatCode="0.0"/>
  </numFmts>
  <fonts count="10">
    <font>
      <sz val="12"/>
      <color theme="1"/>
      <name val="Calibri"/>
      <family val="2"/>
      <scheme val="minor"/>
    </font>
    <font>
      <u/>
      <sz val="12"/>
      <color theme="10"/>
      <name val="Calibri"/>
      <family val="2"/>
      <scheme val="minor"/>
    </font>
    <font>
      <sz val="12"/>
      <color theme="1"/>
      <name val="Times New Roman"/>
      <family val="1"/>
    </font>
    <font>
      <b/>
      <sz val="12"/>
      <color theme="1"/>
      <name val="Times New Roman"/>
      <family val="1"/>
    </font>
    <font>
      <sz val="12"/>
      <color rgb="FF000000"/>
      <name val="Times New Roman"/>
      <family val="1"/>
    </font>
    <font>
      <b/>
      <sz val="12"/>
      <color rgb="FF000000"/>
      <name val="Times New Roman"/>
      <family val="1"/>
    </font>
    <font>
      <u/>
      <sz val="12"/>
      <color theme="10"/>
      <name val="Times New Roman"/>
      <family val="1"/>
    </font>
    <font>
      <u/>
      <sz val="12"/>
      <color theme="4"/>
      <name val="Times New Roman"/>
      <family val="1"/>
    </font>
    <font>
      <sz val="12"/>
      <color theme="1"/>
      <name val="Var(--jp-code-font-family)"/>
    </font>
    <font>
      <sz val="13"/>
      <color theme="1"/>
      <name val="Times New Roman"/>
      <family val="1"/>
    </font>
  </fonts>
  <fills count="7">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theme="8" tint="0.79998168889431442"/>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160">
    <xf numFmtId="0" fontId="0" fillId="0" borderId="0" xfId="0"/>
    <xf numFmtId="0" fontId="2" fillId="0" borderId="0" xfId="0" applyFont="1"/>
    <xf numFmtId="0" fontId="2" fillId="4" borderId="0" xfId="0" applyFont="1" applyFill="1"/>
    <xf numFmtId="0" fontId="2" fillId="4" borderId="0" xfId="0" applyFont="1" applyFill="1" applyAlignment="1">
      <alignment vertical="top"/>
    </xf>
    <xf numFmtId="0" fontId="2" fillId="4" borderId="0" xfId="0" applyFont="1" applyFill="1" applyAlignment="1">
      <alignment vertical="center"/>
    </xf>
    <xf numFmtId="0" fontId="3" fillId="4" borderId="0" xfId="0" applyFont="1" applyFill="1" applyAlignment="1">
      <alignment vertical="center"/>
    </xf>
    <xf numFmtId="0" fontId="2" fillId="4" borderId="0" xfId="0" applyFont="1" applyFill="1" applyAlignment="1">
      <alignment horizontal="center" vertical="center"/>
    </xf>
    <xf numFmtId="0" fontId="3" fillId="0" borderId="0" xfId="0" applyFont="1" applyAlignment="1">
      <alignment horizontal="center" vertical="center"/>
    </xf>
    <xf numFmtId="164" fontId="2" fillId="4" borderId="0" xfId="0" applyNumberFormat="1" applyFont="1" applyFill="1" applyAlignment="1">
      <alignment horizontal="center" vertical="center"/>
    </xf>
    <xf numFmtId="0" fontId="2" fillId="4" borderId="0" xfId="0" applyFont="1" applyFill="1" applyAlignment="1">
      <alignment horizontal="left" vertical="center"/>
    </xf>
    <xf numFmtId="0" fontId="6" fillId="4" borderId="0" xfId="1" applyFont="1" applyFill="1" applyAlignment="1">
      <alignment horizontal="center" vertical="center"/>
    </xf>
    <xf numFmtId="0" fontId="6" fillId="2" borderId="0" xfId="1" applyFont="1" applyFill="1"/>
    <xf numFmtId="0" fontId="2" fillId="4" borderId="0" xfId="0" applyFont="1" applyFill="1" applyAlignment="1">
      <alignment horizontal="left"/>
    </xf>
    <xf numFmtId="0" fontId="3" fillId="4" borderId="0" xfId="0" applyFont="1" applyFill="1" applyAlignment="1">
      <alignment horizontal="left"/>
    </xf>
    <xf numFmtId="164" fontId="2" fillId="0" borderId="0" xfId="0" applyNumberFormat="1" applyFont="1"/>
    <xf numFmtId="0" fontId="3" fillId="6" borderId="0" xfId="0" applyFont="1" applyFill="1" applyAlignment="1">
      <alignment horizontal="center" vertical="center"/>
    </xf>
    <xf numFmtId="0" fontId="3" fillId="4" borderId="0" xfId="0" applyFont="1" applyFill="1" applyAlignment="1">
      <alignment horizontal="center"/>
    </xf>
    <xf numFmtId="0" fontId="2" fillId="0" borderId="0" xfId="0" applyFont="1" applyAlignment="1">
      <alignment horizontal="center" vertical="center"/>
    </xf>
    <xf numFmtId="0" fontId="3" fillId="6" borderId="5" xfId="0" applyFont="1" applyFill="1" applyBorder="1" applyAlignment="1">
      <alignment horizontal="center" vertical="center"/>
    </xf>
    <xf numFmtId="0" fontId="2" fillId="0" borderId="5" xfId="0" applyFont="1" applyBorder="1" applyAlignment="1">
      <alignment horizontal="center" vertical="center"/>
    </xf>
    <xf numFmtId="168" fontId="2" fillId="0" borderId="0" xfId="0" applyNumberFormat="1" applyFont="1" applyAlignment="1">
      <alignment horizontal="center" vertical="center"/>
    </xf>
    <xf numFmtId="168" fontId="2" fillId="0" borderId="5" xfId="0" applyNumberFormat="1" applyFont="1" applyBorder="1" applyAlignment="1">
      <alignment horizontal="center" vertical="center"/>
    </xf>
    <xf numFmtId="2" fontId="2" fillId="0" borderId="0" xfId="0" applyNumberFormat="1" applyFont="1" applyAlignment="1">
      <alignment horizontal="center" vertical="center"/>
    </xf>
    <xf numFmtId="2" fontId="2" fillId="0" borderId="5" xfId="0" applyNumberFormat="1" applyFont="1" applyBorder="1" applyAlignment="1">
      <alignment horizontal="center" vertical="center"/>
    </xf>
    <xf numFmtId="0" fontId="2" fillId="0" borderId="6" xfId="0" applyFont="1" applyBorder="1" applyAlignment="1">
      <alignment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5" fillId="5" borderId="1" xfId="0" applyFont="1" applyFill="1" applyBorder="1" applyAlignment="1">
      <alignment horizontal="left" vertical="center"/>
    </xf>
    <xf numFmtId="0" fontId="5" fillId="5" borderId="2" xfId="0" applyFont="1" applyFill="1" applyBorder="1" applyAlignment="1">
      <alignment vertical="center"/>
    </xf>
    <xf numFmtId="0" fontId="3" fillId="5" borderId="2" xfId="0" applyFont="1" applyFill="1" applyBorder="1"/>
    <xf numFmtId="0" fontId="3" fillId="5" borderId="3" xfId="0" applyFont="1" applyFill="1" applyBorder="1"/>
    <xf numFmtId="0" fontId="4" fillId="0" borderId="4" xfId="0" applyFont="1" applyBorder="1" applyAlignment="1">
      <alignment horizontal="left" vertical="center"/>
    </xf>
    <xf numFmtId="0" fontId="4" fillId="0" borderId="0" xfId="0" applyFont="1" applyAlignment="1">
      <alignment vertical="center"/>
    </xf>
    <xf numFmtId="0" fontId="2" fillId="0" borderId="5" xfId="0" applyFont="1" applyBorder="1"/>
    <xf numFmtId="0" fontId="4" fillId="0" borderId="0" xfId="0" applyFont="1"/>
    <xf numFmtId="0" fontId="4" fillId="0" borderId="4" xfId="0" applyFont="1" applyBorder="1" applyAlignment="1">
      <alignment horizontal="left" vertical="top"/>
    </xf>
    <xf numFmtId="0" fontId="4" fillId="0" borderId="0" xfId="0" applyFont="1" applyAlignment="1">
      <alignment vertical="top"/>
    </xf>
    <xf numFmtId="0" fontId="4" fillId="0" borderId="0" xfId="0" applyFont="1" applyAlignment="1">
      <alignment vertical="top" wrapText="1"/>
    </xf>
    <xf numFmtId="0" fontId="2" fillId="0" borderId="0" xfId="0" applyFont="1" applyAlignment="1">
      <alignment vertical="top" wrapText="1"/>
    </xf>
    <xf numFmtId="0" fontId="2" fillId="0" borderId="5" xfId="0" applyFont="1" applyBorder="1" applyAlignment="1">
      <alignment vertical="top" wrapText="1"/>
    </xf>
    <xf numFmtId="0" fontId="2" fillId="0" borderId="4" xfId="0" applyFont="1" applyBorder="1" applyAlignment="1">
      <alignment horizontal="left"/>
    </xf>
    <xf numFmtId="0" fontId="2" fillId="3" borderId="0" xfId="0" applyFont="1" applyFill="1"/>
    <xf numFmtId="0" fontId="2" fillId="3" borderId="5" xfId="0" applyFont="1" applyFill="1" applyBorder="1"/>
    <xf numFmtId="166" fontId="3" fillId="6" borderId="1" xfId="0" applyNumberFormat="1" applyFont="1" applyFill="1" applyBorder="1"/>
    <xf numFmtId="166" fontId="3" fillId="6" borderId="2" xfId="0" applyNumberFormat="1" applyFont="1" applyFill="1" applyBorder="1" applyAlignment="1">
      <alignment horizontal="left"/>
    </xf>
    <xf numFmtId="166" fontId="3" fillId="6" borderId="2" xfId="0" applyNumberFormat="1" applyFont="1" applyFill="1" applyBorder="1"/>
    <xf numFmtId="165" fontId="5" fillId="6" borderId="2" xfId="0" applyNumberFormat="1" applyFont="1" applyFill="1" applyBorder="1"/>
    <xf numFmtId="166" fontId="3" fillId="6" borderId="3" xfId="0" applyNumberFormat="1" applyFont="1" applyFill="1" applyBorder="1"/>
    <xf numFmtId="166" fontId="2" fillId="0" borderId="4" xfId="0" applyNumberFormat="1" applyFont="1" applyBorder="1" applyAlignment="1">
      <alignment horizontal="left" vertical="center"/>
    </xf>
    <xf numFmtId="0" fontId="2" fillId="0" borderId="0" xfId="0" applyFont="1" applyAlignment="1">
      <alignment horizontal="left"/>
    </xf>
    <xf numFmtId="166" fontId="2" fillId="0" borderId="0" xfId="0" applyNumberFormat="1" applyFont="1"/>
    <xf numFmtId="166" fontId="2" fillId="0" borderId="5" xfId="0" applyNumberFormat="1" applyFont="1" applyBorder="1"/>
    <xf numFmtId="166" fontId="2" fillId="0" borderId="4" xfId="0" applyNumberFormat="1" applyFont="1" applyBorder="1"/>
    <xf numFmtId="166" fontId="2" fillId="0" borderId="0" xfId="0" applyNumberFormat="1" applyFont="1" applyAlignment="1">
      <alignment horizontal="left"/>
    </xf>
    <xf numFmtId="0" fontId="2" fillId="0" borderId="4" xfId="0" applyFont="1" applyBorder="1"/>
    <xf numFmtId="166" fontId="2" fillId="0" borderId="7" xfId="0" applyNumberFormat="1" applyFont="1" applyBorder="1"/>
    <xf numFmtId="166" fontId="2" fillId="0" borderId="8" xfId="0" applyNumberFormat="1" applyFont="1" applyBorder="1"/>
    <xf numFmtId="166" fontId="3" fillId="6" borderId="4" xfId="0" applyNumberFormat="1" applyFont="1" applyFill="1" applyBorder="1"/>
    <xf numFmtId="166" fontId="3" fillId="6" borderId="0" xfId="0" applyNumberFormat="1" applyFont="1" applyFill="1" applyAlignment="1">
      <alignment horizontal="left"/>
    </xf>
    <xf numFmtId="166" fontId="3" fillId="6" borderId="0" xfId="0" applyNumberFormat="1" applyFont="1" applyFill="1"/>
    <xf numFmtId="165" fontId="5" fillId="6" borderId="0" xfId="0" applyNumberFormat="1" applyFont="1" applyFill="1"/>
    <xf numFmtId="166" fontId="3" fillId="6" borderId="5" xfId="0" applyNumberFormat="1" applyFont="1" applyFill="1" applyBorder="1"/>
    <xf numFmtId="166" fontId="2" fillId="4" borderId="0" xfId="0" applyNumberFormat="1" applyFont="1" applyFill="1"/>
    <xf numFmtId="164" fontId="2" fillId="4" borderId="0" xfId="0" applyNumberFormat="1" applyFont="1" applyFill="1"/>
    <xf numFmtId="0" fontId="2" fillId="4" borderId="0" xfId="0" applyFont="1" applyFill="1" applyAlignment="1">
      <alignment horizontal="center"/>
    </xf>
    <xf numFmtId="167" fontId="2" fillId="4" borderId="0" xfId="0" applyNumberFormat="1" applyFont="1" applyFill="1"/>
    <xf numFmtId="164" fontId="2" fillId="0" borderId="5" xfId="0" applyNumberFormat="1" applyFont="1" applyBorder="1"/>
    <xf numFmtId="164" fontId="2" fillId="0" borderId="7" xfId="0" applyNumberFormat="1" applyFont="1" applyBorder="1"/>
    <xf numFmtId="164" fontId="2" fillId="0" borderId="8" xfId="0" applyNumberFormat="1" applyFont="1" applyBorder="1"/>
    <xf numFmtId="0" fontId="4" fillId="4" borderId="0" xfId="0" applyFont="1" applyFill="1"/>
    <xf numFmtId="2" fontId="2" fillId="0" borderId="0" xfId="0" applyNumberFormat="1" applyFont="1"/>
    <xf numFmtId="2" fontId="2" fillId="0" borderId="5" xfId="0" applyNumberFormat="1" applyFont="1" applyBorder="1"/>
    <xf numFmtId="0" fontId="2" fillId="0" borderId="6" xfId="0" applyFont="1" applyBorder="1"/>
    <xf numFmtId="0" fontId="2" fillId="0" borderId="7" xfId="0" applyFont="1" applyBorder="1"/>
    <xf numFmtId="2" fontId="2" fillId="0" borderId="8" xfId="0" applyNumberFormat="1" applyFont="1" applyBorder="1"/>
    <xf numFmtId="0" fontId="2" fillId="3" borderId="4" xfId="0" applyFont="1" applyFill="1" applyBorder="1"/>
    <xf numFmtId="164" fontId="2" fillId="0" borderId="0" xfId="0" applyNumberFormat="1" applyFont="1" applyAlignment="1">
      <alignment horizontal="center" vertical="center"/>
    </xf>
    <xf numFmtId="0" fontId="2" fillId="0" borderId="0" xfId="0" applyFont="1" applyAlignment="1">
      <alignment horizontal="center"/>
    </xf>
    <xf numFmtId="0" fontId="2" fillId="0" borderId="0" xfId="0" applyFont="1" applyAlignment="1">
      <alignment horizontal="center" vertical="top"/>
    </xf>
    <xf numFmtId="0" fontId="3" fillId="0" borderId="0" xfId="0" applyFont="1"/>
    <xf numFmtId="0" fontId="3" fillId="6" borderId="0" xfId="0" applyFont="1" applyFill="1" applyAlignment="1">
      <alignment vertical="center"/>
    </xf>
    <xf numFmtId="164" fontId="3" fillId="6" borderId="0" xfId="0" applyNumberFormat="1" applyFont="1" applyFill="1" applyAlignment="1">
      <alignment horizontal="center" vertical="center"/>
    </xf>
    <xf numFmtId="1" fontId="3" fillId="6" borderId="0" xfId="0" applyNumberFormat="1" applyFont="1" applyFill="1" applyAlignment="1">
      <alignment horizontal="center" vertical="center" wrapText="1"/>
    </xf>
    <xf numFmtId="2" fontId="3" fillId="6" borderId="0" xfId="0" applyNumberFormat="1" applyFont="1" applyFill="1" applyAlignment="1">
      <alignment horizontal="center" vertical="center"/>
    </xf>
    <xf numFmtId="1" fontId="3" fillId="6" borderId="0" xfId="0" applyNumberFormat="1" applyFont="1" applyFill="1" applyAlignment="1">
      <alignment horizontal="center" vertical="center"/>
    </xf>
    <xf numFmtId="168" fontId="3" fillId="6" borderId="0" xfId="0" applyNumberFormat="1" applyFont="1" applyFill="1" applyAlignment="1">
      <alignment horizontal="center" vertical="center" wrapText="1"/>
    </xf>
    <xf numFmtId="168" fontId="3" fillId="0" borderId="0" xfId="0" applyNumberFormat="1" applyFont="1" applyAlignment="1">
      <alignment horizontal="center" vertical="center" wrapText="1"/>
    </xf>
    <xf numFmtId="1" fontId="2" fillId="0" borderId="0" xfId="0" applyNumberFormat="1" applyFont="1" applyAlignment="1">
      <alignment horizontal="center" vertical="center"/>
    </xf>
    <xf numFmtId="168" fontId="2" fillId="0" borderId="0" xfId="0" applyNumberFormat="1" applyFont="1" applyAlignment="1">
      <alignment horizontal="center" vertical="center" wrapText="1"/>
    </xf>
    <xf numFmtId="164" fontId="4" fillId="0" borderId="0" xfId="0" applyNumberFormat="1" applyFont="1" applyAlignment="1">
      <alignment horizontal="center" vertical="center"/>
    </xf>
    <xf numFmtId="0" fontId="3" fillId="0" borderId="0" xfId="0" applyFont="1" applyAlignment="1">
      <alignment horizontal="left"/>
    </xf>
    <xf numFmtId="166" fontId="2" fillId="0" borderId="0" xfId="0" applyNumberFormat="1" applyFont="1" applyAlignment="1">
      <alignment horizontal="center" vertical="center"/>
    </xf>
    <xf numFmtId="0" fontId="2" fillId="0" borderId="0" xfId="0" applyFont="1" applyAlignment="1">
      <alignment horizontal="left" vertical="center"/>
    </xf>
    <xf numFmtId="166" fontId="2" fillId="0" borderId="0" xfId="0" applyNumberFormat="1" applyFont="1" applyAlignment="1">
      <alignment horizontal="center"/>
    </xf>
    <xf numFmtId="0" fontId="3" fillId="0" borderId="0" xfId="0" applyFont="1" applyAlignment="1">
      <alignment horizontal="left" vertical="center"/>
    </xf>
    <xf numFmtId="0" fontId="3" fillId="0" borderId="0" xfId="0" applyFont="1" applyAlignment="1">
      <alignment horizontal="center" wrapText="1"/>
    </xf>
    <xf numFmtId="164" fontId="2" fillId="0" borderId="0" xfId="0" applyNumberFormat="1" applyFont="1" applyAlignment="1">
      <alignment horizontal="center"/>
    </xf>
    <xf numFmtId="2" fontId="2" fillId="0" borderId="0" xfId="0" applyNumberFormat="1" applyFont="1" applyAlignment="1">
      <alignment horizontal="left" vertical="center"/>
    </xf>
    <xf numFmtId="0" fontId="3" fillId="3" borderId="0" xfId="0" applyFont="1" applyFill="1" applyAlignment="1">
      <alignment horizontal="left" vertical="center"/>
    </xf>
    <xf numFmtId="0" fontId="3" fillId="3" borderId="0" xfId="0" applyFont="1" applyFill="1" applyAlignment="1">
      <alignment horizontal="left" vertical="top"/>
    </xf>
    <xf numFmtId="164" fontId="2" fillId="0" borderId="0" xfId="0" applyNumberFormat="1" applyFont="1" applyAlignment="1">
      <alignment vertical="center"/>
    </xf>
    <xf numFmtId="2" fontId="3" fillId="0" borderId="0" xfId="0" applyNumberFormat="1" applyFont="1" applyAlignment="1">
      <alignment vertical="center"/>
    </xf>
    <xf numFmtId="0" fontId="3" fillId="0" borderId="0" xfId="0" applyFont="1" applyAlignment="1">
      <alignment vertical="center"/>
    </xf>
    <xf numFmtId="2" fontId="3" fillId="0" borderId="0" xfId="0" applyNumberFormat="1" applyFont="1" applyAlignment="1">
      <alignment horizontal="center" vertical="center"/>
    </xf>
    <xf numFmtId="168" fontId="3" fillId="0" borderId="0" xfId="0" applyNumberFormat="1" applyFont="1" applyAlignment="1">
      <alignment vertical="center"/>
    </xf>
    <xf numFmtId="0" fontId="3" fillId="0" borderId="0" xfId="0" applyFont="1" applyAlignment="1">
      <alignment horizontal="center" vertical="top"/>
    </xf>
    <xf numFmtId="1" fontId="3" fillId="0" borderId="0" xfId="0" applyNumberFormat="1" applyFont="1" applyAlignment="1">
      <alignment horizontal="center" vertical="center"/>
    </xf>
    <xf numFmtId="0" fontId="8" fillId="0" borderId="0" xfId="0" applyFont="1"/>
    <xf numFmtId="167" fontId="2" fillId="0" borderId="0" xfId="0" applyNumberFormat="1" applyFont="1"/>
    <xf numFmtId="0" fontId="6" fillId="0" borderId="0" xfId="1" applyFont="1" applyFill="1" applyAlignment="1">
      <alignment horizontal="center" vertical="center"/>
    </xf>
    <xf numFmtId="0" fontId="7" fillId="0" borderId="0" xfId="1" applyFont="1" applyFill="1" applyAlignment="1">
      <alignment horizontal="center" vertical="center"/>
    </xf>
    <xf numFmtId="0" fontId="0" fillId="0" borderId="0" xfId="0" applyAlignment="1">
      <alignment horizontal="center" vertical="center"/>
    </xf>
    <xf numFmtId="0" fontId="9" fillId="0" borderId="0" xfId="0" applyFont="1" applyAlignment="1">
      <alignment horizontal="center" vertical="center"/>
    </xf>
    <xf numFmtId="1" fontId="2" fillId="0" borderId="0" xfId="0" applyNumberFormat="1" applyFont="1"/>
    <xf numFmtId="0" fontId="2" fillId="2" borderId="0" xfId="0" applyFont="1" applyFill="1" applyAlignment="1">
      <alignment horizontal="center" vertical="center"/>
    </xf>
    <xf numFmtId="166" fontId="2" fillId="0" borderId="0" xfId="0" applyNumberFormat="1" applyFont="1" applyAlignment="1">
      <alignment horizontal="center" vertical="center" wrapText="1"/>
    </xf>
    <xf numFmtId="0" fontId="2" fillId="4" borderId="0" xfId="0" applyFont="1" applyFill="1" applyAlignment="1">
      <alignment vertical="top" wrapText="1"/>
    </xf>
    <xf numFmtId="0" fontId="2" fillId="4" borderId="0" xfId="0" applyFont="1" applyFill="1" applyAlignment="1">
      <alignment horizontal="center" vertical="center" wrapText="1"/>
    </xf>
    <xf numFmtId="0" fontId="3" fillId="6" borderId="1" xfId="0" applyFont="1" applyFill="1" applyBorder="1" applyAlignment="1">
      <alignment horizontal="center" vertical="center"/>
    </xf>
    <xf numFmtId="0" fontId="3" fillId="6" borderId="4" xfId="0" applyFont="1" applyFill="1" applyBorder="1" applyAlignment="1">
      <alignment horizontal="center" vertical="center"/>
    </xf>
    <xf numFmtId="0" fontId="3" fillId="6" borderId="2" xfId="0" applyFont="1" applyFill="1" applyBorder="1" applyAlignment="1">
      <alignment horizontal="center" vertical="center"/>
    </xf>
    <xf numFmtId="0" fontId="3" fillId="6" borderId="0" xfId="0" applyFont="1" applyFill="1" applyAlignment="1">
      <alignment horizontal="center" vertical="center"/>
    </xf>
    <xf numFmtId="0" fontId="2" fillId="0" borderId="0" xfId="0" applyFont="1" applyAlignment="1">
      <alignment horizontal="center" vertical="center"/>
    </xf>
    <xf numFmtId="164" fontId="2" fillId="0" borderId="0" xfId="0" applyNumberFormat="1" applyFont="1" applyAlignment="1">
      <alignment horizontal="center" vertical="center"/>
    </xf>
    <xf numFmtId="0" fontId="3" fillId="4" borderId="0" xfId="0" applyFont="1" applyFill="1" applyAlignment="1">
      <alignment horizontal="center" vertical="center"/>
    </xf>
    <xf numFmtId="0" fontId="2" fillId="0" borderId="4" xfId="0" applyFont="1" applyBorder="1" applyAlignment="1">
      <alignment horizontal="center" vertical="center"/>
    </xf>
    <xf numFmtId="0" fontId="2" fillId="2" borderId="4" xfId="0" applyFont="1" applyFill="1" applyBorder="1" applyAlignment="1">
      <alignment horizontal="center" vertical="center"/>
    </xf>
    <xf numFmtId="0" fontId="2" fillId="4" borderId="0" xfId="0" applyFont="1" applyFill="1" applyAlignment="1">
      <alignment horizontal="left" vertical="center" wrapText="1"/>
    </xf>
    <xf numFmtId="0" fontId="6" fillId="6" borderId="2" xfId="1" applyFont="1" applyFill="1" applyBorder="1" applyAlignment="1">
      <alignment horizontal="center" vertical="center"/>
    </xf>
    <xf numFmtId="0" fontId="6" fillId="6" borderId="3" xfId="1" applyFont="1" applyFill="1" applyBorder="1" applyAlignment="1">
      <alignment horizontal="center" vertical="center"/>
    </xf>
    <xf numFmtId="0" fontId="3" fillId="4" borderId="0" xfId="0" applyFont="1" applyFill="1" applyAlignment="1">
      <alignment horizontal="center"/>
    </xf>
    <xf numFmtId="0" fontId="2" fillId="4" borderId="0" xfId="0" applyFont="1" applyFill="1" applyAlignment="1">
      <alignment horizontal="left" vertical="center"/>
    </xf>
    <xf numFmtId="0" fontId="2" fillId="0" borderId="5" xfId="0" applyFont="1" applyBorder="1" applyAlignment="1">
      <alignment horizontal="center" vertical="center"/>
    </xf>
    <xf numFmtId="0" fontId="2" fillId="0" borderId="8" xfId="0" applyFont="1" applyBorder="1" applyAlignment="1">
      <alignment horizontal="center" vertical="center"/>
    </xf>
    <xf numFmtId="0" fontId="2" fillId="0" borderId="4" xfId="0" applyFont="1" applyBorder="1" applyAlignment="1">
      <alignment horizontal="left" vertical="center"/>
    </xf>
    <xf numFmtId="0" fontId="2" fillId="0" borderId="6" xfId="0" applyFont="1" applyBorder="1" applyAlignment="1">
      <alignment horizontal="left" vertical="center"/>
    </xf>
    <xf numFmtId="0" fontId="2" fillId="0" borderId="0" xfId="0" applyFont="1" applyAlignment="1">
      <alignment horizontal="center" vertical="center" wrapText="1"/>
    </xf>
    <xf numFmtId="0" fontId="2" fillId="0" borderId="7" xfId="0" applyFont="1" applyBorder="1" applyAlignment="1">
      <alignment horizontal="center" vertical="center" wrapText="1"/>
    </xf>
    <xf numFmtId="0" fontId="2" fillId="0" borderId="7" xfId="0" applyFont="1" applyBorder="1" applyAlignment="1">
      <alignment horizontal="center" vertical="center"/>
    </xf>
    <xf numFmtId="0" fontId="5" fillId="5" borderId="2" xfId="0" applyFont="1" applyFill="1" applyBorder="1" applyAlignment="1">
      <alignment horizontal="center"/>
    </xf>
    <xf numFmtId="0" fontId="4" fillId="0" borderId="0" xfId="0" applyFont="1" applyAlignment="1">
      <alignment horizontal="center"/>
    </xf>
    <xf numFmtId="0" fontId="3" fillId="5" borderId="2" xfId="0" applyFont="1" applyFill="1" applyBorder="1" applyAlignment="1">
      <alignment horizontal="center"/>
    </xf>
    <xf numFmtId="0" fontId="2" fillId="0" borderId="0" xfId="0" applyFont="1" applyAlignment="1">
      <alignment horizontal="center"/>
    </xf>
    <xf numFmtId="0" fontId="5" fillId="5" borderId="1" xfId="0" applyFont="1" applyFill="1" applyBorder="1" applyAlignment="1">
      <alignment horizontal="center" vertical="center"/>
    </xf>
    <xf numFmtId="0" fontId="5" fillId="5" borderId="2" xfId="0" applyFont="1" applyFill="1" applyBorder="1" applyAlignment="1">
      <alignment horizontal="center" vertical="center"/>
    </xf>
    <xf numFmtId="0" fontId="5" fillId="5" borderId="3" xfId="0" applyFont="1" applyFill="1" applyBorder="1" applyAlignment="1">
      <alignment horizontal="center" vertical="center"/>
    </xf>
    <xf numFmtId="0" fontId="3" fillId="0" borderId="6" xfId="0" applyFont="1" applyBorder="1" applyAlignment="1">
      <alignment horizontal="center"/>
    </xf>
    <xf numFmtId="0" fontId="3" fillId="0" borderId="7" xfId="0" applyFont="1" applyBorder="1" applyAlignment="1">
      <alignment horizontal="center"/>
    </xf>
    <xf numFmtId="0" fontId="3" fillId="3" borderId="1" xfId="0" applyFont="1" applyFill="1" applyBorder="1" applyAlignment="1">
      <alignment horizontal="center"/>
    </xf>
    <xf numFmtId="0" fontId="3" fillId="3" borderId="2" xfId="0" applyFont="1" applyFill="1" applyBorder="1" applyAlignment="1">
      <alignment horizontal="center"/>
    </xf>
    <xf numFmtId="0" fontId="3" fillId="3" borderId="3" xfId="0" applyFont="1" applyFill="1" applyBorder="1" applyAlignment="1">
      <alignment horizontal="center"/>
    </xf>
    <xf numFmtId="0" fontId="2" fillId="0" borderId="6" xfId="0" applyFont="1" applyBorder="1" applyAlignment="1">
      <alignment horizontal="left"/>
    </xf>
    <xf numFmtId="0" fontId="2" fillId="0" borderId="7" xfId="0" applyFont="1" applyBorder="1" applyAlignment="1">
      <alignment horizontal="left"/>
    </xf>
    <xf numFmtId="0" fontId="2" fillId="0" borderId="4" xfId="0" applyFont="1" applyBorder="1" applyAlignment="1">
      <alignment horizontal="left"/>
    </xf>
    <xf numFmtId="0" fontId="2" fillId="0" borderId="0" xfId="0" applyFont="1" applyAlignment="1">
      <alignment horizontal="left"/>
    </xf>
    <xf numFmtId="0" fontId="3" fillId="0" borderId="0" xfId="0" applyFont="1" applyAlignment="1">
      <alignment horizontal="left"/>
    </xf>
    <xf numFmtId="164" fontId="2" fillId="2" borderId="0" xfId="0" applyNumberFormat="1" applyFont="1" applyFill="1" applyAlignment="1">
      <alignment horizontal="center" vertical="center" wrapText="1"/>
    </xf>
    <xf numFmtId="0" fontId="3" fillId="2" borderId="0" xfId="0" applyFont="1" applyFill="1" applyAlignment="1">
      <alignment horizontal="center" vertical="center"/>
    </xf>
    <xf numFmtId="0" fontId="3" fillId="3" borderId="0" xfId="0" applyFont="1" applyFill="1" applyAlignment="1">
      <alignment horizontal="center" vertical="center"/>
    </xf>
    <xf numFmtId="1" fontId="2" fillId="0" borderId="0" xfId="0" applyNumberFormat="1" applyFont="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005493"/>
      <color rgb="FF942093"/>
      <color rgb="FFFF4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06/relationships/rdRichValue" Target="richData/rdrichvalue.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22/10/relationships/richValueRel" Target="richData/richValueRel.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5" Type="http://schemas.microsoft.com/office/2017/06/relationships/rdRichValueTypes" Target="richData/rdRichValueTypes.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microsoft.com/office/2017/06/relationships/rdRichValueStructure" Target="richData/rdrichvaluestructur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manualLayout>
          <c:layoutTarget val="inner"/>
          <c:xMode val="edge"/>
          <c:yMode val="edge"/>
          <c:x val="9.3962215119149706E-2"/>
          <c:y val="4.6401924367852669E-2"/>
          <c:w val="0.88802144781407277"/>
          <c:h val="0.82840986882903378"/>
        </c:manualLayout>
      </c:layout>
      <c:barChart>
        <c:barDir val="col"/>
        <c:grouping val="clustered"/>
        <c:varyColors val="0"/>
        <c:ser>
          <c:idx val="0"/>
          <c:order val="0"/>
          <c:tx>
            <c:v>Model</c:v>
          </c:tx>
          <c:spPr>
            <a:solidFill>
              <a:schemeClr val="accent6">
                <a:lumMod val="40000"/>
                <a:lumOff val="60000"/>
              </a:schemeClr>
            </a:solidFill>
            <a:ln>
              <a:noFill/>
            </a:ln>
            <a:effectLst/>
          </c:spPr>
          <c:invertIfNegative val="0"/>
          <c:cat>
            <c:strRef>
              <c:f>BPCA_Model_400!$G$42:$N$42</c:f>
              <c:strCache>
                <c:ptCount val="6"/>
                <c:pt idx="0">
                  <c:v>B2CA-1 </c:v>
                </c:pt>
                <c:pt idx="1">
                  <c:v>B3CA-2</c:v>
                </c:pt>
                <c:pt idx="2">
                  <c:v>B4CA-2</c:v>
                </c:pt>
                <c:pt idx="3">
                  <c:v>B4CA-3</c:v>
                </c:pt>
                <c:pt idx="4">
                  <c:v>B5CA</c:v>
                </c:pt>
                <c:pt idx="5">
                  <c:v>B6CA</c:v>
                </c:pt>
              </c:strCache>
            </c:strRef>
          </c:cat>
          <c:val>
            <c:numRef>
              <c:f>BPCA_Model_400!$G$43:$N$43</c:f>
              <c:numCache>
                <c:formatCode>0.0000</c:formatCode>
                <c:ptCount val="6"/>
                <c:pt idx="0">
                  <c:v>4.4444444444444453E-2</c:v>
                </c:pt>
                <c:pt idx="1">
                  <c:v>0.14488888888888893</c:v>
                </c:pt>
                <c:pt idx="2">
                  <c:v>6.666666666666668E-2</c:v>
                </c:pt>
                <c:pt idx="3">
                  <c:v>0.15282539682539686</c:v>
                </c:pt>
                <c:pt idx="4">
                  <c:v>0.34425396825396831</c:v>
                </c:pt>
                <c:pt idx="5">
                  <c:v>0.24692063492063493</c:v>
                </c:pt>
              </c:numCache>
            </c:numRef>
          </c:val>
          <c:extLst>
            <c:ext xmlns:c16="http://schemas.microsoft.com/office/drawing/2014/chart" uri="{C3380CC4-5D6E-409C-BE32-E72D297353CC}">
              <c16:uniqueId val="{00000000-4D35-BC48-AA60-8968AE682CBE}"/>
            </c:ext>
          </c:extLst>
        </c:ser>
        <c:ser>
          <c:idx val="1"/>
          <c:order val="1"/>
          <c:tx>
            <c:v>Experiments</c:v>
          </c:tx>
          <c:spPr>
            <a:solidFill>
              <a:schemeClr val="accent5">
                <a:lumMod val="40000"/>
                <a:lumOff val="60000"/>
              </a:schemeClr>
            </a:solidFill>
            <a:ln>
              <a:noFill/>
            </a:ln>
            <a:effectLst/>
          </c:spPr>
          <c:invertIfNegative val="0"/>
          <c:errBars>
            <c:errBarType val="both"/>
            <c:errValType val="cust"/>
            <c:noEndCap val="0"/>
            <c:plus>
              <c:numRef>
                <c:f>BPCA_Model_400!$G$45:$N$45</c:f>
                <c:numCache>
                  <c:formatCode>General</c:formatCode>
                  <c:ptCount val="6"/>
                  <c:pt idx="0">
                    <c:v>1.452008162960407E-3</c:v>
                  </c:pt>
                  <c:pt idx="1">
                    <c:v>3.8009811417576395E-2</c:v>
                  </c:pt>
                  <c:pt idx="2">
                    <c:v>6.4134346735433378E-4</c:v>
                  </c:pt>
                  <c:pt idx="3">
                    <c:v>4.2218260434022901E-2</c:v>
                  </c:pt>
                  <c:pt idx="4">
                    <c:v>2.7555996511292324E-2</c:v>
                  </c:pt>
                  <c:pt idx="5">
                    <c:v>4.460973667386943E-2</c:v>
                  </c:pt>
                </c:numCache>
              </c:numRef>
            </c:plus>
            <c:minus>
              <c:numRef>
                <c:f>BPCA_Model_400!$G$45:$N$45</c:f>
                <c:numCache>
                  <c:formatCode>General</c:formatCode>
                  <c:ptCount val="6"/>
                  <c:pt idx="0">
                    <c:v>1.452008162960407E-3</c:v>
                  </c:pt>
                  <c:pt idx="1">
                    <c:v>3.8009811417576395E-2</c:v>
                  </c:pt>
                  <c:pt idx="2">
                    <c:v>6.4134346735433378E-4</c:v>
                  </c:pt>
                  <c:pt idx="3">
                    <c:v>4.2218260434022901E-2</c:v>
                  </c:pt>
                  <c:pt idx="4">
                    <c:v>2.7555996511292324E-2</c:v>
                  </c:pt>
                  <c:pt idx="5">
                    <c:v>4.460973667386943E-2</c:v>
                  </c:pt>
                </c:numCache>
              </c:numRef>
            </c:minus>
            <c:spPr>
              <a:noFill/>
              <a:ln w="12700" cap="flat" cmpd="sng" algn="ctr">
                <a:solidFill>
                  <a:schemeClr val="tx1"/>
                </a:solidFill>
                <a:round/>
              </a:ln>
              <a:effectLst/>
            </c:spPr>
          </c:errBars>
          <c:cat>
            <c:strRef>
              <c:f>BPCA_Model_400!$G$42:$N$42</c:f>
              <c:strCache>
                <c:ptCount val="6"/>
                <c:pt idx="0">
                  <c:v>B2CA-1 </c:v>
                </c:pt>
                <c:pt idx="1">
                  <c:v>B3CA-2</c:v>
                </c:pt>
                <c:pt idx="2">
                  <c:v>B4CA-2</c:v>
                </c:pt>
                <c:pt idx="3">
                  <c:v>B4CA-3</c:v>
                </c:pt>
                <c:pt idx="4">
                  <c:v>B5CA</c:v>
                </c:pt>
                <c:pt idx="5">
                  <c:v>B6CA</c:v>
                </c:pt>
              </c:strCache>
            </c:strRef>
          </c:cat>
          <c:val>
            <c:numRef>
              <c:f>BPCA_Model_400!$G$44:$N$44</c:f>
              <c:numCache>
                <c:formatCode>0.0000</c:formatCode>
                <c:ptCount val="6"/>
                <c:pt idx="0">
                  <c:v>4.321199577936561E-2</c:v>
                </c:pt>
                <c:pt idx="1">
                  <c:v>0.14932644696928848</c:v>
                </c:pt>
                <c:pt idx="2">
                  <c:v>6.7677328466173317E-2</c:v>
                </c:pt>
                <c:pt idx="3">
                  <c:v>0.15332365253896399</c:v>
                </c:pt>
                <c:pt idx="4">
                  <c:v>0.36028783063541198</c:v>
                </c:pt>
                <c:pt idx="5">
                  <c:v>0.226172745610797</c:v>
                </c:pt>
              </c:numCache>
            </c:numRef>
          </c:val>
          <c:extLst>
            <c:ext xmlns:c16="http://schemas.microsoft.com/office/drawing/2014/chart" uri="{C3380CC4-5D6E-409C-BE32-E72D297353CC}">
              <c16:uniqueId val="{00000001-4D35-BC48-AA60-8968AE682CBE}"/>
            </c:ext>
          </c:extLst>
        </c:ser>
        <c:dLbls>
          <c:showLegendKey val="0"/>
          <c:showVal val="0"/>
          <c:showCatName val="0"/>
          <c:showSerName val="0"/>
          <c:showPercent val="0"/>
          <c:showBubbleSize val="0"/>
        </c:dLbls>
        <c:gapWidth val="219"/>
        <c:overlap val="-27"/>
        <c:axId val="1432589919"/>
        <c:axId val="1432814063"/>
      </c:barChart>
      <c:catAx>
        <c:axId val="1432589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432814063"/>
        <c:crosses val="autoZero"/>
        <c:auto val="1"/>
        <c:lblAlgn val="ctr"/>
        <c:lblOffset val="100"/>
        <c:noMultiLvlLbl val="0"/>
      </c:catAx>
      <c:valAx>
        <c:axId val="1432814063"/>
        <c:scaling>
          <c:orientation val="minMax"/>
          <c:max val="0.4"/>
          <c:min val="0"/>
        </c:scaling>
        <c:delete val="0"/>
        <c:axPos val="l"/>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432589919"/>
        <c:crosses val="autoZero"/>
        <c:crossBetween val="between"/>
      </c:valAx>
      <c:spPr>
        <a:noFill/>
        <a:ln>
          <a:noFill/>
        </a:ln>
        <a:effectLst/>
      </c:spPr>
    </c:plotArea>
    <c:legend>
      <c:legendPos val="b"/>
      <c:layout>
        <c:manualLayout>
          <c:xMode val="edge"/>
          <c:yMode val="edge"/>
          <c:x val="0.17885565669700912"/>
          <c:y val="0.15618286520155125"/>
          <c:w val="0.37463354209436694"/>
          <c:h val="6.6925724702066092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tx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manualLayout>
          <c:layoutTarget val="inner"/>
          <c:xMode val="edge"/>
          <c:yMode val="edge"/>
          <c:x val="9.3962215119149706E-2"/>
          <c:y val="4.6401924367852669E-2"/>
          <c:w val="0.88802144781407277"/>
          <c:h val="0.82840986882903378"/>
        </c:manualLayout>
      </c:layout>
      <c:barChart>
        <c:barDir val="col"/>
        <c:grouping val="clustered"/>
        <c:varyColors val="0"/>
        <c:ser>
          <c:idx val="0"/>
          <c:order val="0"/>
          <c:tx>
            <c:v>Model</c:v>
          </c:tx>
          <c:spPr>
            <a:solidFill>
              <a:schemeClr val="accent6">
                <a:lumMod val="40000"/>
                <a:lumOff val="60000"/>
              </a:schemeClr>
            </a:solidFill>
            <a:ln>
              <a:noFill/>
            </a:ln>
            <a:effectLst/>
          </c:spPr>
          <c:invertIfNegative val="0"/>
          <c:cat>
            <c:strRef>
              <c:f>BPCA_Model_500!$G$42:$N$42</c:f>
              <c:strCache>
                <c:ptCount val="6"/>
                <c:pt idx="0">
                  <c:v>B2CA-1 </c:v>
                </c:pt>
                <c:pt idx="1">
                  <c:v>B3CA-2</c:v>
                </c:pt>
                <c:pt idx="2">
                  <c:v>B4CA-2</c:v>
                </c:pt>
                <c:pt idx="3">
                  <c:v>B4CA-3</c:v>
                </c:pt>
                <c:pt idx="4">
                  <c:v>B5CA</c:v>
                </c:pt>
                <c:pt idx="5">
                  <c:v>B6CA</c:v>
                </c:pt>
              </c:strCache>
            </c:strRef>
          </c:cat>
          <c:val>
            <c:numRef>
              <c:f>BPCA_Model_500!$G$43:$N$43</c:f>
              <c:numCache>
                <c:formatCode>0.0000</c:formatCode>
                <c:ptCount val="6"/>
                <c:pt idx="0">
                  <c:v>3.669724770642202E-2</c:v>
                </c:pt>
                <c:pt idx="1">
                  <c:v>0.11235400415378827</c:v>
                </c:pt>
                <c:pt idx="2">
                  <c:v>5.5045871559633031E-2</c:v>
                </c:pt>
                <c:pt idx="3">
                  <c:v>0.14102187839711625</c:v>
                </c:pt>
                <c:pt idx="4">
                  <c:v>0.35382503135137555</c:v>
                </c:pt>
                <c:pt idx="5">
                  <c:v>0.3010559668316648</c:v>
                </c:pt>
              </c:numCache>
            </c:numRef>
          </c:val>
          <c:extLst>
            <c:ext xmlns:c16="http://schemas.microsoft.com/office/drawing/2014/chart" uri="{C3380CC4-5D6E-409C-BE32-E72D297353CC}">
              <c16:uniqueId val="{00000000-80C4-8E42-8ACD-16BA479CAE67}"/>
            </c:ext>
          </c:extLst>
        </c:ser>
        <c:ser>
          <c:idx val="1"/>
          <c:order val="1"/>
          <c:tx>
            <c:v>Experiments</c:v>
          </c:tx>
          <c:spPr>
            <a:solidFill>
              <a:schemeClr val="accent5">
                <a:lumMod val="40000"/>
                <a:lumOff val="60000"/>
              </a:schemeClr>
            </a:solidFill>
            <a:ln>
              <a:noFill/>
            </a:ln>
            <a:effectLst/>
          </c:spPr>
          <c:invertIfNegative val="0"/>
          <c:errBars>
            <c:errBarType val="both"/>
            <c:errValType val="cust"/>
            <c:noEndCap val="0"/>
            <c:plus>
              <c:numRef>
                <c:f>BPCA_Model_500!$G$45:$N$45</c:f>
                <c:numCache>
                  <c:formatCode>General</c:formatCode>
                  <c:ptCount val="6"/>
                  <c:pt idx="0">
                    <c:v>7.3890280749442793E-4</c:v>
                  </c:pt>
                  <c:pt idx="1">
                    <c:v>6.0494836438689413E-3</c:v>
                  </c:pt>
                  <c:pt idx="2">
                    <c:v>4.44949241933013E-4</c:v>
                  </c:pt>
                  <c:pt idx="3">
                    <c:v>4.3619769626533174E-3</c:v>
                  </c:pt>
                  <c:pt idx="4">
                    <c:v>5.1746708639145347E-3</c:v>
                  </c:pt>
                  <c:pt idx="5">
                    <c:v>5.5307433081690401E-3</c:v>
                  </c:pt>
                </c:numCache>
              </c:numRef>
            </c:plus>
            <c:minus>
              <c:numRef>
                <c:f>BPCA_Model_500!$G$45:$N$45</c:f>
                <c:numCache>
                  <c:formatCode>General</c:formatCode>
                  <c:ptCount val="6"/>
                  <c:pt idx="0">
                    <c:v>7.3890280749442793E-4</c:v>
                  </c:pt>
                  <c:pt idx="1">
                    <c:v>6.0494836438689413E-3</c:v>
                  </c:pt>
                  <c:pt idx="2">
                    <c:v>4.44949241933013E-4</c:v>
                  </c:pt>
                  <c:pt idx="3">
                    <c:v>4.3619769626533174E-3</c:v>
                  </c:pt>
                  <c:pt idx="4">
                    <c:v>5.1746708639145347E-3</c:v>
                  </c:pt>
                  <c:pt idx="5">
                    <c:v>5.5307433081690401E-3</c:v>
                  </c:pt>
                </c:numCache>
              </c:numRef>
            </c:minus>
            <c:spPr>
              <a:noFill/>
              <a:ln w="12700" cap="flat" cmpd="sng" algn="ctr">
                <a:solidFill>
                  <a:schemeClr val="tx1"/>
                </a:solidFill>
                <a:round/>
              </a:ln>
              <a:effectLst/>
            </c:spPr>
          </c:errBars>
          <c:cat>
            <c:strRef>
              <c:f>BPCA_Model_500!$G$42:$N$42</c:f>
              <c:strCache>
                <c:ptCount val="6"/>
                <c:pt idx="0">
                  <c:v>B2CA-1 </c:v>
                </c:pt>
                <c:pt idx="1">
                  <c:v>B3CA-2</c:v>
                </c:pt>
                <c:pt idx="2">
                  <c:v>B4CA-2</c:v>
                </c:pt>
                <c:pt idx="3">
                  <c:v>B4CA-3</c:v>
                </c:pt>
                <c:pt idx="4">
                  <c:v>B5CA</c:v>
                </c:pt>
                <c:pt idx="5">
                  <c:v>B6CA</c:v>
                </c:pt>
              </c:strCache>
            </c:strRef>
          </c:cat>
          <c:val>
            <c:numRef>
              <c:f>BPCA_Model_500!$G$44:$N$44</c:f>
              <c:numCache>
                <c:formatCode>0.0000</c:formatCode>
                <c:ptCount val="6"/>
                <c:pt idx="0">
                  <c:v>3.6387734810022998E-2</c:v>
                </c:pt>
                <c:pt idx="1">
                  <c:v>0.11050796506756461</c:v>
                </c:pt>
                <c:pt idx="2">
                  <c:v>5.7585518231114477E-2</c:v>
                </c:pt>
                <c:pt idx="3">
                  <c:v>0.14211236193881485</c:v>
                </c:pt>
                <c:pt idx="4">
                  <c:v>0.35258252683498492</c:v>
                </c:pt>
                <c:pt idx="5">
                  <c:v>0.30082389311749813</c:v>
                </c:pt>
              </c:numCache>
            </c:numRef>
          </c:val>
          <c:extLst>
            <c:ext xmlns:c16="http://schemas.microsoft.com/office/drawing/2014/chart" uri="{C3380CC4-5D6E-409C-BE32-E72D297353CC}">
              <c16:uniqueId val="{00000001-80C4-8E42-8ACD-16BA479CAE67}"/>
            </c:ext>
          </c:extLst>
        </c:ser>
        <c:dLbls>
          <c:showLegendKey val="0"/>
          <c:showVal val="0"/>
          <c:showCatName val="0"/>
          <c:showSerName val="0"/>
          <c:showPercent val="0"/>
          <c:showBubbleSize val="0"/>
        </c:dLbls>
        <c:gapWidth val="219"/>
        <c:overlap val="-27"/>
        <c:axId val="1432589919"/>
        <c:axId val="1432814063"/>
      </c:barChart>
      <c:catAx>
        <c:axId val="1432589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432814063"/>
        <c:crosses val="autoZero"/>
        <c:auto val="1"/>
        <c:lblAlgn val="ctr"/>
        <c:lblOffset val="100"/>
        <c:noMultiLvlLbl val="0"/>
      </c:catAx>
      <c:valAx>
        <c:axId val="1432814063"/>
        <c:scaling>
          <c:orientation val="minMax"/>
          <c:max val="0.38"/>
          <c:min val="0"/>
        </c:scaling>
        <c:delete val="0"/>
        <c:axPos val="l"/>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432589919"/>
        <c:crosses val="autoZero"/>
        <c:crossBetween val="between"/>
      </c:valAx>
      <c:spPr>
        <a:noFill/>
        <a:ln>
          <a:noFill/>
        </a:ln>
        <a:effectLst/>
      </c:spPr>
    </c:plotArea>
    <c:legend>
      <c:legendPos val="b"/>
      <c:layout>
        <c:manualLayout>
          <c:xMode val="edge"/>
          <c:yMode val="edge"/>
          <c:x val="0.17885565669700912"/>
          <c:y val="0.15618286520155125"/>
          <c:w val="0.37463354209436694"/>
          <c:h val="6.6925724702066092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tx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manualLayout>
          <c:layoutTarget val="inner"/>
          <c:xMode val="edge"/>
          <c:yMode val="edge"/>
          <c:x val="9.3962215119149706E-2"/>
          <c:y val="4.6401924367852669E-2"/>
          <c:w val="0.88802144781407277"/>
          <c:h val="0.82840986882903378"/>
        </c:manualLayout>
      </c:layout>
      <c:barChart>
        <c:barDir val="col"/>
        <c:grouping val="clustered"/>
        <c:varyColors val="0"/>
        <c:ser>
          <c:idx val="0"/>
          <c:order val="0"/>
          <c:tx>
            <c:v>Model</c:v>
          </c:tx>
          <c:spPr>
            <a:solidFill>
              <a:schemeClr val="accent6">
                <a:lumMod val="40000"/>
                <a:lumOff val="60000"/>
              </a:schemeClr>
            </a:solidFill>
            <a:ln>
              <a:noFill/>
            </a:ln>
            <a:effectLst/>
          </c:spPr>
          <c:invertIfNegative val="0"/>
          <c:cat>
            <c:strRef>
              <c:f>BPCA_Model_600!$G$42:$N$42</c:f>
              <c:strCache>
                <c:ptCount val="6"/>
                <c:pt idx="0">
                  <c:v>B2CA-1 </c:v>
                </c:pt>
                <c:pt idx="1">
                  <c:v>B3CA-2</c:v>
                </c:pt>
                <c:pt idx="2">
                  <c:v>B4CA-2</c:v>
                </c:pt>
                <c:pt idx="3">
                  <c:v>B4CA-3</c:v>
                </c:pt>
                <c:pt idx="4">
                  <c:v>B5CA</c:v>
                </c:pt>
                <c:pt idx="5">
                  <c:v>B6CA</c:v>
                </c:pt>
              </c:strCache>
            </c:strRef>
          </c:cat>
          <c:val>
            <c:numRef>
              <c:f>BPCA_Model_600!$G$43:$N$43</c:f>
              <c:numCache>
                <c:formatCode>0.0000</c:formatCode>
                <c:ptCount val="6"/>
                <c:pt idx="0">
                  <c:v>0.02</c:v>
                </c:pt>
                <c:pt idx="1">
                  <c:v>6.855384615384616E-2</c:v>
                </c:pt>
                <c:pt idx="2">
                  <c:v>0.03</c:v>
                </c:pt>
                <c:pt idx="3">
                  <c:v>0.1414</c:v>
                </c:pt>
                <c:pt idx="4">
                  <c:v>0.32439999999999997</c:v>
                </c:pt>
                <c:pt idx="5">
                  <c:v>0.41564615384615389</c:v>
                </c:pt>
              </c:numCache>
            </c:numRef>
          </c:val>
          <c:extLst>
            <c:ext xmlns:c16="http://schemas.microsoft.com/office/drawing/2014/chart" uri="{C3380CC4-5D6E-409C-BE32-E72D297353CC}">
              <c16:uniqueId val="{00000000-790A-3C42-8756-2EA7097158B4}"/>
            </c:ext>
          </c:extLst>
        </c:ser>
        <c:ser>
          <c:idx val="1"/>
          <c:order val="1"/>
          <c:tx>
            <c:v>Experiments</c:v>
          </c:tx>
          <c:spPr>
            <a:solidFill>
              <a:schemeClr val="accent5">
                <a:lumMod val="40000"/>
                <a:lumOff val="60000"/>
              </a:schemeClr>
            </a:solidFill>
            <a:ln>
              <a:noFill/>
            </a:ln>
            <a:effectLst/>
          </c:spPr>
          <c:invertIfNegative val="0"/>
          <c:errBars>
            <c:errBarType val="both"/>
            <c:errValType val="cust"/>
            <c:noEndCap val="0"/>
            <c:plus>
              <c:numRef>
                <c:f>BPCA_Model_600!$G$45:$N$45</c:f>
                <c:numCache>
                  <c:formatCode>General</c:formatCode>
                  <c:ptCount val="6"/>
                  <c:pt idx="0">
                    <c:v>8.1329800487500909E-4</c:v>
                  </c:pt>
                  <c:pt idx="1">
                    <c:v>6.6581794382708677E-3</c:v>
                  </c:pt>
                  <c:pt idx="2">
                    <c:v>1.4903963010309616E-3</c:v>
                  </c:pt>
                  <c:pt idx="3">
                    <c:v>4.8679067158982174E-3</c:v>
                  </c:pt>
                  <c:pt idx="4">
                    <c:v>7.3795602804227027E-3</c:v>
                  </c:pt>
                  <c:pt idx="5">
                    <c:v>5.8422164928758347E-3</c:v>
                  </c:pt>
                </c:numCache>
              </c:numRef>
            </c:plus>
            <c:minus>
              <c:numRef>
                <c:f>BPCA_Model_600!$G$45:$N$45</c:f>
                <c:numCache>
                  <c:formatCode>General</c:formatCode>
                  <c:ptCount val="6"/>
                  <c:pt idx="0">
                    <c:v>8.1329800487500909E-4</c:v>
                  </c:pt>
                  <c:pt idx="1">
                    <c:v>6.6581794382708677E-3</c:v>
                  </c:pt>
                  <c:pt idx="2">
                    <c:v>1.4903963010309616E-3</c:v>
                  </c:pt>
                  <c:pt idx="3">
                    <c:v>4.8679067158982174E-3</c:v>
                  </c:pt>
                  <c:pt idx="4">
                    <c:v>7.3795602804227027E-3</c:v>
                  </c:pt>
                  <c:pt idx="5">
                    <c:v>5.8422164928758347E-3</c:v>
                  </c:pt>
                </c:numCache>
              </c:numRef>
            </c:minus>
            <c:spPr>
              <a:noFill/>
              <a:ln w="12700" cap="flat" cmpd="sng" algn="ctr">
                <a:solidFill>
                  <a:schemeClr val="tx1"/>
                </a:solidFill>
                <a:round/>
              </a:ln>
              <a:effectLst/>
            </c:spPr>
          </c:errBars>
          <c:cat>
            <c:strRef>
              <c:f>BPCA_Model_600!$G$42:$N$42</c:f>
              <c:strCache>
                <c:ptCount val="6"/>
                <c:pt idx="0">
                  <c:v>B2CA-1 </c:v>
                </c:pt>
                <c:pt idx="1">
                  <c:v>B3CA-2</c:v>
                </c:pt>
                <c:pt idx="2">
                  <c:v>B4CA-2</c:v>
                </c:pt>
                <c:pt idx="3">
                  <c:v>B4CA-3</c:v>
                </c:pt>
                <c:pt idx="4">
                  <c:v>B5CA</c:v>
                </c:pt>
                <c:pt idx="5">
                  <c:v>B6CA</c:v>
                </c:pt>
              </c:strCache>
            </c:strRef>
          </c:cat>
          <c:val>
            <c:numRef>
              <c:f>BPCA_Model_600!$G$44:$N$44</c:f>
              <c:numCache>
                <c:formatCode>0.0000</c:formatCode>
                <c:ptCount val="6"/>
                <c:pt idx="0">
                  <c:v>2.0070599778316559E-2</c:v>
                </c:pt>
                <c:pt idx="1">
                  <c:v>6.7155269359706268E-2</c:v>
                </c:pt>
                <c:pt idx="2">
                  <c:v>3.4547196647557121E-2</c:v>
                </c:pt>
                <c:pt idx="3">
                  <c:v>0.1300441334632115</c:v>
                </c:pt>
                <c:pt idx="4">
                  <c:v>0.3249240329328747</c:v>
                </c:pt>
                <c:pt idx="5">
                  <c:v>0.42325876781833377</c:v>
                </c:pt>
              </c:numCache>
            </c:numRef>
          </c:val>
          <c:extLst>
            <c:ext xmlns:c16="http://schemas.microsoft.com/office/drawing/2014/chart" uri="{C3380CC4-5D6E-409C-BE32-E72D297353CC}">
              <c16:uniqueId val="{00000001-790A-3C42-8756-2EA7097158B4}"/>
            </c:ext>
          </c:extLst>
        </c:ser>
        <c:dLbls>
          <c:showLegendKey val="0"/>
          <c:showVal val="0"/>
          <c:showCatName val="0"/>
          <c:showSerName val="0"/>
          <c:showPercent val="0"/>
          <c:showBubbleSize val="0"/>
        </c:dLbls>
        <c:gapWidth val="219"/>
        <c:overlap val="-27"/>
        <c:axId val="1432589919"/>
        <c:axId val="1432814063"/>
      </c:barChart>
      <c:catAx>
        <c:axId val="1432589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432814063"/>
        <c:crosses val="autoZero"/>
        <c:auto val="1"/>
        <c:lblAlgn val="ctr"/>
        <c:lblOffset val="100"/>
        <c:noMultiLvlLbl val="0"/>
      </c:catAx>
      <c:valAx>
        <c:axId val="1432814063"/>
        <c:scaling>
          <c:orientation val="minMax"/>
          <c:max val="0.43"/>
          <c:min val="0"/>
        </c:scaling>
        <c:delete val="0"/>
        <c:axPos val="l"/>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432589919"/>
        <c:crosses val="autoZero"/>
        <c:crossBetween val="between"/>
      </c:valAx>
      <c:spPr>
        <a:noFill/>
        <a:ln>
          <a:noFill/>
        </a:ln>
        <a:effectLst/>
      </c:spPr>
    </c:plotArea>
    <c:legend>
      <c:legendPos val="b"/>
      <c:layout>
        <c:manualLayout>
          <c:xMode val="edge"/>
          <c:yMode val="edge"/>
          <c:x val="0.17885565669700912"/>
          <c:y val="0.15618286520155125"/>
          <c:w val="0.37463354209436694"/>
          <c:h val="6.6925724702066092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tx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manualLayout>
          <c:layoutTarget val="inner"/>
          <c:xMode val="edge"/>
          <c:yMode val="edge"/>
          <c:x val="9.3962215119149706E-2"/>
          <c:y val="4.6401924367852669E-2"/>
          <c:w val="0.88802144781407277"/>
          <c:h val="0.82840986882903378"/>
        </c:manualLayout>
      </c:layout>
      <c:barChart>
        <c:barDir val="col"/>
        <c:grouping val="clustered"/>
        <c:varyColors val="0"/>
        <c:ser>
          <c:idx val="0"/>
          <c:order val="0"/>
          <c:tx>
            <c:v>Model</c:v>
          </c:tx>
          <c:spPr>
            <a:solidFill>
              <a:schemeClr val="accent6">
                <a:lumMod val="40000"/>
                <a:lumOff val="60000"/>
              </a:schemeClr>
            </a:solidFill>
            <a:ln>
              <a:noFill/>
            </a:ln>
            <a:effectLst/>
          </c:spPr>
          <c:invertIfNegative val="0"/>
          <c:cat>
            <c:strRef>
              <c:f>BPCA_Model_700!$G$42:$N$42</c:f>
              <c:strCache>
                <c:ptCount val="6"/>
                <c:pt idx="0">
                  <c:v>B2CA-1 </c:v>
                </c:pt>
                <c:pt idx="1">
                  <c:v>B3CA-2</c:v>
                </c:pt>
                <c:pt idx="2">
                  <c:v>B4CA-2</c:v>
                </c:pt>
                <c:pt idx="3">
                  <c:v>B4CA-3</c:v>
                </c:pt>
                <c:pt idx="4">
                  <c:v>B5CA</c:v>
                </c:pt>
                <c:pt idx="5">
                  <c:v>B6CA</c:v>
                </c:pt>
              </c:strCache>
            </c:strRef>
          </c:cat>
          <c:val>
            <c:numRef>
              <c:f>BPCA_Model_700!$G$43:$N$43</c:f>
              <c:numCache>
                <c:formatCode>0.0000</c:formatCode>
                <c:ptCount val="6"/>
                <c:pt idx="0">
                  <c:v>1.7045454545454544E-2</c:v>
                </c:pt>
                <c:pt idx="1">
                  <c:v>2.4825174825174826E-2</c:v>
                </c:pt>
                <c:pt idx="2">
                  <c:v>5.681818181818182E-3</c:v>
                </c:pt>
                <c:pt idx="3">
                  <c:v>0.18746334310850443</c:v>
                </c:pt>
                <c:pt idx="4">
                  <c:v>0.31212121212121208</c:v>
                </c:pt>
                <c:pt idx="5">
                  <c:v>0.45286299721783596</c:v>
                </c:pt>
              </c:numCache>
            </c:numRef>
          </c:val>
          <c:extLst>
            <c:ext xmlns:c16="http://schemas.microsoft.com/office/drawing/2014/chart" uri="{C3380CC4-5D6E-409C-BE32-E72D297353CC}">
              <c16:uniqueId val="{00000000-7992-1547-A395-4BDD36914C14}"/>
            </c:ext>
          </c:extLst>
        </c:ser>
        <c:ser>
          <c:idx val="1"/>
          <c:order val="1"/>
          <c:tx>
            <c:v>Experiments</c:v>
          </c:tx>
          <c:spPr>
            <a:solidFill>
              <a:schemeClr val="accent5">
                <a:lumMod val="40000"/>
                <a:lumOff val="60000"/>
              </a:schemeClr>
            </a:solidFill>
            <a:ln>
              <a:noFill/>
            </a:ln>
            <a:effectLst/>
          </c:spPr>
          <c:invertIfNegative val="0"/>
          <c:errBars>
            <c:errBarType val="both"/>
            <c:errValType val="cust"/>
            <c:noEndCap val="0"/>
            <c:plus>
              <c:numRef>
                <c:f>BPCA_Model_700!$G$45:$N$45</c:f>
                <c:numCache>
                  <c:formatCode>General</c:formatCode>
                  <c:ptCount val="6"/>
                  <c:pt idx="0">
                    <c:v>3.3752394696415617E-3</c:v>
                  </c:pt>
                  <c:pt idx="1">
                    <c:v>2.5420763575197962E-3</c:v>
                  </c:pt>
                  <c:pt idx="2">
                    <c:v>1.9634220262432674E-3</c:v>
                  </c:pt>
                  <c:pt idx="3">
                    <c:v>1.5722680239762876E-2</c:v>
                  </c:pt>
                  <c:pt idx="4">
                    <c:v>5.4432833074832605E-2</c:v>
                  </c:pt>
                  <c:pt idx="5">
                    <c:v>7.7360877544426734E-2</c:v>
                  </c:pt>
                </c:numCache>
              </c:numRef>
            </c:plus>
            <c:minus>
              <c:numRef>
                <c:f>BPCA_Model_700!$G$45:$N$45</c:f>
                <c:numCache>
                  <c:formatCode>General</c:formatCode>
                  <c:ptCount val="6"/>
                  <c:pt idx="0">
                    <c:v>3.3752394696415617E-3</c:v>
                  </c:pt>
                  <c:pt idx="1">
                    <c:v>2.5420763575197962E-3</c:v>
                  </c:pt>
                  <c:pt idx="2">
                    <c:v>1.9634220262432674E-3</c:v>
                  </c:pt>
                  <c:pt idx="3">
                    <c:v>1.5722680239762876E-2</c:v>
                  </c:pt>
                  <c:pt idx="4">
                    <c:v>5.4432833074832605E-2</c:v>
                  </c:pt>
                  <c:pt idx="5">
                    <c:v>7.7360877544426734E-2</c:v>
                  </c:pt>
                </c:numCache>
              </c:numRef>
            </c:minus>
            <c:spPr>
              <a:noFill/>
              <a:ln w="12700" cap="flat" cmpd="sng" algn="ctr">
                <a:solidFill>
                  <a:schemeClr val="tx1"/>
                </a:solidFill>
                <a:round/>
              </a:ln>
              <a:effectLst/>
            </c:spPr>
          </c:errBars>
          <c:cat>
            <c:strRef>
              <c:f>BPCA_Model_700!$G$42:$N$42</c:f>
              <c:strCache>
                <c:ptCount val="6"/>
                <c:pt idx="0">
                  <c:v>B2CA-1 </c:v>
                </c:pt>
                <c:pt idx="1">
                  <c:v>B3CA-2</c:v>
                </c:pt>
                <c:pt idx="2">
                  <c:v>B4CA-2</c:v>
                </c:pt>
                <c:pt idx="3">
                  <c:v>B4CA-3</c:v>
                </c:pt>
                <c:pt idx="4">
                  <c:v>B5CA</c:v>
                </c:pt>
                <c:pt idx="5">
                  <c:v>B6CA</c:v>
                </c:pt>
              </c:strCache>
            </c:strRef>
          </c:cat>
          <c:val>
            <c:numRef>
              <c:f>BPCA_Model_700!$G$44:$N$44</c:f>
              <c:numCache>
                <c:formatCode>0.0000</c:formatCode>
                <c:ptCount val="6"/>
                <c:pt idx="0">
                  <c:v>1.7798234948509826E-2</c:v>
                </c:pt>
                <c:pt idx="1">
                  <c:v>2.6873957656278813E-2</c:v>
                </c:pt>
                <c:pt idx="2">
                  <c:v>7.4240498269105603E-3</c:v>
                </c:pt>
                <c:pt idx="3">
                  <c:v>9.9811377982015628E-2</c:v>
                </c:pt>
                <c:pt idx="4">
                  <c:v>0.30986523757109552</c:v>
                </c:pt>
                <c:pt idx="5">
                  <c:v>0.53822714201518951</c:v>
                </c:pt>
              </c:numCache>
            </c:numRef>
          </c:val>
          <c:extLst>
            <c:ext xmlns:c16="http://schemas.microsoft.com/office/drawing/2014/chart" uri="{C3380CC4-5D6E-409C-BE32-E72D297353CC}">
              <c16:uniqueId val="{00000001-7992-1547-A395-4BDD36914C14}"/>
            </c:ext>
          </c:extLst>
        </c:ser>
        <c:dLbls>
          <c:showLegendKey val="0"/>
          <c:showVal val="0"/>
          <c:showCatName val="0"/>
          <c:showSerName val="0"/>
          <c:showPercent val="0"/>
          <c:showBubbleSize val="0"/>
        </c:dLbls>
        <c:gapWidth val="219"/>
        <c:overlap val="-27"/>
        <c:axId val="1432589919"/>
        <c:axId val="1432814063"/>
      </c:barChart>
      <c:catAx>
        <c:axId val="1432589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432814063"/>
        <c:crosses val="autoZero"/>
        <c:auto val="1"/>
        <c:lblAlgn val="ctr"/>
        <c:lblOffset val="100"/>
        <c:noMultiLvlLbl val="0"/>
      </c:catAx>
      <c:valAx>
        <c:axId val="1432814063"/>
        <c:scaling>
          <c:orientation val="minMax"/>
          <c:max val="0.65"/>
          <c:min val="0"/>
        </c:scaling>
        <c:delete val="0"/>
        <c:axPos val="l"/>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432589919"/>
        <c:crosses val="autoZero"/>
        <c:crossBetween val="between"/>
      </c:valAx>
      <c:spPr>
        <a:noFill/>
        <a:ln>
          <a:noFill/>
        </a:ln>
        <a:effectLst/>
      </c:spPr>
    </c:plotArea>
    <c:legend>
      <c:legendPos val="b"/>
      <c:layout>
        <c:manualLayout>
          <c:xMode val="edge"/>
          <c:yMode val="edge"/>
          <c:x val="0.17885565669700912"/>
          <c:y val="0.15618286520155125"/>
          <c:w val="0.37463354209436694"/>
          <c:h val="6.6925724702066092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tx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2.png"/><Relationship Id="rId3" Type="http://schemas.openxmlformats.org/officeDocument/2006/relationships/image" Target="../media/image37.png"/><Relationship Id="rId7" Type="http://schemas.openxmlformats.org/officeDocument/2006/relationships/image" Target="../media/image41.png"/><Relationship Id="rId2" Type="http://schemas.openxmlformats.org/officeDocument/2006/relationships/image" Target="../media/image36.png"/><Relationship Id="rId1" Type="http://schemas.openxmlformats.org/officeDocument/2006/relationships/image" Target="../media/image35.png"/><Relationship Id="rId6" Type="http://schemas.openxmlformats.org/officeDocument/2006/relationships/image" Target="../media/image40.png"/><Relationship Id="rId5" Type="http://schemas.openxmlformats.org/officeDocument/2006/relationships/image" Target="../media/image39.png"/><Relationship Id="rId4" Type="http://schemas.openxmlformats.org/officeDocument/2006/relationships/image" Target="../media/image38.png"/><Relationship Id="rId9" Type="http://schemas.openxmlformats.org/officeDocument/2006/relationships/image" Target="../media/image43.png"/></Relationships>
</file>

<file path=xl/drawings/_rels/drawing2.xml.rels><?xml version="1.0" encoding="UTF-8" standalone="yes"?>
<Relationships xmlns="http://schemas.openxmlformats.org/package/2006/relationships"><Relationship Id="rId8" Type="http://schemas.openxmlformats.org/officeDocument/2006/relationships/image" Target="../media/image51.png"/><Relationship Id="rId3" Type="http://schemas.openxmlformats.org/officeDocument/2006/relationships/image" Target="../media/image46.png"/><Relationship Id="rId7" Type="http://schemas.openxmlformats.org/officeDocument/2006/relationships/image" Target="../media/image50.png"/><Relationship Id="rId2" Type="http://schemas.openxmlformats.org/officeDocument/2006/relationships/image" Target="../media/image45.png"/><Relationship Id="rId1" Type="http://schemas.openxmlformats.org/officeDocument/2006/relationships/image" Target="../media/image44.png"/><Relationship Id="rId6" Type="http://schemas.openxmlformats.org/officeDocument/2006/relationships/image" Target="../media/image49.png"/><Relationship Id="rId11" Type="http://schemas.openxmlformats.org/officeDocument/2006/relationships/image" Target="../media/image54.svg"/><Relationship Id="rId5" Type="http://schemas.openxmlformats.org/officeDocument/2006/relationships/image" Target="../media/image48.png"/><Relationship Id="rId10" Type="http://schemas.openxmlformats.org/officeDocument/2006/relationships/image" Target="../media/image53.png"/><Relationship Id="rId4" Type="http://schemas.openxmlformats.org/officeDocument/2006/relationships/image" Target="../media/image47.png"/><Relationship Id="rId9" Type="http://schemas.openxmlformats.org/officeDocument/2006/relationships/image" Target="../media/image5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xdr:col>
      <xdr:colOff>284741</xdr:colOff>
      <xdr:row>23</xdr:row>
      <xdr:rowOff>85014</xdr:rowOff>
    </xdr:from>
    <xdr:to>
      <xdr:col>2</xdr:col>
      <xdr:colOff>1415041</xdr:colOff>
      <xdr:row>24</xdr:row>
      <xdr:rowOff>507852</xdr:rowOff>
    </xdr:to>
    <xdr:pic>
      <xdr:nvPicPr>
        <xdr:cNvPr id="3" name="Picture 2" descr="Coronene - Wikipedia">
          <a:extLst>
            <a:ext uri="{FF2B5EF4-FFF2-40B4-BE49-F238E27FC236}">
              <a16:creationId xmlns:a16="http://schemas.microsoft.com/office/drawing/2014/main" id="{B6FEC7B3-DFAD-E045-975A-8066FE45009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0650" y="8697923"/>
          <a:ext cx="1130300" cy="1092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91948</xdr:colOff>
      <xdr:row>10</xdr:row>
      <xdr:rowOff>167106</xdr:rowOff>
    </xdr:from>
    <xdr:to>
      <xdr:col>2</xdr:col>
      <xdr:colOff>1626834</xdr:colOff>
      <xdr:row>13</xdr:row>
      <xdr:rowOff>283488</xdr:rowOff>
    </xdr:to>
    <xdr:pic>
      <xdr:nvPicPr>
        <xdr:cNvPr id="5" name="Picture 4" descr="Retene | C18H18 | ChemSpider">
          <a:extLst>
            <a:ext uri="{FF2B5EF4-FFF2-40B4-BE49-F238E27FC236}">
              <a16:creationId xmlns:a16="http://schemas.microsoft.com/office/drawing/2014/main" id="{01E6C837-E376-329B-B928-6FE2B6174A2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26629" y="2463915"/>
          <a:ext cx="1534886" cy="153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217521</xdr:colOff>
      <xdr:row>13</xdr:row>
      <xdr:rowOff>83915</xdr:rowOff>
    </xdr:from>
    <xdr:to>
      <xdr:col>2</xdr:col>
      <xdr:colOff>1450253</xdr:colOff>
      <xdr:row>15</xdr:row>
      <xdr:rowOff>947</xdr:rowOff>
    </xdr:to>
    <xdr:pic>
      <xdr:nvPicPr>
        <xdr:cNvPr id="6" name="Picture 5" descr="Chrysene - Wikipedia">
          <a:extLst>
            <a:ext uri="{FF2B5EF4-FFF2-40B4-BE49-F238E27FC236}">
              <a16:creationId xmlns:a16="http://schemas.microsoft.com/office/drawing/2014/main" id="{380802E6-AE3E-534A-AD3B-AD4DFB4A88FE}"/>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352202" y="3799341"/>
          <a:ext cx="1232732" cy="7264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225178</xdr:colOff>
      <xdr:row>15</xdr:row>
      <xdr:rowOff>28102</xdr:rowOff>
    </xdr:from>
    <xdr:to>
      <xdr:col>2</xdr:col>
      <xdr:colOff>1418833</xdr:colOff>
      <xdr:row>16</xdr:row>
      <xdr:rowOff>428292</xdr:rowOff>
    </xdr:to>
    <xdr:pic>
      <xdr:nvPicPr>
        <xdr:cNvPr id="7" name="Picture 6" descr="Pyrene - Wikipedia">
          <a:extLst>
            <a:ext uri="{FF2B5EF4-FFF2-40B4-BE49-F238E27FC236}">
              <a16:creationId xmlns:a16="http://schemas.microsoft.com/office/drawing/2014/main" id="{EFD4312F-7A07-5245-8EEB-1DFD9FA82B61}"/>
            </a:ext>
          </a:extLst>
        </xdr:cNvPr>
        <xdr:cNvPicPr>
          <a:picLocks noChangeAspect="1" noChangeArrowheads="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t="12865" b="14805"/>
        <a:stretch/>
      </xdr:blipFill>
      <xdr:spPr bwMode="auto">
        <a:xfrm>
          <a:off x="2359859" y="4554166"/>
          <a:ext cx="1193655" cy="8595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134358</xdr:colOff>
      <xdr:row>17</xdr:row>
      <xdr:rowOff>31659</xdr:rowOff>
    </xdr:from>
    <xdr:to>
      <xdr:col>2</xdr:col>
      <xdr:colOff>1629024</xdr:colOff>
      <xdr:row>18</xdr:row>
      <xdr:rowOff>425347</xdr:rowOff>
    </xdr:to>
    <xdr:pic>
      <xdr:nvPicPr>
        <xdr:cNvPr id="8" name="Picture 7" descr="1-Nitropyrene - Wikipedia">
          <a:extLst>
            <a:ext uri="{FF2B5EF4-FFF2-40B4-BE49-F238E27FC236}">
              <a16:creationId xmlns:a16="http://schemas.microsoft.com/office/drawing/2014/main" id="{CEA7123E-CD91-26D0-E990-7F385FAF77FA}"/>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270267" y="5481114"/>
          <a:ext cx="1494666" cy="8439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259387</xdr:colOff>
      <xdr:row>18</xdr:row>
      <xdr:rowOff>415638</xdr:rowOff>
    </xdr:from>
    <xdr:to>
      <xdr:col>2</xdr:col>
      <xdr:colOff>1445274</xdr:colOff>
      <xdr:row>21</xdr:row>
      <xdr:rowOff>87363</xdr:rowOff>
    </xdr:to>
    <xdr:pic>
      <xdr:nvPicPr>
        <xdr:cNvPr id="10" name="Picture 9" descr="Perylene | C20H12 | ChemSpider">
          <a:extLst>
            <a:ext uri="{FF2B5EF4-FFF2-40B4-BE49-F238E27FC236}">
              <a16:creationId xmlns:a16="http://schemas.microsoft.com/office/drawing/2014/main" id="{9193DEA1-232C-A24E-B784-9DB52CE8D1B5}"/>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395296" y="6315365"/>
          <a:ext cx="1185887" cy="11841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xdr:col>
      <xdr:colOff>291697</xdr:colOff>
      <xdr:row>21</xdr:row>
      <xdr:rowOff>54111</xdr:rowOff>
    </xdr:from>
    <xdr:ext cx="1036052" cy="1012689"/>
    <xdr:pic>
      <xdr:nvPicPr>
        <xdr:cNvPr id="11" name="Picture 10" descr="Benzo(ghi)perylene - Wikipedia">
          <a:extLst>
            <a:ext uri="{FF2B5EF4-FFF2-40B4-BE49-F238E27FC236}">
              <a16:creationId xmlns:a16="http://schemas.microsoft.com/office/drawing/2014/main" id="{371DE2C2-A111-DE41-B26F-077B1E1666AD}"/>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427606" y="7466293"/>
          <a:ext cx="1036052" cy="101268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xdr:col>
      <xdr:colOff>93384</xdr:colOff>
      <xdr:row>7</xdr:row>
      <xdr:rowOff>175041</xdr:rowOff>
    </xdr:from>
    <xdr:to>
      <xdr:col>2</xdr:col>
      <xdr:colOff>1587386</xdr:colOff>
      <xdr:row>8</xdr:row>
      <xdr:rowOff>328393</xdr:rowOff>
    </xdr:to>
    <xdr:pic>
      <xdr:nvPicPr>
        <xdr:cNvPr id="9" name="Picture 8" descr="Anthracene ReagentPlus�, 99 120-12-7">
          <a:extLst>
            <a:ext uri="{FF2B5EF4-FFF2-40B4-BE49-F238E27FC236}">
              <a16:creationId xmlns:a16="http://schemas.microsoft.com/office/drawing/2014/main" id="{4FE32FAD-D8B4-A559-BBDE-F0517360338D}"/>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2228065" y="1188339"/>
          <a:ext cx="1494002" cy="5856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338667</xdr:colOff>
      <xdr:row>9</xdr:row>
      <xdr:rowOff>104790</xdr:rowOff>
    </xdr:from>
    <xdr:to>
      <xdr:col>2</xdr:col>
      <xdr:colOff>1530680</xdr:colOff>
      <xdr:row>10</xdr:row>
      <xdr:rowOff>304799</xdr:rowOff>
    </xdr:to>
    <xdr:pic>
      <xdr:nvPicPr>
        <xdr:cNvPr id="12" name="Picture 11">
          <a:extLst>
            <a:ext uri="{FF2B5EF4-FFF2-40B4-BE49-F238E27FC236}">
              <a16:creationId xmlns:a16="http://schemas.microsoft.com/office/drawing/2014/main" id="{D3A9146E-F11D-2403-E984-EB1C775AFFF5}"/>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472267" y="2407723"/>
          <a:ext cx="1192013" cy="6233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117728</xdr:colOff>
      <xdr:row>3</xdr:row>
      <xdr:rowOff>221121</xdr:rowOff>
    </xdr:from>
    <xdr:to>
      <xdr:col>2</xdr:col>
      <xdr:colOff>1678581</xdr:colOff>
      <xdr:row>3</xdr:row>
      <xdr:rowOff>1781974</xdr:rowOff>
    </xdr:to>
    <xdr:pic>
      <xdr:nvPicPr>
        <xdr:cNvPr id="2" name="Picture 1">
          <a:extLst>
            <a:ext uri="{FF2B5EF4-FFF2-40B4-BE49-F238E27FC236}">
              <a16:creationId xmlns:a16="http://schemas.microsoft.com/office/drawing/2014/main" id="{54D15FB3-E528-64ED-65A9-BD7092D7C8EB}"/>
            </a:ext>
          </a:extLst>
        </xdr:cNvPr>
        <xdr:cNvPicPr>
          <a:picLocks noChangeAspect="1"/>
        </xdr:cNvPicPr>
      </xdr:nvPicPr>
      <xdr:blipFill>
        <a:blip xmlns:r="http://schemas.openxmlformats.org/officeDocument/2006/relationships" r:embed="rId1"/>
        <a:stretch>
          <a:fillRect/>
        </a:stretch>
      </xdr:blipFill>
      <xdr:spPr>
        <a:xfrm>
          <a:off x="3140328" y="830721"/>
          <a:ext cx="1560853" cy="1560853"/>
        </a:xfrm>
        <a:prstGeom prst="rect">
          <a:avLst/>
        </a:prstGeom>
      </xdr:spPr>
    </xdr:pic>
    <xdr:clientData/>
  </xdr:twoCellAnchor>
  <xdr:twoCellAnchor editAs="oneCell">
    <xdr:from>
      <xdr:col>5</xdr:col>
      <xdr:colOff>169074</xdr:colOff>
      <xdr:row>2</xdr:row>
      <xdr:rowOff>105724</xdr:rowOff>
    </xdr:from>
    <xdr:to>
      <xdr:col>5</xdr:col>
      <xdr:colOff>2501900</xdr:colOff>
      <xdr:row>4</xdr:row>
      <xdr:rowOff>50800</xdr:rowOff>
    </xdr:to>
    <xdr:pic>
      <xdr:nvPicPr>
        <xdr:cNvPr id="3" name="Picture 2">
          <a:extLst>
            <a:ext uri="{FF2B5EF4-FFF2-40B4-BE49-F238E27FC236}">
              <a16:creationId xmlns:a16="http://schemas.microsoft.com/office/drawing/2014/main" id="{14F2E45A-95EF-73CD-1FE2-9DECD914FC54}"/>
            </a:ext>
          </a:extLst>
        </xdr:cNvPr>
        <xdr:cNvPicPr>
          <a:picLocks noChangeAspect="1"/>
        </xdr:cNvPicPr>
      </xdr:nvPicPr>
      <xdr:blipFill>
        <a:blip xmlns:r="http://schemas.openxmlformats.org/officeDocument/2006/relationships" r:embed="rId2"/>
        <a:stretch>
          <a:fillRect/>
        </a:stretch>
      </xdr:blipFill>
      <xdr:spPr>
        <a:xfrm>
          <a:off x="8131974" y="512124"/>
          <a:ext cx="2332826" cy="2332676"/>
        </a:xfrm>
        <a:prstGeom prst="rect">
          <a:avLst/>
        </a:prstGeom>
      </xdr:spPr>
    </xdr:pic>
    <xdr:clientData/>
  </xdr:twoCellAnchor>
  <xdr:twoCellAnchor editAs="oneCell">
    <xdr:from>
      <xdr:col>6</xdr:col>
      <xdr:colOff>78825</xdr:colOff>
      <xdr:row>3</xdr:row>
      <xdr:rowOff>82435</xdr:rowOff>
    </xdr:from>
    <xdr:to>
      <xdr:col>6</xdr:col>
      <xdr:colOff>2190297</xdr:colOff>
      <xdr:row>4</xdr:row>
      <xdr:rowOff>10131</xdr:rowOff>
    </xdr:to>
    <xdr:pic>
      <xdr:nvPicPr>
        <xdr:cNvPr id="4" name="Picture 3">
          <a:extLst>
            <a:ext uri="{FF2B5EF4-FFF2-40B4-BE49-F238E27FC236}">
              <a16:creationId xmlns:a16="http://schemas.microsoft.com/office/drawing/2014/main" id="{467BCE18-B4CE-5801-80C8-B59267649E63}"/>
            </a:ext>
          </a:extLst>
        </xdr:cNvPr>
        <xdr:cNvPicPr>
          <a:picLocks noChangeAspect="1"/>
        </xdr:cNvPicPr>
      </xdr:nvPicPr>
      <xdr:blipFill>
        <a:blip xmlns:r="http://schemas.openxmlformats.org/officeDocument/2006/relationships" r:embed="rId3"/>
        <a:stretch>
          <a:fillRect/>
        </a:stretch>
      </xdr:blipFill>
      <xdr:spPr>
        <a:xfrm>
          <a:off x="10619825" y="692035"/>
          <a:ext cx="2111472" cy="2112096"/>
        </a:xfrm>
        <a:prstGeom prst="rect">
          <a:avLst/>
        </a:prstGeom>
      </xdr:spPr>
    </xdr:pic>
    <xdr:clientData/>
  </xdr:twoCellAnchor>
  <xdr:twoCellAnchor editAs="oneCell">
    <xdr:from>
      <xdr:col>9</xdr:col>
      <xdr:colOff>68954</xdr:colOff>
      <xdr:row>3</xdr:row>
      <xdr:rowOff>14101</xdr:rowOff>
    </xdr:from>
    <xdr:to>
      <xdr:col>9</xdr:col>
      <xdr:colOff>2344047</xdr:colOff>
      <xdr:row>4</xdr:row>
      <xdr:rowOff>108222</xdr:rowOff>
    </xdr:to>
    <xdr:pic>
      <xdr:nvPicPr>
        <xdr:cNvPr id="5" name="Picture 4">
          <a:extLst>
            <a:ext uri="{FF2B5EF4-FFF2-40B4-BE49-F238E27FC236}">
              <a16:creationId xmlns:a16="http://schemas.microsoft.com/office/drawing/2014/main" id="{1D742EC8-DC2A-1826-8B76-827F21165FC3}"/>
            </a:ext>
          </a:extLst>
        </xdr:cNvPr>
        <xdr:cNvPicPr>
          <a:picLocks noChangeAspect="1"/>
        </xdr:cNvPicPr>
      </xdr:nvPicPr>
      <xdr:blipFill>
        <a:blip xmlns:r="http://schemas.openxmlformats.org/officeDocument/2006/relationships" r:embed="rId4"/>
        <a:stretch>
          <a:fillRect/>
        </a:stretch>
      </xdr:blipFill>
      <xdr:spPr>
        <a:xfrm>
          <a:off x="16848348" y="649101"/>
          <a:ext cx="2275093" cy="2287757"/>
        </a:xfrm>
        <a:prstGeom prst="rect">
          <a:avLst/>
        </a:prstGeom>
      </xdr:spPr>
    </xdr:pic>
    <xdr:clientData/>
  </xdr:twoCellAnchor>
  <xdr:twoCellAnchor editAs="oneCell">
    <xdr:from>
      <xdr:col>7</xdr:col>
      <xdr:colOff>766649</xdr:colOff>
      <xdr:row>2</xdr:row>
      <xdr:rowOff>113311</xdr:rowOff>
    </xdr:from>
    <xdr:to>
      <xdr:col>8</xdr:col>
      <xdr:colOff>1001897</xdr:colOff>
      <xdr:row>4</xdr:row>
      <xdr:rowOff>121102</xdr:rowOff>
    </xdr:to>
    <xdr:pic>
      <xdr:nvPicPr>
        <xdr:cNvPr id="6" name="Picture 5">
          <a:extLst>
            <a:ext uri="{FF2B5EF4-FFF2-40B4-BE49-F238E27FC236}">
              <a16:creationId xmlns:a16="http://schemas.microsoft.com/office/drawing/2014/main" id="{FD94A436-B381-4505-B619-F779C31625B1}"/>
            </a:ext>
          </a:extLst>
        </xdr:cNvPr>
        <xdr:cNvPicPr>
          <a:picLocks noChangeAspect="1"/>
        </xdr:cNvPicPr>
      </xdr:nvPicPr>
      <xdr:blipFill>
        <a:blip xmlns:r="http://schemas.openxmlformats.org/officeDocument/2006/relationships" r:embed="rId5"/>
        <a:stretch>
          <a:fillRect/>
        </a:stretch>
      </xdr:blipFill>
      <xdr:spPr>
        <a:xfrm>
          <a:off x="13568249" y="519711"/>
          <a:ext cx="2394248" cy="2395391"/>
        </a:xfrm>
        <a:prstGeom prst="rect">
          <a:avLst/>
        </a:prstGeom>
      </xdr:spPr>
    </xdr:pic>
    <xdr:clientData/>
  </xdr:twoCellAnchor>
  <xdr:twoCellAnchor editAs="oneCell">
    <xdr:from>
      <xdr:col>10</xdr:col>
      <xdr:colOff>145701</xdr:colOff>
      <xdr:row>3</xdr:row>
      <xdr:rowOff>67240</xdr:rowOff>
    </xdr:from>
    <xdr:to>
      <xdr:col>10</xdr:col>
      <xdr:colOff>2261068</xdr:colOff>
      <xdr:row>4</xdr:row>
      <xdr:rowOff>2756</xdr:rowOff>
    </xdr:to>
    <xdr:pic>
      <xdr:nvPicPr>
        <xdr:cNvPr id="7" name="Picture 6">
          <a:extLst>
            <a:ext uri="{FF2B5EF4-FFF2-40B4-BE49-F238E27FC236}">
              <a16:creationId xmlns:a16="http://schemas.microsoft.com/office/drawing/2014/main" id="{875DFF32-3913-D426-2E8E-37E4A0C3CD32}"/>
            </a:ext>
          </a:extLst>
        </xdr:cNvPr>
        <xdr:cNvPicPr>
          <a:picLocks noChangeAspect="1"/>
        </xdr:cNvPicPr>
      </xdr:nvPicPr>
      <xdr:blipFill>
        <a:blip xmlns:r="http://schemas.openxmlformats.org/officeDocument/2006/relationships" r:embed="rId6"/>
        <a:stretch>
          <a:fillRect/>
        </a:stretch>
      </xdr:blipFill>
      <xdr:spPr>
        <a:xfrm>
          <a:off x="19373501" y="676840"/>
          <a:ext cx="2115367" cy="2115367"/>
        </a:xfrm>
        <a:prstGeom prst="rect">
          <a:avLst/>
        </a:prstGeom>
      </xdr:spPr>
    </xdr:pic>
    <xdr:clientData/>
  </xdr:twoCellAnchor>
  <xdr:twoCellAnchor editAs="oneCell">
    <xdr:from>
      <xdr:col>11</xdr:col>
      <xdr:colOff>92640</xdr:colOff>
      <xdr:row>2</xdr:row>
      <xdr:rowOff>183098</xdr:rowOff>
    </xdr:from>
    <xdr:to>
      <xdr:col>11</xdr:col>
      <xdr:colOff>2285922</xdr:colOff>
      <xdr:row>3</xdr:row>
      <xdr:rowOff>2173804</xdr:rowOff>
    </xdr:to>
    <xdr:pic>
      <xdr:nvPicPr>
        <xdr:cNvPr id="8" name="Picture 7">
          <a:extLst>
            <a:ext uri="{FF2B5EF4-FFF2-40B4-BE49-F238E27FC236}">
              <a16:creationId xmlns:a16="http://schemas.microsoft.com/office/drawing/2014/main" id="{3697F03F-7E95-F6EB-51C2-58989BADE6F5}"/>
            </a:ext>
          </a:extLst>
        </xdr:cNvPr>
        <xdr:cNvPicPr>
          <a:picLocks noChangeAspect="1"/>
        </xdr:cNvPicPr>
      </xdr:nvPicPr>
      <xdr:blipFill>
        <a:blip xmlns:r="http://schemas.openxmlformats.org/officeDocument/2006/relationships" r:embed="rId7"/>
        <a:stretch>
          <a:fillRect/>
        </a:stretch>
      </xdr:blipFill>
      <xdr:spPr>
        <a:xfrm>
          <a:off x="21746140" y="589498"/>
          <a:ext cx="2193282" cy="2193906"/>
        </a:xfrm>
        <a:prstGeom prst="rect">
          <a:avLst/>
        </a:prstGeom>
      </xdr:spPr>
    </xdr:pic>
    <xdr:clientData/>
  </xdr:twoCellAnchor>
  <xdr:twoCellAnchor editAs="oneCell">
    <xdr:from>
      <xdr:col>3</xdr:col>
      <xdr:colOff>634772</xdr:colOff>
      <xdr:row>3</xdr:row>
      <xdr:rowOff>48288</xdr:rowOff>
    </xdr:from>
    <xdr:to>
      <xdr:col>4</xdr:col>
      <xdr:colOff>1265767</xdr:colOff>
      <xdr:row>3</xdr:row>
      <xdr:rowOff>2161732</xdr:rowOff>
    </xdr:to>
    <xdr:pic>
      <xdr:nvPicPr>
        <xdr:cNvPr id="9" name="Picture 8">
          <a:extLst>
            <a:ext uri="{FF2B5EF4-FFF2-40B4-BE49-F238E27FC236}">
              <a16:creationId xmlns:a16="http://schemas.microsoft.com/office/drawing/2014/main" id="{B012E83B-D627-5E32-1F6A-A13499F74230}"/>
            </a:ext>
          </a:extLst>
        </xdr:cNvPr>
        <xdr:cNvPicPr>
          <a:picLocks noChangeAspect="1"/>
        </xdr:cNvPicPr>
      </xdr:nvPicPr>
      <xdr:blipFill>
        <a:blip xmlns:r="http://schemas.openxmlformats.org/officeDocument/2006/relationships" r:embed="rId8"/>
        <a:stretch>
          <a:fillRect/>
        </a:stretch>
      </xdr:blipFill>
      <xdr:spPr>
        <a:xfrm>
          <a:off x="5473472" y="657888"/>
          <a:ext cx="2116895" cy="2113444"/>
        </a:xfrm>
        <a:prstGeom prst="rect">
          <a:avLst/>
        </a:prstGeom>
      </xdr:spPr>
    </xdr:pic>
    <xdr:clientData/>
  </xdr:twoCellAnchor>
  <xdr:twoCellAnchor editAs="oneCell">
    <xdr:from>
      <xdr:col>12</xdr:col>
      <xdr:colOff>156634</xdr:colOff>
      <xdr:row>3</xdr:row>
      <xdr:rowOff>76199</xdr:rowOff>
    </xdr:from>
    <xdr:to>
      <xdr:col>12</xdr:col>
      <xdr:colOff>2273301</xdr:colOff>
      <xdr:row>4</xdr:row>
      <xdr:rowOff>8466</xdr:rowOff>
    </xdr:to>
    <xdr:pic>
      <xdr:nvPicPr>
        <xdr:cNvPr id="10" name="Picture 9">
          <a:extLst>
            <a:ext uri="{FF2B5EF4-FFF2-40B4-BE49-F238E27FC236}">
              <a16:creationId xmlns:a16="http://schemas.microsoft.com/office/drawing/2014/main" id="{99F52D9F-660C-B206-1115-29D3D3BB580E}"/>
            </a:ext>
          </a:extLst>
        </xdr:cNvPr>
        <xdr:cNvPicPr>
          <a:picLocks noChangeAspect="1"/>
        </xdr:cNvPicPr>
      </xdr:nvPicPr>
      <xdr:blipFill>
        <a:blip xmlns:r="http://schemas.openxmlformats.org/officeDocument/2006/relationships" r:embed="rId9"/>
        <a:stretch>
          <a:fillRect/>
        </a:stretch>
      </xdr:blipFill>
      <xdr:spPr>
        <a:xfrm>
          <a:off x="24235834" y="685799"/>
          <a:ext cx="2116667" cy="2116667"/>
        </a:xfrm>
        <a:prstGeom prst="rect">
          <a:avLst/>
        </a:prstGeom>
      </xdr:spPr>
    </xdr:pic>
    <xdr:clientData/>
  </xdr:twoCellAnchor>
  <xdr:twoCellAnchor editAs="oneCell">
    <xdr:from>
      <xdr:col>1</xdr:col>
      <xdr:colOff>538790</xdr:colOff>
      <xdr:row>12</xdr:row>
      <xdr:rowOff>17523</xdr:rowOff>
    </xdr:from>
    <xdr:to>
      <xdr:col>6</xdr:col>
      <xdr:colOff>1570146</xdr:colOff>
      <xdr:row>23</xdr:row>
      <xdr:rowOff>133038</xdr:rowOff>
    </xdr:to>
    <xdr:pic>
      <xdr:nvPicPr>
        <xdr:cNvPr id="11" name="Graphic 1">
          <a:extLst>
            <a:ext uri="{FF2B5EF4-FFF2-40B4-BE49-F238E27FC236}">
              <a16:creationId xmlns:a16="http://schemas.microsoft.com/office/drawing/2014/main" id="{DEFF1298-623C-B131-B76F-B3B7C74F1669}"/>
            </a:ext>
          </a:extLst>
        </xdr:cNvPr>
        <xdr:cNvPicPr>
          <a:picLocks noChangeAspect="1"/>
        </xdr:cNvPicPr>
      </xdr:nvPicPr>
      <xdr:blipFill rotWithShape="1">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rcRect t="11564" b="50091"/>
        <a:stretch/>
      </xdr:blipFill>
      <xdr:spPr bwMode="auto">
        <a:xfrm>
          <a:off x="1366214" y="5674796"/>
          <a:ext cx="10871968" cy="2443849"/>
        </a:xfrm>
        <a:prstGeom prst="rect">
          <a:avLst/>
        </a:prstGeom>
        <a:ln>
          <a:noFill/>
        </a:ln>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19050</xdr:colOff>
      <xdr:row>57</xdr:row>
      <xdr:rowOff>19050</xdr:rowOff>
    </xdr:from>
    <xdr:to>
      <xdr:col>13</xdr:col>
      <xdr:colOff>508000</xdr:colOff>
      <xdr:row>75</xdr:row>
      <xdr:rowOff>25400</xdr:rowOff>
    </xdr:to>
    <xdr:graphicFrame macro="">
      <xdr:nvGraphicFramePr>
        <xdr:cNvPr id="24" name="Chart 23">
          <a:extLst>
            <a:ext uri="{FF2B5EF4-FFF2-40B4-BE49-F238E27FC236}">
              <a16:creationId xmlns:a16="http://schemas.microsoft.com/office/drawing/2014/main" id="{3D196122-5367-9C40-A8D2-7F4E90C0BE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19050</xdr:colOff>
      <xdr:row>57</xdr:row>
      <xdr:rowOff>19050</xdr:rowOff>
    </xdr:from>
    <xdr:to>
      <xdr:col>13</xdr:col>
      <xdr:colOff>508000</xdr:colOff>
      <xdr:row>75</xdr:row>
      <xdr:rowOff>25400</xdr:rowOff>
    </xdr:to>
    <xdr:graphicFrame macro="">
      <xdr:nvGraphicFramePr>
        <xdr:cNvPr id="2" name="Chart 1">
          <a:extLst>
            <a:ext uri="{FF2B5EF4-FFF2-40B4-BE49-F238E27FC236}">
              <a16:creationId xmlns:a16="http://schemas.microsoft.com/office/drawing/2014/main" id="{BBF5C776-7339-E843-9A9F-FFFCE7A60E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19050</xdr:colOff>
      <xdr:row>57</xdr:row>
      <xdr:rowOff>19050</xdr:rowOff>
    </xdr:from>
    <xdr:to>
      <xdr:col>13</xdr:col>
      <xdr:colOff>508000</xdr:colOff>
      <xdr:row>75</xdr:row>
      <xdr:rowOff>25400</xdr:rowOff>
    </xdr:to>
    <xdr:graphicFrame macro="">
      <xdr:nvGraphicFramePr>
        <xdr:cNvPr id="2" name="Chart 1">
          <a:extLst>
            <a:ext uri="{FF2B5EF4-FFF2-40B4-BE49-F238E27FC236}">
              <a16:creationId xmlns:a16="http://schemas.microsoft.com/office/drawing/2014/main" id="{52267FEC-F2EB-1F48-AEDB-4693BEC8BE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19050</xdr:colOff>
      <xdr:row>57</xdr:row>
      <xdr:rowOff>19050</xdr:rowOff>
    </xdr:from>
    <xdr:to>
      <xdr:col>13</xdr:col>
      <xdr:colOff>508000</xdr:colOff>
      <xdr:row>75</xdr:row>
      <xdr:rowOff>25400</xdr:rowOff>
    </xdr:to>
    <xdr:graphicFrame macro="">
      <xdr:nvGraphicFramePr>
        <xdr:cNvPr id="2" name="Chart 1">
          <a:extLst>
            <a:ext uri="{FF2B5EF4-FFF2-40B4-BE49-F238E27FC236}">
              <a16:creationId xmlns:a16="http://schemas.microsoft.com/office/drawing/2014/main" id="{38844709-6546-0D47-B17E-0BEE907B28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richData/_rels/richValueRel.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8" Type="http://schemas.openxmlformats.org/officeDocument/2006/relationships/image" Target="../media/image8.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34">
  <rv s="0">
    <v>0</v>
    <v>5</v>
  </rv>
  <rv s="0">
    <v>1</v>
    <v>5</v>
  </rv>
  <rv s="0">
    <v>2</v>
    <v>5</v>
  </rv>
  <rv s="0">
    <v>3</v>
    <v>5</v>
  </rv>
  <rv s="0">
    <v>4</v>
    <v>5</v>
  </rv>
  <rv s="0">
    <v>5</v>
    <v>5</v>
  </rv>
  <rv s="0">
    <v>6</v>
    <v>5</v>
  </rv>
  <rv s="0">
    <v>7</v>
    <v>5</v>
  </rv>
  <rv s="0">
    <v>8</v>
    <v>5</v>
  </rv>
  <rv s="0">
    <v>9</v>
    <v>5</v>
  </rv>
  <rv s="0">
    <v>10</v>
    <v>5</v>
  </rv>
  <rv s="0">
    <v>11</v>
    <v>5</v>
  </rv>
  <rv s="0">
    <v>12</v>
    <v>5</v>
  </rv>
  <rv s="0">
    <v>13</v>
    <v>5</v>
  </rv>
  <rv s="0">
    <v>14</v>
    <v>5</v>
  </rv>
  <rv s="0">
    <v>15</v>
    <v>5</v>
  </rv>
  <rv s="0">
    <v>16</v>
    <v>5</v>
  </rv>
  <rv s="0">
    <v>17</v>
    <v>5</v>
  </rv>
  <rv s="0">
    <v>18</v>
    <v>5</v>
  </rv>
  <rv s="0">
    <v>19</v>
    <v>5</v>
  </rv>
  <rv s="0">
    <v>20</v>
    <v>5</v>
  </rv>
  <rv s="0">
    <v>21</v>
    <v>5</v>
  </rv>
  <rv s="0">
    <v>22</v>
    <v>5</v>
  </rv>
  <rv s="0">
    <v>23</v>
    <v>5</v>
  </rv>
  <rv s="0">
    <v>24</v>
    <v>5</v>
  </rv>
  <rv s="0">
    <v>25</v>
    <v>5</v>
  </rv>
  <rv s="0">
    <v>26</v>
    <v>5</v>
  </rv>
  <rv s="0">
    <v>27</v>
    <v>5</v>
  </rv>
  <rv s="0">
    <v>28</v>
    <v>5</v>
  </rv>
  <rv s="0">
    <v>29</v>
    <v>5</v>
  </rv>
  <rv s="0">
    <v>30</v>
    <v>5</v>
  </rv>
  <rv s="0">
    <v>31</v>
    <v>5</v>
  </rv>
  <rv s="0">
    <v>32</v>
    <v>5</v>
  </rv>
  <rv s="0">
    <v>33</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el r:id="rId14"/>
  <rel r:id="rId15"/>
  <rel r:id="rId16"/>
  <rel r:id="rId17"/>
  <rel r:id="rId18"/>
  <rel r:id="rId19"/>
  <rel r:id="rId20"/>
  <rel r:id="rId21"/>
  <rel r:id="rId22"/>
  <rel r:id="rId23"/>
  <rel r:id="rId24"/>
  <rel r:id="rId25"/>
  <rel r:id="rId26"/>
  <rel r:id="rId27"/>
  <rel r:id="rId28"/>
  <rel r:id="rId29"/>
  <rel r:id="rId30"/>
  <rel r:id="rId31"/>
  <rel r:id="rId32"/>
  <rel r:id="rId33"/>
  <rel r:id="rId34"/>
</richValueRel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aslopubs.onlinelibrary.wiley.com/doi/abs/10.4319/lom.2011.9.140"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hyperlink" Target="https://pubchem.ncbi.nlm.nih.gov/compound/9171" TargetMode="External"/><Relationship Id="rId13" Type="http://schemas.openxmlformats.org/officeDocument/2006/relationships/hyperlink" Target="https://pubchem.ncbi.nlm.nih.gov/compound/2336" TargetMode="External"/><Relationship Id="rId18" Type="http://schemas.openxmlformats.org/officeDocument/2006/relationships/hyperlink" Target="https://pubchem.ncbi.nlm.nih.gov/compound/25137951" TargetMode="External"/><Relationship Id="rId3" Type="http://schemas.openxmlformats.org/officeDocument/2006/relationships/hyperlink" Target="https://pubchem.ncbi.nlm.nih.gov/compound/995" TargetMode="External"/><Relationship Id="rId7" Type="http://schemas.openxmlformats.org/officeDocument/2006/relationships/hyperlink" Target="https://pubchem.ncbi.nlm.nih.gov/compound/9115" TargetMode="External"/><Relationship Id="rId12" Type="http://schemas.openxmlformats.org/officeDocument/2006/relationships/hyperlink" Target="https://pubchem.ncbi.nlm.nih.gov/compound/9142" TargetMode="External"/><Relationship Id="rId17" Type="http://schemas.openxmlformats.org/officeDocument/2006/relationships/hyperlink" Target="https://pubchem.ncbi.nlm.nih.gov/compound/155802578" TargetMode="External"/><Relationship Id="rId2" Type="http://schemas.openxmlformats.org/officeDocument/2006/relationships/hyperlink" Target="https://pubchem.ncbi.nlm.nih.gov/compound/9149" TargetMode="External"/><Relationship Id="rId16" Type="http://schemas.openxmlformats.org/officeDocument/2006/relationships/hyperlink" Target="https://pubchem.ncbi.nlm.nih.gov/compound/25137954" TargetMode="External"/><Relationship Id="rId20" Type="http://schemas.openxmlformats.org/officeDocument/2006/relationships/drawing" Target="../drawings/drawing3.xml"/><Relationship Id="rId1" Type="http://schemas.openxmlformats.org/officeDocument/2006/relationships/hyperlink" Target="https://pubchem.ncbi.nlm.nih.gov/compound/568" TargetMode="External"/><Relationship Id="rId6" Type="http://schemas.openxmlformats.org/officeDocument/2006/relationships/hyperlink" Target="https://pubchem.ncbi.nlm.nih.gov/compound/9150" TargetMode="External"/><Relationship Id="rId11" Type="http://schemas.openxmlformats.org/officeDocument/2006/relationships/hyperlink" Target="https://pubchem.ncbi.nlm.nih.gov/compound/9201" TargetMode="External"/><Relationship Id="rId5" Type="http://schemas.openxmlformats.org/officeDocument/2006/relationships/hyperlink" Target="https://pubchem.ncbi.nlm.nih.gov/compound/31423" TargetMode="External"/><Relationship Id="rId15" Type="http://schemas.openxmlformats.org/officeDocument/2006/relationships/hyperlink" Target="https://pubchem.ncbi.nlm.nih.gov/compound/21083032" TargetMode="External"/><Relationship Id="rId10" Type="http://schemas.openxmlformats.org/officeDocument/2006/relationships/hyperlink" Target="https://pubchem.ncbi.nlm.nih.gov/compound/241" TargetMode="External"/><Relationship Id="rId19" Type="http://schemas.openxmlformats.org/officeDocument/2006/relationships/hyperlink" Target="https://pubchem.ncbi.nlm.nih.gov/compound/101140345" TargetMode="External"/><Relationship Id="rId4" Type="http://schemas.openxmlformats.org/officeDocument/2006/relationships/hyperlink" Target="https://pubchem.ncbi.nlm.nih.gov/compound/8418" TargetMode="External"/><Relationship Id="rId9" Type="http://schemas.openxmlformats.org/officeDocument/2006/relationships/hyperlink" Target="https://pubchem.ncbi.nlm.nih.gov/compound/9153" TargetMode="External"/><Relationship Id="rId14" Type="http://schemas.openxmlformats.org/officeDocument/2006/relationships/hyperlink" Target="https://pubchem.ncbi.nlm.nih.gov/compound/Benzo_ghi_perylen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pubchem.ncbi.nlm.nih.gov/compound/9171" TargetMode="External"/><Relationship Id="rId13" Type="http://schemas.openxmlformats.org/officeDocument/2006/relationships/hyperlink" Target="https://pubchem.ncbi.nlm.nih.gov/compound/2336" TargetMode="External"/><Relationship Id="rId18" Type="http://schemas.openxmlformats.org/officeDocument/2006/relationships/hyperlink" Target="https://pubchem.ncbi.nlm.nih.gov/compound/25137951" TargetMode="External"/><Relationship Id="rId3" Type="http://schemas.openxmlformats.org/officeDocument/2006/relationships/hyperlink" Target="https://pubchem.ncbi.nlm.nih.gov/compound/995" TargetMode="External"/><Relationship Id="rId7" Type="http://schemas.openxmlformats.org/officeDocument/2006/relationships/hyperlink" Target="https://pubchem.ncbi.nlm.nih.gov/compound/9115" TargetMode="External"/><Relationship Id="rId12" Type="http://schemas.openxmlformats.org/officeDocument/2006/relationships/hyperlink" Target="https://pubchem.ncbi.nlm.nih.gov/compound/9142" TargetMode="External"/><Relationship Id="rId17" Type="http://schemas.openxmlformats.org/officeDocument/2006/relationships/hyperlink" Target="https://pubchem.ncbi.nlm.nih.gov/compound/155802578" TargetMode="External"/><Relationship Id="rId2" Type="http://schemas.openxmlformats.org/officeDocument/2006/relationships/hyperlink" Target="https://pubchem.ncbi.nlm.nih.gov/compound/9149" TargetMode="External"/><Relationship Id="rId16" Type="http://schemas.openxmlformats.org/officeDocument/2006/relationships/hyperlink" Target="https://pubchem.ncbi.nlm.nih.gov/compound/25137954" TargetMode="External"/><Relationship Id="rId20" Type="http://schemas.openxmlformats.org/officeDocument/2006/relationships/drawing" Target="../drawings/drawing4.xml"/><Relationship Id="rId1" Type="http://schemas.openxmlformats.org/officeDocument/2006/relationships/hyperlink" Target="https://pubchem.ncbi.nlm.nih.gov/compound/568" TargetMode="External"/><Relationship Id="rId6" Type="http://schemas.openxmlformats.org/officeDocument/2006/relationships/hyperlink" Target="https://pubchem.ncbi.nlm.nih.gov/compound/9150" TargetMode="External"/><Relationship Id="rId11" Type="http://schemas.openxmlformats.org/officeDocument/2006/relationships/hyperlink" Target="https://pubchem.ncbi.nlm.nih.gov/compound/9201" TargetMode="External"/><Relationship Id="rId5" Type="http://schemas.openxmlformats.org/officeDocument/2006/relationships/hyperlink" Target="https://pubchem.ncbi.nlm.nih.gov/compound/31423" TargetMode="External"/><Relationship Id="rId15" Type="http://schemas.openxmlformats.org/officeDocument/2006/relationships/hyperlink" Target="https://pubchem.ncbi.nlm.nih.gov/compound/21083032" TargetMode="External"/><Relationship Id="rId10" Type="http://schemas.openxmlformats.org/officeDocument/2006/relationships/hyperlink" Target="https://pubchem.ncbi.nlm.nih.gov/compound/241" TargetMode="External"/><Relationship Id="rId19" Type="http://schemas.openxmlformats.org/officeDocument/2006/relationships/hyperlink" Target="https://pubchem.ncbi.nlm.nih.gov/compound/101140345" TargetMode="External"/><Relationship Id="rId4" Type="http://schemas.openxmlformats.org/officeDocument/2006/relationships/hyperlink" Target="https://pubchem.ncbi.nlm.nih.gov/compound/8418" TargetMode="External"/><Relationship Id="rId9" Type="http://schemas.openxmlformats.org/officeDocument/2006/relationships/hyperlink" Target="https://pubchem.ncbi.nlm.nih.gov/compound/9153" TargetMode="External"/><Relationship Id="rId14" Type="http://schemas.openxmlformats.org/officeDocument/2006/relationships/hyperlink" Target="https://pubchem.ncbi.nlm.nih.gov/compound/Benzo_ghi_perylene"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pubchem.ncbi.nlm.nih.gov/compound/9171" TargetMode="External"/><Relationship Id="rId13" Type="http://schemas.openxmlformats.org/officeDocument/2006/relationships/hyperlink" Target="https://pubchem.ncbi.nlm.nih.gov/compound/2336" TargetMode="External"/><Relationship Id="rId18" Type="http://schemas.openxmlformats.org/officeDocument/2006/relationships/hyperlink" Target="https://pubchem.ncbi.nlm.nih.gov/compound/25137951" TargetMode="External"/><Relationship Id="rId3" Type="http://schemas.openxmlformats.org/officeDocument/2006/relationships/hyperlink" Target="https://pubchem.ncbi.nlm.nih.gov/compound/995" TargetMode="External"/><Relationship Id="rId7" Type="http://schemas.openxmlformats.org/officeDocument/2006/relationships/hyperlink" Target="https://pubchem.ncbi.nlm.nih.gov/compound/9115" TargetMode="External"/><Relationship Id="rId12" Type="http://schemas.openxmlformats.org/officeDocument/2006/relationships/hyperlink" Target="https://pubchem.ncbi.nlm.nih.gov/compound/9142" TargetMode="External"/><Relationship Id="rId17" Type="http://schemas.openxmlformats.org/officeDocument/2006/relationships/hyperlink" Target="https://pubchem.ncbi.nlm.nih.gov/compound/155802578" TargetMode="External"/><Relationship Id="rId2" Type="http://schemas.openxmlformats.org/officeDocument/2006/relationships/hyperlink" Target="https://pubchem.ncbi.nlm.nih.gov/compound/9149" TargetMode="External"/><Relationship Id="rId16" Type="http://schemas.openxmlformats.org/officeDocument/2006/relationships/hyperlink" Target="https://pubchem.ncbi.nlm.nih.gov/compound/25137954" TargetMode="External"/><Relationship Id="rId20" Type="http://schemas.openxmlformats.org/officeDocument/2006/relationships/drawing" Target="../drawings/drawing5.xml"/><Relationship Id="rId1" Type="http://schemas.openxmlformats.org/officeDocument/2006/relationships/hyperlink" Target="https://pubchem.ncbi.nlm.nih.gov/compound/568" TargetMode="External"/><Relationship Id="rId6" Type="http://schemas.openxmlformats.org/officeDocument/2006/relationships/hyperlink" Target="https://pubchem.ncbi.nlm.nih.gov/compound/9150" TargetMode="External"/><Relationship Id="rId11" Type="http://schemas.openxmlformats.org/officeDocument/2006/relationships/hyperlink" Target="https://pubchem.ncbi.nlm.nih.gov/compound/9201" TargetMode="External"/><Relationship Id="rId5" Type="http://schemas.openxmlformats.org/officeDocument/2006/relationships/hyperlink" Target="https://pubchem.ncbi.nlm.nih.gov/compound/31423" TargetMode="External"/><Relationship Id="rId15" Type="http://schemas.openxmlformats.org/officeDocument/2006/relationships/hyperlink" Target="https://pubchem.ncbi.nlm.nih.gov/compound/21083032" TargetMode="External"/><Relationship Id="rId10" Type="http://schemas.openxmlformats.org/officeDocument/2006/relationships/hyperlink" Target="https://pubchem.ncbi.nlm.nih.gov/compound/241" TargetMode="External"/><Relationship Id="rId19" Type="http://schemas.openxmlformats.org/officeDocument/2006/relationships/hyperlink" Target="https://pubchem.ncbi.nlm.nih.gov/compound/101140345" TargetMode="External"/><Relationship Id="rId4" Type="http://schemas.openxmlformats.org/officeDocument/2006/relationships/hyperlink" Target="https://pubchem.ncbi.nlm.nih.gov/compound/8418" TargetMode="External"/><Relationship Id="rId9" Type="http://schemas.openxmlformats.org/officeDocument/2006/relationships/hyperlink" Target="https://pubchem.ncbi.nlm.nih.gov/compound/9153" TargetMode="External"/><Relationship Id="rId14" Type="http://schemas.openxmlformats.org/officeDocument/2006/relationships/hyperlink" Target="https://pubchem.ncbi.nlm.nih.gov/compound/Benzo_ghi_perylene"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pubchem.ncbi.nlm.nih.gov/compound/9171" TargetMode="External"/><Relationship Id="rId13" Type="http://schemas.openxmlformats.org/officeDocument/2006/relationships/hyperlink" Target="https://pubchem.ncbi.nlm.nih.gov/compound/2336" TargetMode="External"/><Relationship Id="rId18" Type="http://schemas.openxmlformats.org/officeDocument/2006/relationships/hyperlink" Target="https://pubchem.ncbi.nlm.nih.gov/compound/25137951" TargetMode="External"/><Relationship Id="rId3" Type="http://schemas.openxmlformats.org/officeDocument/2006/relationships/hyperlink" Target="https://pubchem.ncbi.nlm.nih.gov/compound/995" TargetMode="External"/><Relationship Id="rId7" Type="http://schemas.openxmlformats.org/officeDocument/2006/relationships/hyperlink" Target="https://pubchem.ncbi.nlm.nih.gov/compound/9115" TargetMode="External"/><Relationship Id="rId12" Type="http://schemas.openxmlformats.org/officeDocument/2006/relationships/hyperlink" Target="https://pubchem.ncbi.nlm.nih.gov/compound/9142" TargetMode="External"/><Relationship Id="rId17" Type="http://schemas.openxmlformats.org/officeDocument/2006/relationships/hyperlink" Target="https://pubchem.ncbi.nlm.nih.gov/compound/155802578" TargetMode="External"/><Relationship Id="rId2" Type="http://schemas.openxmlformats.org/officeDocument/2006/relationships/hyperlink" Target="https://pubchem.ncbi.nlm.nih.gov/compound/9149" TargetMode="External"/><Relationship Id="rId16" Type="http://schemas.openxmlformats.org/officeDocument/2006/relationships/hyperlink" Target="https://pubchem.ncbi.nlm.nih.gov/compound/25137954" TargetMode="External"/><Relationship Id="rId20" Type="http://schemas.openxmlformats.org/officeDocument/2006/relationships/drawing" Target="../drawings/drawing6.xml"/><Relationship Id="rId1" Type="http://schemas.openxmlformats.org/officeDocument/2006/relationships/hyperlink" Target="https://pubchem.ncbi.nlm.nih.gov/compound/568" TargetMode="External"/><Relationship Id="rId6" Type="http://schemas.openxmlformats.org/officeDocument/2006/relationships/hyperlink" Target="https://pubchem.ncbi.nlm.nih.gov/compound/9150" TargetMode="External"/><Relationship Id="rId11" Type="http://schemas.openxmlformats.org/officeDocument/2006/relationships/hyperlink" Target="https://pubchem.ncbi.nlm.nih.gov/compound/9201" TargetMode="External"/><Relationship Id="rId5" Type="http://schemas.openxmlformats.org/officeDocument/2006/relationships/hyperlink" Target="https://pubchem.ncbi.nlm.nih.gov/compound/31423" TargetMode="External"/><Relationship Id="rId15" Type="http://schemas.openxmlformats.org/officeDocument/2006/relationships/hyperlink" Target="https://pubchem.ncbi.nlm.nih.gov/compound/21083032" TargetMode="External"/><Relationship Id="rId10" Type="http://schemas.openxmlformats.org/officeDocument/2006/relationships/hyperlink" Target="https://pubchem.ncbi.nlm.nih.gov/compound/241" TargetMode="External"/><Relationship Id="rId19" Type="http://schemas.openxmlformats.org/officeDocument/2006/relationships/hyperlink" Target="https://pubchem.ncbi.nlm.nih.gov/compound/101140345" TargetMode="External"/><Relationship Id="rId4" Type="http://schemas.openxmlformats.org/officeDocument/2006/relationships/hyperlink" Target="https://pubchem.ncbi.nlm.nih.gov/compound/8418" TargetMode="External"/><Relationship Id="rId9" Type="http://schemas.openxmlformats.org/officeDocument/2006/relationships/hyperlink" Target="https://pubchem.ncbi.nlm.nih.gov/compound/9153" TargetMode="External"/><Relationship Id="rId14" Type="http://schemas.openxmlformats.org/officeDocument/2006/relationships/hyperlink" Target="https://pubchem.ncbi.nlm.nih.gov/compound/Benzo_ghi_perylen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40086-441D-6449-8E0C-DC26DBD205B3}">
  <sheetPr codeName="Sheet1"/>
  <dimension ref="B1:AD43"/>
  <sheetViews>
    <sheetView zoomScaleNormal="100" workbookViewId="0">
      <selection activeCell="B3" sqref="B3"/>
    </sheetView>
  </sheetViews>
  <sheetFormatPr baseColWidth="10" defaultColWidth="10.83203125" defaultRowHeight="16"/>
  <cols>
    <col min="1" max="1" width="10.83203125" style="2"/>
    <col min="2" max="2" width="17.1640625" style="4" bestFit="1" customWidth="1"/>
    <col min="3" max="3" width="22.33203125" style="4" customWidth="1"/>
    <col min="4" max="5" width="10.83203125" style="4"/>
    <col min="6" max="6" width="15.1640625" style="4" bestFit="1" customWidth="1"/>
    <col min="7" max="7" width="14.33203125" style="4" customWidth="1"/>
    <col min="8" max="8" width="9.6640625" style="2" bestFit="1" customWidth="1"/>
    <col min="9" max="9" width="8.6640625" style="2" hidden="1" customWidth="1"/>
    <col min="10" max="10" width="8.6640625" style="2" bestFit="1" customWidth="1"/>
    <col min="11" max="11" width="8.1640625" style="2" bestFit="1" customWidth="1"/>
    <col min="12" max="12" width="8.1640625" style="2" hidden="1" customWidth="1"/>
    <col min="13" max="13" width="8.1640625" style="2" bestFit="1" customWidth="1"/>
    <col min="14" max="14" width="8.1640625" style="2" hidden="1" customWidth="1"/>
    <col min="15" max="15" width="6.5" style="2" hidden="1" customWidth="1"/>
    <col min="16" max="16" width="6.5" style="2" bestFit="1" customWidth="1"/>
    <col min="17" max="17" width="9.6640625" style="4" hidden="1" customWidth="1"/>
    <col min="18" max="19" width="8.6640625" style="4" hidden="1" customWidth="1"/>
    <col min="20" max="20" width="12.5" style="4" hidden="1" customWidth="1"/>
    <col min="21" max="22" width="8.6640625" style="4" hidden="1" customWidth="1"/>
    <col min="23" max="23" width="8.1640625" style="4" hidden="1" customWidth="1"/>
    <col min="24" max="24" width="6.5" style="4" hidden="1" customWidth="1"/>
    <col min="25" max="25" width="13.6640625" style="4" hidden="1" customWidth="1"/>
    <col min="26" max="16384" width="10.83203125" style="2"/>
  </cols>
  <sheetData>
    <row r="1" spans="2:30">
      <c r="C1" s="6"/>
      <c r="D1" s="6"/>
      <c r="E1" s="6"/>
      <c r="F1" s="6"/>
      <c r="G1" s="6"/>
      <c r="H1" s="6"/>
      <c r="I1" s="6"/>
      <c r="J1" s="6"/>
      <c r="K1" s="6"/>
      <c r="L1" s="6"/>
      <c r="M1" s="6"/>
      <c r="N1" s="6"/>
      <c r="O1" s="6"/>
      <c r="P1" s="6"/>
      <c r="Q1" s="6"/>
      <c r="R1" s="6"/>
      <c r="S1" s="6"/>
      <c r="T1" s="6"/>
      <c r="U1" s="6"/>
      <c r="V1" s="6"/>
      <c r="W1" s="6"/>
      <c r="X1" s="6"/>
      <c r="Y1" s="6"/>
    </row>
    <row r="2" spans="2:30">
      <c r="B2" s="5" t="s">
        <v>0</v>
      </c>
      <c r="C2" s="6"/>
      <c r="D2" s="6"/>
      <c r="E2" s="6"/>
      <c r="F2" s="6"/>
      <c r="G2" s="6"/>
      <c r="H2" s="6"/>
      <c r="I2" s="6"/>
      <c r="J2" s="6"/>
      <c r="K2" s="6"/>
      <c r="L2" s="6"/>
      <c r="M2" s="6"/>
      <c r="N2" s="6"/>
      <c r="O2" s="6"/>
      <c r="P2" s="6"/>
      <c r="Q2" s="6"/>
      <c r="R2" s="6"/>
      <c r="S2" s="6"/>
      <c r="T2" s="6"/>
      <c r="U2" s="6"/>
      <c r="V2" s="6"/>
      <c r="W2" s="6"/>
      <c r="X2" s="6"/>
      <c r="Y2" s="6"/>
    </row>
    <row r="3" spans="2:30">
      <c r="B3" s="5" t="s">
        <v>1</v>
      </c>
      <c r="C3" s="10" t="s">
        <v>2</v>
      </c>
      <c r="D3" s="6"/>
      <c r="E3" s="6"/>
      <c r="F3" s="6"/>
      <c r="G3" s="6"/>
      <c r="H3" s="6"/>
      <c r="I3" s="6"/>
      <c r="J3" s="6"/>
      <c r="K3" s="6"/>
      <c r="L3" s="6"/>
      <c r="M3" s="6"/>
      <c r="N3" s="6"/>
      <c r="O3" s="6"/>
      <c r="P3" s="6"/>
      <c r="Q3" s="6"/>
      <c r="R3" s="6"/>
      <c r="S3" s="6"/>
      <c r="T3" s="6"/>
      <c r="U3" s="6"/>
      <c r="V3" s="6"/>
      <c r="W3" s="6"/>
      <c r="X3" s="6"/>
      <c r="Y3" s="6"/>
    </row>
    <row r="4" spans="2:30">
      <c r="B4" s="5"/>
      <c r="C4" s="10"/>
      <c r="D4" s="6"/>
      <c r="E4" s="6"/>
      <c r="F4" s="6"/>
      <c r="G4" s="6"/>
      <c r="H4" s="6"/>
      <c r="I4" s="6"/>
      <c r="J4" s="6"/>
      <c r="K4" s="6"/>
      <c r="L4" s="6"/>
      <c r="M4" s="6"/>
      <c r="N4" s="6"/>
      <c r="O4" s="6"/>
      <c r="P4" s="6"/>
      <c r="Q4" s="6"/>
      <c r="R4" s="6"/>
      <c r="S4" s="6"/>
      <c r="T4" s="6"/>
      <c r="U4" s="6"/>
      <c r="V4" s="6"/>
      <c r="W4" s="6"/>
      <c r="X4" s="6"/>
      <c r="Y4" s="6"/>
    </row>
    <row r="5" spans="2:30">
      <c r="B5" s="11"/>
      <c r="C5" s="9" t="s">
        <v>3</v>
      </c>
      <c r="D5" s="6"/>
      <c r="E5" s="6"/>
      <c r="F5" s="6"/>
      <c r="G5" s="6"/>
      <c r="H5" s="6"/>
      <c r="I5" s="6"/>
      <c r="J5" s="6"/>
      <c r="K5" s="6"/>
      <c r="L5" s="6"/>
      <c r="M5" s="6"/>
      <c r="N5" s="6"/>
      <c r="O5" s="6"/>
      <c r="P5" s="6"/>
      <c r="Q5" s="6"/>
      <c r="R5" s="6"/>
      <c r="S5" s="6"/>
      <c r="T5" s="6"/>
      <c r="U5" s="6"/>
      <c r="V5" s="6"/>
      <c r="W5" s="6"/>
      <c r="X5" s="6"/>
      <c r="Y5" s="6"/>
    </row>
    <row r="6" spans="2:30">
      <c r="B6" s="118" t="s">
        <v>4</v>
      </c>
      <c r="C6" s="120" t="s">
        <v>5</v>
      </c>
      <c r="D6" s="120" t="s">
        <v>6</v>
      </c>
      <c r="E6" s="120" t="s">
        <v>7</v>
      </c>
      <c r="F6" s="120" t="s">
        <v>8</v>
      </c>
      <c r="G6" s="120" t="s">
        <v>9</v>
      </c>
      <c r="H6" s="128" t="str">
        <f>HYPERLINK("#BPCA!B5","BPCA types")</f>
        <v>BPCA types</v>
      </c>
      <c r="I6" s="128"/>
      <c r="J6" s="128"/>
      <c r="K6" s="128"/>
      <c r="L6" s="128"/>
      <c r="M6" s="128"/>
      <c r="N6" s="128"/>
      <c r="O6" s="128"/>
      <c r="P6" s="129"/>
      <c r="Q6" s="121" t="s">
        <v>10</v>
      </c>
      <c r="R6" s="121"/>
      <c r="S6" s="121"/>
      <c r="T6" s="121"/>
      <c r="U6" s="121"/>
      <c r="V6" s="121"/>
      <c r="W6" s="121"/>
      <c r="X6" s="121"/>
      <c r="Y6" s="121"/>
    </row>
    <row r="7" spans="2:30">
      <c r="B7" s="119"/>
      <c r="C7" s="121"/>
      <c r="D7" s="121"/>
      <c r="E7" s="121"/>
      <c r="F7" s="121"/>
      <c r="G7" s="121"/>
      <c r="H7" s="15" t="str">
        <f>BPCA!C3</f>
        <v>B2CA-1,2</v>
      </c>
      <c r="I7" s="15" t="str">
        <f>BPCA!E5</f>
        <v xml:space="preserve">B2CA-2 </v>
      </c>
      <c r="J7" s="15" t="str">
        <f>BPCA!D5</f>
        <v xml:space="preserve">B3CA-1 </v>
      </c>
      <c r="K7" s="15" t="str">
        <f>BPCA!G5</f>
        <v>B3CA-2</v>
      </c>
      <c r="L7" s="15" t="s">
        <v>11</v>
      </c>
      <c r="M7" s="15" t="str">
        <f>BPCA!K5</f>
        <v>B4CA-3</v>
      </c>
      <c r="N7" s="15" t="s">
        <v>12</v>
      </c>
      <c r="O7" s="15" t="s">
        <v>13</v>
      </c>
      <c r="P7" s="18" t="s">
        <v>14</v>
      </c>
      <c r="Q7" s="15" t="s">
        <v>15</v>
      </c>
      <c r="R7" s="15" t="s">
        <v>16</v>
      </c>
      <c r="S7" s="15" t="s">
        <v>17</v>
      </c>
      <c r="T7" s="15" t="s">
        <v>18</v>
      </c>
      <c r="U7" s="15" t="s">
        <v>11</v>
      </c>
      <c r="V7" s="15" t="s">
        <v>19</v>
      </c>
      <c r="W7" s="15" t="s">
        <v>12</v>
      </c>
      <c r="X7" s="15" t="s">
        <v>13</v>
      </c>
      <c r="Y7" s="15" t="s">
        <v>14</v>
      </c>
    </row>
    <row r="8" spans="2:30" ht="34" customHeight="1">
      <c r="B8" s="125" t="s">
        <v>20</v>
      </c>
      <c r="C8" s="122"/>
      <c r="D8" s="122">
        <v>14</v>
      </c>
      <c r="E8" s="122">
        <v>94.4</v>
      </c>
      <c r="F8" s="122">
        <v>24.2</v>
      </c>
      <c r="G8" s="17" t="s">
        <v>21</v>
      </c>
      <c r="H8" s="17">
        <v>100</v>
      </c>
      <c r="I8" s="17"/>
      <c r="J8" s="17"/>
      <c r="K8" s="17"/>
      <c r="L8" s="17"/>
      <c r="M8" s="17"/>
      <c r="N8" s="17"/>
      <c r="O8" s="17"/>
      <c r="P8" s="19"/>
      <c r="Q8" s="122">
        <f>ABS(H9-H8)/H9</f>
        <v>0.50000000000000022</v>
      </c>
      <c r="R8" s="122"/>
      <c r="S8" s="122"/>
      <c r="T8" s="122"/>
      <c r="U8" s="122"/>
      <c r="V8" s="122"/>
      <c r="W8" s="122"/>
      <c r="X8" s="122"/>
      <c r="Y8" s="122"/>
    </row>
    <row r="9" spans="2:30" ht="34" customHeight="1">
      <c r="B9" s="125"/>
      <c r="C9" s="122"/>
      <c r="D9" s="122"/>
      <c r="E9" s="122"/>
      <c r="F9" s="122"/>
      <c r="G9" s="17" t="s">
        <v>22</v>
      </c>
      <c r="H9" s="20">
        <f>2/3*100</f>
        <v>66.666666666666657</v>
      </c>
      <c r="I9" s="20"/>
      <c r="J9" s="20"/>
      <c r="K9" s="20"/>
      <c r="L9" s="20"/>
      <c r="M9" s="20"/>
      <c r="N9" s="20">
        <f>1/3*100</f>
        <v>33.333333333333329</v>
      </c>
      <c r="O9" s="17"/>
      <c r="P9" s="19"/>
      <c r="Q9" s="122"/>
      <c r="R9" s="122"/>
      <c r="S9" s="122"/>
      <c r="T9" s="122"/>
      <c r="U9" s="122"/>
      <c r="V9" s="122"/>
      <c r="W9" s="122"/>
      <c r="X9" s="122"/>
      <c r="Y9" s="122"/>
    </row>
    <row r="10" spans="2:30" ht="33" customHeight="1">
      <c r="B10" s="126" t="s">
        <v>23</v>
      </c>
      <c r="C10" s="122"/>
      <c r="D10" s="122">
        <v>14</v>
      </c>
      <c r="E10" s="122">
        <v>94.4</v>
      </c>
      <c r="F10" s="122">
        <v>23.7</v>
      </c>
      <c r="G10" s="17" t="s">
        <v>21</v>
      </c>
      <c r="H10" s="17">
        <v>72.099999999999994</v>
      </c>
      <c r="I10" s="17"/>
      <c r="J10" s="17"/>
      <c r="K10" s="17"/>
      <c r="L10" s="17"/>
      <c r="M10" s="17">
        <v>27.9</v>
      </c>
      <c r="N10" s="20"/>
      <c r="O10" s="17"/>
      <c r="P10" s="19"/>
      <c r="Q10" s="122">
        <f>ABS(H11-H10)/H11</f>
        <v>8.1500000000000072E-2</v>
      </c>
      <c r="R10" s="122"/>
      <c r="S10" s="122"/>
      <c r="T10" s="122"/>
      <c r="U10" s="122"/>
      <c r="V10" s="122">
        <f>ABS(M11-M10)/M11</f>
        <v>0.16299999999999992</v>
      </c>
      <c r="W10" s="122"/>
      <c r="X10" s="122"/>
      <c r="Y10" s="122"/>
    </row>
    <row r="11" spans="2:30" ht="33" customHeight="1">
      <c r="B11" s="126"/>
      <c r="C11" s="122"/>
      <c r="D11" s="122"/>
      <c r="E11" s="122"/>
      <c r="F11" s="122"/>
      <c r="G11" s="17" t="s">
        <v>22</v>
      </c>
      <c r="H11" s="20">
        <f>2/3*100</f>
        <v>66.666666666666657</v>
      </c>
      <c r="I11" s="17"/>
      <c r="J11" s="17"/>
      <c r="K11" s="17"/>
      <c r="L11" s="17"/>
      <c r="M11" s="20">
        <f>1/3*100</f>
        <v>33.333333333333329</v>
      </c>
      <c r="N11" s="17"/>
      <c r="O11" s="17"/>
      <c r="P11" s="19"/>
      <c r="Q11" s="122"/>
      <c r="R11" s="122"/>
      <c r="S11" s="122"/>
      <c r="T11" s="122"/>
      <c r="U11" s="122"/>
      <c r="V11" s="122"/>
      <c r="W11" s="122"/>
      <c r="X11" s="122"/>
      <c r="Y11" s="122"/>
    </row>
    <row r="12" spans="2:30" ht="39" customHeight="1">
      <c r="B12" s="126" t="s">
        <v>24</v>
      </c>
      <c r="C12" s="122"/>
      <c r="D12" s="122">
        <v>18</v>
      </c>
      <c r="E12" s="122">
        <v>92.3</v>
      </c>
      <c r="F12" s="122">
        <v>29.3</v>
      </c>
      <c r="G12" s="17" t="s">
        <v>21</v>
      </c>
      <c r="H12" s="17"/>
      <c r="I12" s="17">
        <v>1.3</v>
      </c>
      <c r="J12" s="17">
        <f>62.4/2</f>
        <v>31.2</v>
      </c>
      <c r="K12" s="17">
        <f>62.4/2</f>
        <v>31.2</v>
      </c>
      <c r="L12" s="17"/>
      <c r="M12" s="17">
        <v>35.4</v>
      </c>
      <c r="N12" s="17"/>
      <c r="O12" s="17"/>
      <c r="P12" s="19"/>
      <c r="Q12" s="122"/>
      <c r="R12" s="122"/>
      <c r="S12" s="122">
        <f>ABS(J13-J12)/J13</f>
        <v>6.399999999999989E-2</v>
      </c>
      <c r="T12" s="122">
        <f>ABS(K13-K12)/K13</f>
        <v>6.399999999999989E-2</v>
      </c>
      <c r="U12" s="122"/>
      <c r="V12" s="122">
        <f>ABS(M13-M12)/M13</f>
        <v>6.2000000000000111E-2</v>
      </c>
      <c r="W12" s="122"/>
      <c r="X12" s="122"/>
      <c r="Y12" s="122"/>
    </row>
    <row r="13" spans="2:30" ht="39" customHeight="1">
      <c r="B13" s="126"/>
      <c r="C13" s="122"/>
      <c r="D13" s="122"/>
      <c r="E13" s="122"/>
      <c r="F13" s="122"/>
      <c r="G13" s="17" t="s">
        <v>22</v>
      </c>
      <c r="H13" s="17"/>
      <c r="I13" s="20"/>
      <c r="J13" s="20">
        <f>1/3*100</f>
        <v>33.333333333333329</v>
      </c>
      <c r="K13" s="20">
        <f>1/3*100</f>
        <v>33.333333333333329</v>
      </c>
      <c r="L13" s="20"/>
      <c r="M13" s="20">
        <f>1/3*100</f>
        <v>33.333333333333329</v>
      </c>
      <c r="N13" s="17"/>
      <c r="O13" s="17"/>
      <c r="P13" s="19"/>
      <c r="Q13" s="122"/>
      <c r="R13" s="122"/>
      <c r="S13" s="122"/>
      <c r="T13" s="122"/>
      <c r="U13" s="122"/>
      <c r="V13" s="122"/>
      <c r="W13" s="122"/>
      <c r="X13" s="122"/>
      <c r="Y13" s="122"/>
    </row>
    <row r="14" spans="2:30" ht="32" customHeight="1">
      <c r="B14" s="126" t="s">
        <v>25</v>
      </c>
      <c r="C14" s="122"/>
      <c r="D14" s="122">
        <v>18</v>
      </c>
      <c r="E14" s="122">
        <v>94.7</v>
      </c>
      <c r="F14" s="122">
        <v>21.5</v>
      </c>
      <c r="G14" s="17" t="s">
        <v>21</v>
      </c>
      <c r="H14" s="17">
        <v>64.400000000000006</v>
      </c>
      <c r="I14" s="17"/>
      <c r="J14" s="17"/>
      <c r="K14" s="17"/>
      <c r="L14" s="17"/>
      <c r="M14" s="17">
        <v>35.6</v>
      </c>
      <c r="N14" s="17"/>
      <c r="O14" s="17"/>
      <c r="P14" s="19"/>
      <c r="Q14" s="122">
        <f>ABS(H15-H14)/H15</f>
        <v>0.28800000000000009</v>
      </c>
      <c r="R14" s="122"/>
      <c r="S14" s="122"/>
      <c r="T14" s="122"/>
      <c r="U14" s="122"/>
      <c r="V14" s="122">
        <f>ABS(M15-M14)/M15</f>
        <v>0.28799999999999998</v>
      </c>
      <c r="W14" s="122"/>
      <c r="X14" s="122"/>
      <c r="Y14" s="122"/>
    </row>
    <row r="15" spans="2:30" ht="32" customHeight="1">
      <c r="B15" s="126"/>
      <c r="C15" s="122"/>
      <c r="D15" s="122"/>
      <c r="E15" s="122"/>
      <c r="F15" s="122"/>
      <c r="G15" s="17" t="s">
        <v>22</v>
      </c>
      <c r="H15" s="17">
        <f>2/4*100</f>
        <v>50</v>
      </c>
      <c r="I15" s="17"/>
      <c r="J15" s="17"/>
      <c r="K15" s="17"/>
      <c r="L15" s="17"/>
      <c r="M15" s="17">
        <f>2/4*100</f>
        <v>50</v>
      </c>
      <c r="N15" s="17"/>
      <c r="O15" s="17"/>
      <c r="P15" s="19"/>
      <c r="Q15" s="122"/>
      <c r="R15" s="122"/>
      <c r="S15" s="122"/>
      <c r="T15" s="122"/>
      <c r="U15" s="122"/>
      <c r="V15" s="122"/>
      <c r="W15" s="122"/>
      <c r="X15" s="122"/>
      <c r="Y15" s="122"/>
    </row>
    <row r="16" spans="2:30" ht="36" customHeight="1">
      <c r="B16" s="125" t="s">
        <v>26</v>
      </c>
      <c r="C16" s="122"/>
      <c r="D16" s="122">
        <v>16</v>
      </c>
      <c r="E16" s="122">
        <v>95</v>
      </c>
      <c r="F16" s="122">
        <v>37</v>
      </c>
      <c r="G16" s="17" t="s">
        <v>21</v>
      </c>
      <c r="H16" s="17"/>
      <c r="I16" s="17"/>
      <c r="J16" s="17"/>
      <c r="K16" s="17">
        <v>18.8</v>
      </c>
      <c r="L16" s="17"/>
      <c r="M16" s="17">
        <v>79.3</v>
      </c>
      <c r="N16" s="17"/>
      <c r="O16" s="17"/>
      <c r="P16" s="19"/>
      <c r="Q16" s="122"/>
      <c r="R16" s="122"/>
      <c r="S16" s="122"/>
      <c r="T16" s="122">
        <f>ABS(K17-K16)/K17</f>
        <v>0.624</v>
      </c>
      <c r="U16" s="122"/>
      <c r="V16" s="122">
        <f>ABS(M17-M16)/M17</f>
        <v>0.58599999999999997</v>
      </c>
      <c r="W16" s="122"/>
      <c r="X16" s="122"/>
      <c r="Y16" s="122"/>
      <c r="AD16" s="1"/>
    </row>
    <row r="17" spans="2:25" ht="36" customHeight="1">
      <c r="B17" s="125"/>
      <c r="C17" s="122"/>
      <c r="D17" s="122"/>
      <c r="E17" s="122"/>
      <c r="F17" s="122"/>
      <c r="G17" s="17" t="s">
        <v>22</v>
      </c>
      <c r="H17" s="17"/>
      <c r="I17" s="17"/>
      <c r="J17" s="17"/>
      <c r="K17" s="17">
        <f>2/4*100</f>
        <v>50</v>
      </c>
      <c r="L17" s="17"/>
      <c r="M17" s="17">
        <f>2/4*100</f>
        <v>50</v>
      </c>
      <c r="N17" s="17"/>
      <c r="O17" s="17"/>
      <c r="P17" s="19"/>
      <c r="Q17" s="122"/>
      <c r="R17" s="122"/>
      <c r="S17" s="122"/>
      <c r="T17" s="122"/>
      <c r="U17" s="122"/>
      <c r="V17" s="122"/>
      <c r="W17" s="122"/>
      <c r="X17" s="122"/>
      <c r="Y17" s="122"/>
    </row>
    <row r="18" spans="2:25" ht="35" customHeight="1">
      <c r="B18" s="125" t="s">
        <v>27</v>
      </c>
      <c r="C18" s="122"/>
      <c r="D18" s="122">
        <v>16</v>
      </c>
      <c r="E18" s="122">
        <v>77.400000000000006</v>
      </c>
      <c r="F18" s="122">
        <v>36.1</v>
      </c>
      <c r="G18" s="17" t="s">
        <v>21</v>
      </c>
      <c r="H18" s="17">
        <v>4</v>
      </c>
      <c r="I18" s="17"/>
      <c r="J18" s="17"/>
      <c r="K18" s="17">
        <v>17.899999999999999</v>
      </c>
      <c r="L18" s="17"/>
      <c r="M18" s="17">
        <v>78.099999999999994</v>
      </c>
      <c r="N18" s="17"/>
      <c r="O18" s="17"/>
      <c r="P18" s="19"/>
      <c r="Q18" s="122"/>
      <c r="R18" s="122"/>
      <c r="S18" s="122"/>
      <c r="T18" s="122">
        <f>ABS(K19-K18)/K19</f>
        <v>0.64200000000000002</v>
      </c>
      <c r="U18" s="122"/>
      <c r="V18" s="122">
        <f>ABS(M19-M18)/M19</f>
        <v>0.56199999999999983</v>
      </c>
      <c r="W18" s="122"/>
      <c r="X18" s="122"/>
      <c r="Y18" s="122"/>
    </row>
    <row r="19" spans="2:25" ht="35" customHeight="1">
      <c r="B19" s="125"/>
      <c r="C19" s="122"/>
      <c r="D19" s="122"/>
      <c r="E19" s="122"/>
      <c r="F19" s="122"/>
      <c r="G19" s="17" t="s">
        <v>22</v>
      </c>
      <c r="H19" s="17"/>
      <c r="I19" s="17"/>
      <c r="J19" s="17"/>
      <c r="K19" s="17">
        <f>2/4*100</f>
        <v>50</v>
      </c>
      <c r="L19" s="17"/>
      <c r="M19" s="17">
        <f>2/4*100</f>
        <v>50</v>
      </c>
      <c r="N19" s="17"/>
      <c r="O19" s="17"/>
      <c r="P19" s="19"/>
      <c r="Q19" s="122"/>
      <c r="R19" s="122"/>
      <c r="S19" s="122"/>
      <c r="T19" s="122"/>
      <c r="U19" s="122"/>
      <c r="V19" s="122"/>
      <c r="W19" s="122"/>
      <c r="X19" s="122"/>
      <c r="Y19" s="122"/>
    </row>
    <row r="20" spans="2:25" ht="42" customHeight="1">
      <c r="B20" s="126" t="s">
        <v>28</v>
      </c>
      <c r="C20" s="122"/>
      <c r="D20" s="122">
        <v>20</v>
      </c>
      <c r="E20" s="122">
        <v>95.2</v>
      </c>
      <c r="F20" s="122">
        <v>22.5</v>
      </c>
      <c r="G20" s="17" t="s">
        <v>21</v>
      </c>
      <c r="H20" s="17"/>
      <c r="I20" s="17"/>
      <c r="J20" s="17"/>
      <c r="K20" s="17">
        <v>80.3</v>
      </c>
      <c r="L20" s="17"/>
      <c r="M20" s="17"/>
      <c r="N20" s="17"/>
      <c r="O20" s="17"/>
      <c r="P20" s="19">
        <v>19.7</v>
      </c>
      <c r="Q20" s="122"/>
      <c r="R20" s="122"/>
      <c r="S20" s="122"/>
      <c r="T20" s="122">
        <f>ABS(K21-K20)/K21</f>
        <v>3.7499999999999643E-3</v>
      </c>
      <c r="U20" s="122"/>
      <c r="V20" s="122"/>
      <c r="W20" s="122"/>
      <c r="X20" s="122"/>
      <c r="Y20" s="122">
        <f>ABS(P21-P20)/P21</f>
        <v>1.5000000000000036E-2</v>
      </c>
    </row>
    <row r="21" spans="2:25" ht="42" customHeight="1">
      <c r="B21" s="126"/>
      <c r="C21" s="122"/>
      <c r="D21" s="122"/>
      <c r="E21" s="122"/>
      <c r="F21" s="122"/>
      <c r="G21" s="17" t="s">
        <v>22</v>
      </c>
      <c r="H21" s="17"/>
      <c r="I21" s="17"/>
      <c r="J21" s="17"/>
      <c r="K21" s="17">
        <f>4/5*100</f>
        <v>80</v>
      </c>
      <c r="L21" s="17"/>
      <c r="M21" s="17"/>
      <c r="N21" s="17"/>
      <c r="O21" s="17"/>
      <c r="P21" s="19">
        <f>1/5*100</f>
        <v>20</v>
      </c>
      <c r="Q21" s="122"/>
      <c r="R21" s="122"/>
      <c r="S21" s="122"/>
      <c r="T21" s="122"/>
      <c r="U21" s="122"/>
      <c r="V21" s="122"/>
      <c r="W21" s="122"/>
      <c r="X21" s="122"/>
      <c r="Y21" s="122"/>
    </row>
    <row r="22" spans="2:25" ht="47" customHeight="1">
      <c r="B22" s="125" t="s">
        <v>29</v>
      </c>
      <c r="C22" s="122"/>
      <c r="D22" s="122">
        <v>22</v>
      </c>
      <c r="E22" s="122">
        <v>95.5</v>
      </c>
      <c r="F22" s="122">
        <v>22.5</v>
      </c>
      <c r="G22" s="17" t="s">
        <v>21</v>
      </c>
      <c r="H22" s="17"/>
      <c r="I22" s="17"/>
      <c r="J22" s="17"/>
      <c r="K22" s="17">
        <v>6.9</v>
      </c>
      <c r="L22" s="17"/>
      <c r="M22" s="17">
        <v>53.1</v>
      </c>
      <c r="N22" s="17"/>
      <c r="O22" s="17"/>
      <c r="P22" s="19">
        <v>40</v>
      </c>
      <c r="Q22" s="122"/>
      <c r="R22" s="122"/>
      <c r="S22" s="122"/>
      <c r="T22" s="122">
        <f>ABS(K23-K22)/K23</f>
        <v>0.79300000000000004</v>
      </c>
      <c r="U22" s="122"/>
      <c r="V22" s="122">
        <f>ABS(M23-M22)/M23</f>
        <v>6.2000000000000027E-2</v>
      </c>
      <c r="W22" s="122"/>
      <c r="X22" s="122"/>
      <c r="Y22" s="122">
        <f>ABS(P23-P22)/P23</f>
        <v>1.4000000000000004</v>
      </c>
    </row>
    <row r="23" spans="2:25" ht="47" customHeight="1">
      <c r="B23" s="125"/>
      <c r="C23" s="122"/>
      <c r="D23" s="122"/>
      <c r="E23" s="122"/>
      <c r="F23" s="122"/>
      <c r="G23" s="17" t="s">
        <v>22</v>
      </c>
      <c r="H23" s="17"/>
      <c r="I23" s="17"/>
      <c r="J23" s="17"/>
      <c r="K23" s="20">
        <f>2/6*100</f>
        <v>33.333333333333329</v>
      </c>
      <c r="L23" s="17"/>
      <c r="M23" s="17">
        <f>3/6*100</f>
        <v>50</v>
      </c>
      <c r="N23" s="17"/>
      <c r="O23" s="17"/>
      <c r="P23" s="21">
        <f>1/6*100</f>
        <v>16.666666666666664</v>
      </c>
      <c r="Q23" s="122"/>
      <c r="R23" s="122"/>
      <c r="S23" s="122"/>
      <c r="T23" s="122"/>
      <c r="U23" s="122"/>
      <c r="V23" s="122"/>
      <c r="W23" s="122"/>
      <c r="X23" s="122"/>
      <c r="Y23" s="122"/>
    </row>
    <row r="24" spans="2:25" ht="53" customHeight="1">
      <c r="B24" s="125" t="s">
        <v>30</v>
      </c>
      <c r="C24" s="122"/>
      <c r="D24" s="122">
        <v>24</v>
      </c>
      <c r="E24" s="122">
        <v>96</v>
      </c>
      <c r="F24" s="122">
        <v>19.5</v>
      </c>
      <c r="G24" s="17" t="s">
        <v>21</v>
      </c>
      <c r="H24" s="17"/>
      <c r="I24" s="17"/>
      <c r="J24" s="17"/>
      <c r="K24" s="17"/>
      <c r="L24" s="17"/>
      <c r="M24" s="17">
        <v>67.400000000000006</v>
      </c>
      <c r="N24" s="17"/>
      <c r="O24" s="17"/>
      <c r="P24" s="19">
        <v>32.6</v>
      </c>
      <c r="Q24" s="122"/>
      <c r="R24" s="122"/>
      <c r="S24" s="122"/>
      <c r="T24" s="122"/>
      <c r="U24" s="122"/>
      <c r="V24" s="123">
        <f>ABS(M25-M24)/M25</f>
        <v>0.21366666666666653</v>
      </c>
      <c r="W24" s="122"/>
      <c r="X24" s="122"/>
      <c r="Y24" s="122">
        <f>ABS(P25-P24)/P25</f>
        <v>1.2820000000000003</v>
      </c>
    </row>
    <row r="25" spans="2:25" ht="53" customHeight="1">
      <c r="B25" s="125"/>
      <c r="C25" s="122"/>
      <c r="D25" s="122"/>
      <c r="E25" s="122"/>
      <c r="F25" s="122"/>
      <c r="G25" s="17" t="s">
        <v>22</v>
      </c>
      <c r="H25" s="17"/>
      <c r="I25" s="17"/>
      <c r="J25" s="17"/>
      <c r="K25" s="17"/>
      <c r="L25" s="17"/>
      <c r="M25" s="22">
        <f>6/7*100</f>
        <v>85.714285714285708</v>
      </c>
      <c r="N25" s="22"/>
      <c r="O25" s="22"/>
      <c r="P25" s="23">
        <f>1/7*100</f>
        <v>14.285714285714285</v>
      </c>
      <c r="Q25" s="122"/>
      <c r="R25" s="122"/>
      <c r="S25" s="122"/>
      <c r="T25" s="122"/>
      <c r="U25" s="122"/>
      <c r="V25" s="123"/>
      <c r="W25" s="122"/>
      <c r="X25" s="122"/>
      <c r="Y25" s="122"/>
    </row>
    <row r="26" spans="2:25">
      <c r="B26" s="24"/>
      <c r="C26" s="25"/>
      <c r="D26" s="25"/>
      <c r="E26" s="25" t="s">
        <v>31</v>
      </c>
      <c r="F26" s="25">
        <v>25.7</v>
      </c>
      <c r="G26" s="25"/>
      <c r="H26" s="25"/>
      <c r="I26" s="25"/>
      <c r="J26" s="25"/>
      <c r="K26" s="25"/>
      <c r="L26" s="25"/>
      <c r="M26" s="25"/>
      <c r="N26" s="25"/>
      <c r="O26" s="25"/>
      <c r="P26" s="26"/>
      <c r="Q26" s="7" t="s">
        <v>15</v>
      </c>
      <c r="R26" s="7" t="s">
        <v>16</v>
      </c>
      <c r="S26" s="7" t="s">
        <v>17</v>
      </c>
      <c r="T26" s="8">
        <f>AVERAGE(T16:T19:T22)</f>
        <v>0.51568749999999997</v>
      </c>
      <c r="U26" s="8"/>
      <c r="V26" s="8">
        <f>AVERAGE(V14:V21,V24)</f>
        <v>0.41241666666666654</v>
      </c>
      <c r="W26" s="8"/>
      <c r="X26" s="8"/>
      <c r="Y26" s="8">
        <f>AVERAGE(Y22:Y25)</f>
        <v>1.3410000000000002</v>
      </c>
    </row>
    <row r="27" spans="2:25">
      <c r="Q27" s="4">
        <f>AVERAGE(Q14,Q8)</f>
        <v>0.39400000000000013</v>
      </c>
    </row>
    <row r="30" spans="2:25">
      <c r="B30" s="124" t="s">
        <v>32</v>
      </c>
      <c r="C30" s="124"/>
      <c r="D30" s="124"/>
      <c r="E30" s="124"/>
      <c r="F30" s="124"/>
      <c r="G30" s="124"/>
      <c r="H30" s="124"/>
      <c r="I30" s="124"/>
      <c r="J30" s="124"/>
      <c r="K30" s="124"/>
    </row>
    <row r="31" spans="2:25" ht="16" customHeight="1">
      <c r="B31" s="117" t="s">
        <v>33</v>
      </c>
      <c r="C31" s="117"/>
      <c r="D31" s="117"/>
      <c r="E31" s="117"/>
      <c r="F31" s="117"/>
      <c r="G31" s="117"/>
      <c r="H31" s="117"/>
      <c r="I31" s="117"/>
      <c r="J31" s="117"/>
      <c r="K31" s="117"/>
      <c r="L31" s="117"/>
      <c r="M31" s="117"/>
    </row>
    <row r="32" spans="2:25">
      <c r="B32" s="117"/>
      <c r="C32" s="117"/>
      <c r="D32" s="117"/>
      <c r="E32" s="117"/>
      <c r="F32" s="117"/>
      <c r="G32" s="117"/>
      <c r="H32" s="117"/>
      <c r="I32" s="117"/>
      <c r="J32" s="117"/>
      <c r="K32" s="117"/>
      <c r="L32" s="117"/>
      <c r="M32" s="117"/>
    </row>
    <row r="33" spans="2:13">
      <c r="B33" s="117"/>
      <c r="C33" s="117"/>
      <c r="D33" s="117"/>
      <c r="E33" s="117"/>
      <c r="F33" s="117"/>
      <c r="G33" s="117"/>
      <c r="H33" s="117"/>
      <c r="I33" s="117"/>
      <c r="J33" s="117"/>
      <c r="K33" s="117"/>
      <c r="L33" s="117"/>
      <c r="M33" s="117"/>
    </row>
    <row r="34" spans="2:13">
      <c r="B34" s="2"/>
      <c r="C34" s="2"/>
      <c r="D34" s="2"/>
      <c r="E34" s="2"/>
      <c r="F34" s="2"/>
      <c r="G34" s="2"/>
    </row>
    <row r="35" spans="2:13">
      <c r="B35" s="130" t="s">
        <v>34</v>
      </c>
      <c r="C35" s="130"/>
      <c r="D35" s="130"/>
      <c r="E35" s="130"/>
      <c r="F35" s="130"/>
      <c r="G35" s="130"/>
      <c r="H35" s="130"/>
      <c r="I35" s="130"/>
      <c r="J35" s="130"/>
      <c r="K35" s="130"/>
    </row>
    <row r="36" spans="2:13" ht="16" customHeight="1">
      <c r="B36" s="116" t="s">
        <v>35</v>
      </c>
      <c r="C36" s="116"/>
      <c r="D36" s="116"/>
      <c r="E36" s="116"/>
      <c r="F36" s="116"/>
      <c r="G36" s="116"/>
      <c r="H36" s="116"/>
      <c r="I36" s="116"/>
      <c r="J36" s="116"/>
      <c r="K36" s="116"/>
      <c r="L36" s="116"/>
      <c r="M36" s="116"/>
    </row>
    <row r="37" spans="2:13">
      <c r="B37" s="116"/>
      <c r="C37" s="116"/>
      <c r="D37" s="116"/>
      <c r="E37" s="116"/>
      <c r="F37" s="116"/>
      <c r="G37" s="116"/>
      <c r="H37" s="116"/>
      <c r="I37" s="116"/>
      <c r="J37" s="116"/>
      <c r="K37" s="116"/>
      <c r="L37" s="116"/>
      <c r="M37" s="116"/>
    </row>
    <row r="38" spans="2:13">
      <c r="B38" s="131" t="s">
        <v>36</v>
      </c>
      <c r="C38" s="131"/>
      <c r="D38" s="131"/>
      <c r="E38" s="131"/>
      <c r="F38" s="131"/>
      <c r="G38" s="131"/>
      <c r="H38" s="131"/>
      <c r="I38" s="131"/>
      <c r="J38" s="131"/>
      <c r="K38" s="131"/>
    </row>
    <row r="39" spans="2:13" ht="35" customHeight="1">
      <c r="B39" s="127" t="s">
        <v>37</v>
      </c>
      <c r="C39" s="127"/>
      <c r="D39" s="127"/>
      <c r="E39" s="127"/>
      <c r="F39" s="127"/>
      <c r="G39" s="127"/>
      <c r="H39" s="127"/>
      <c r="I39" s="127"/>
      <c r="J39" s="127"/>
      <c r="K39" s="127"/>
      <c r="L39" s="127"/>
      <c r="M39" s="127"/>
    </row>
    <row r="40" spans="2:13">
      <c r="B40" s="4" t="s">
        <v>38</v>
      </c>
    </row>
    <row r="41" spans="2:13">
      <c r="B41" s="127" t="s">
        <v>39</v>
      </c>
      <c r="C41" s="127"/>
      <c r="D41" s="127"/>
      <c r="E41" s="127"/>
      <c r="F41" s="127"/>
      <c r="G41" s="127"/>
      <c r="H41" s="127"/>
      <c r="I41" s="127"/>
      <c r="J41" s="127"/>
      <c r="K41" s="127"/>
      <c r="L41" s="127"/>
      <c r="M41" s="127"/>
    </row>
    <row r="42" spans="2:13">
      <c r="B42" s="127"/>
      <c r="C42" s="127"/>
      <c r="D42" s="127"/>
      <c r="E42" s="127"/>
      <c r="F42" s="127"/>
      <c r="G42" s="127"/>
      <c r="H42" s="127"/>
      <c r="I42" s="127"/>
      <c r="J42" s="127"/>
      <c r="K42" s="127"/>
      <c r="L42" s="127"/>
      <c r="M42" s="127"/>
    </row>
    <row r="43" spans="2:13">
      <c r="B43" s="127"/>
      <c r="C43" s="127"/>
      <c r="D43" s="127"/>
      <c r="E43" s="127"/>
      <c r="F43" s="127"/>
      <c r="G43" s="127"/>
      <c r="H43" s="127"/>
      <c r="I43" s="127"/>
      <c r="J43" s="127"/>
      <c r="K43" s="127"/>
      <c r="L43" s="127"/>
      <c r="M43" s="127"/>
    </row>
  </sheetData>
  <mergeCells count="141">
    <mergeCell ref="B39:M39"/>
    <mergeCell ref="B41:M43"/>
    <mergeCell ref="H6:P6"/>
    <mergeCell ref="B8:B9"/>
    <mergeCell ref="D8:D9"/>
    <mergeCell ref="E8:E9"/>
    <mergeCell ref="C8:C9"/>
    <mergeCell ref="F8:F9"/>
    <mergeCell ref="B35:K35"/>
    <mergeCell ref="B38:K38"/>
    <mergeCell ref="B12:B13"/>
    <mergeCell ref="C12:C13"/>
    <mergeCell ref="F12:F13"/>
    <mergeCell ref="E12:E13"/>
    <mergeCell ref="D12:D13"/>
    <mergeCell ref="B10:B11"/>
    <mergeCell ref="C10:C11"/>
    <mergeCell ref="D10:D11"/>
    <mergeCell ref="E10:E11"/>
    <mergeCell ref="F10:F11"/>
    <mergeCell ref="B16:B17"/>
    <mergeCell ref="F16:F17"/>
    <mergeCell ref="E16:E17"/>
    <mergeCell ref="C16:C17"/>
    <mergeCell ref="B14:B15"/>
    <mergeCell ref="F14:F15"/>
    <mergeCell ref="E14:E15"/>
    <mergeCell ref="D14:D15"/>
    <mergeCell ref="C14:C15"/>
    <mergeCell ref="E22:E23"/>
    <mergeCell ref="D22:D23"/>
    <mergeCell ref="F20:F21"/>
    <mergeCell ref="E20:E21"/>
    <mergeCell ref="D20:D21"/>
    <mergeCell ref="C20:C21"/>
    <mergeCell ref="B20:B21"/>
    <mergeCell ref="B18:B19"/>
    <mergeCell ref="F18:F19"/>
    <mergeCell ref="E18:E19"/>
    <mergeCell ref="D18:D19"/>
    <mergeCell ref="C18:C19"/>
    <mergeCell ref="B30:K30"/>
    <mergeCell ref="Q10:Q11"/>
    <mergeCell ref="Y8:Y9"/>
    <mergeCell ref="X8:X9"/>
    <mergeCell ref="W8:W9"/>
    <mergeCell ref="V8:V9"/>
    <mergeCell ref="U8:U9"/>
    <mergeCell ref="T8:T9"/>
    <mergeCell ref="S8:S9"/>
    <mergeCell ref="R8:R9"/>
    <mergeCell ref="Q8:Q9"/>
    <mergeCell ref="R10:R11"/>
    <mergeCell ref="S10:S11"/>
    <mergeCell ref="T10:T11"/>
    <mergeCell ref="U10:U11"/>
    <mergeCell ref="C22:C23"/>
    <mergeCell ref="C24:C25"/>
    <mergeCell ref="B24:B25"/>
    <mergeCell ref="B22:B23"/>
    <mergeCell ref="F24:F25"/>
    <mergeCell ref="E24:E25"/>
    <mergeCell ref="D24:D25"/>
    <mergeCell ref="F22:F23"/>
    <mergeCell ref="D16:D17"/>
    <mergeCell ref="V10:V11"/>
    <mergeCell ref="W10:W11"/>
    <mergeCell ref="X10:X11"/>
    <mergeCell ref="Y10:Y11"/>
    <mergeCell ref="Q12:Q13"/>
    <mergeCell ref="R12:R13"/>
    <mergeCell ref="S12:S13"/>
    <mergeCell ref="T12:T13"/>
    <mergeCell ref="U12:U13"/>
    <mergeCell ref="V12:V13"/>
    <mergeCell ref="W12:W13"/>
    <mergeCell ref="X12:X13"/>
    <mergeCell ref="Y12:Y13"/>
    <mergeCell ref="V14:V15"/>
    <mergeCell ref="W14:W15"/>
    <mergeCell ref="X14:X15"/>
    <mergeCell ref="Y14:Y15"/>
    <mergeCell ref="Q16:Q17"/>
    <mergeCell ref="R16:R17"/>
    <mergeCell ref="S16:S17"/>
    <mergeCell ref="T16:T17"/>
    <mergeCell ref="U16:U17"/>
    <mergeCell ref="V16:V17"/>
    <mergeCell ref="W16:W17"/>
    <mergeCell ref="X16:X17"/>
    <mergeCell ref="Y16:Y17"/>
    <mergeCell ref="Q14:Q15"/>
    <mergeCell ref="R14:R15"/>
    <mergeCell ref="S14:S15"/>
    <mergeCell ref="T14:T15"/>
    <mergeCell ref="U14:U15"/>
    <mergeCell ref="S22:S23"/>
    <mergeCell ref="T22:T23"/>
    <mergeCell ref="U22:U23"/>
    <mergeCell ref="V18:V19"/>
    <mergeCell ref="W18:W19"/>
    <mergeCell ref="X18:X19"/>
    <mergeCell ref="Y18:Y19"/>
    <mergeCell ref="Q20:Q21"/>
    <mergeCell ref="R20:R21"/>
    <mergeCell ref="S20:S21"/>
    <mergeCell ref="T20:T21"/>
    <mergeCell ref="U20:U21"/>
    <mergeCell ref="V20:V21"/>
    <mergeCell ref="W20:W21"/>
    <mergeCell ref="X20:X21"/>
    <mergeCell ref="Y20:Y21"/>
    <mergeCell ref="Q18:Q19"/>
    <mergeCell ref="R18:R19"/>
    <mergeCell ref="S18:S19"/>
    <mergeCell ref="T18:T19"/>
    <mergeCell ref="U18:U19"/>
    <mergeCell ref="B36:M37"/>
    <mergeCell ref="B31:M33"/>
    <mergeCell ref="B6:B7"/>
    <mergeCell ref="C6:C7"/>
    <mergeCell ref="D6:D7"/>
    <mergeCell ref="E6:E7"/>
    <mergeCell ref="F6:F7"/>
    <mergeCell ref="G6:G7"/>
    <mergeCell ref="Q6:Y6"/>
    <mergeCell ref="V22:V23"/>
    <mergeCell ref="W22:W23"/>
    <mergeCell ref="X22:X23"/>
    <mergeCell ref="Y22:Y23"/>
    <mergeCell ref="Q24:Q25"/>
    <mergeCell ref="R24:R25"/>
    <mergeCell ref="S24:S25"/>
    <mergeCell ref="T24:T25"/>
    <mergeCell ref="U24:U25"/>
    <mergeCell ref="V24:V25"/>
    <mergeCell ref="W24:W25"/>
    <mergeCell ref="X24:X25"/>
    <mergeCell ref="Y24:Y25"/>
    <mergeCell ref="Q22:Q23"/>
    <mergeCell ref="R22:R23"/>
  </mergeCells>
  <hyperlinks>
    <hyperlink ref="C3" r:id="rId1" xr:uid="{63B72AE5-4AD0-934A-BE7B-D1600FAA98EA}"/>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9AF32-1A3A-FC44-8325-A7E33B775C26}">
  <sheetPr codeName="Sheet2"/>
  <dimension ref="B2:M12"/>
  <sheetViews>
    <sheetView tabSelected="1" zoomScaleNormal="100" workbookViewId="0">
      <selection activeCell="B2" sqref="B2"/>
    </sheetView>
  </sheetViews>
  <sheetFormatPr baseColWidth="10" defaultColWidth="10.83203125" defaultRowHeight="16"/>
  <cols>
    <col min="1" max="1" width="10.83203125" style="2"/>
    <col min="2" max="2" width="28.83203125" style="12" bestFit="1" customWidth="1"/>
    <col min="3" max="3" width="25.6640625" style="2" customWidth="1"/>
    <col min="4" max="4" width="19.5" style="2" customWidth="1"/>
    <col min="5" max="5" width="21.5" style="2" customWidth="1"/>
    <col min="6" max="6" width="33.83203125" style="2" customWidth="1"/>
    <col min="7" max="7" width="29.6640625" style="2" customWidth="1"/>
    <col min="8" max="8" width="28.33203125" style="2" customWidth="1"/>
    <col min="9" max="9" width="24.1640625" style="2" customWidth="1"/>
    <col min="10" max="12" width="31.83203125" style="2" customWidth="1"/>
    <col min="13" max="13" width="33" style="2" customWidth="1"/>
    <col min="14" max="16384" width="10.83203125" style="2"/>
  </cols>
  <sheetData>
    <row r="2" spans="2:13">
      <c r="B2" s="27" t="s">
        <v>40</v>
      </c>
      <c r="C2" s="28" t="s">
        <v>41</v>
      </c>
      <c r="D2" s="139" t="s">
        <v>42</v>
      </c>
      <c r="E2" s="139"/>
      <c r="F2" s="29" t="s">
        <v>43</v>
      </c>
      <c r="G2" s="29" t="s">
        <v>44</v>
      </c>
      <c r="H2" s="141" t="s">
        <v>45</v>
      </c>
      <c r="I2" s="141"/>
      <c r="J2" s="29" t="s">
        <v>46</v>
      </c>
      <c r="K2" s="29" t="s">
        <v>47</v>
      </c>
      <c r="L2" s="29" t="s">
        <v>48</v>
      </c>
      <c r="M2" s="30" t="s">
        <v>49</v>
      </c>
    </row>
    <row r="3" spans="2:13">
      <c r="B3" s="31" t="s">
        <v>50</v>
      </c>
      <c r="C3" s="32" t="s">
        <v>15</v>
      </c>
      <c r="D3" s="140" t="s">
        <v>51</v>
      </c>
      <c r="E3" s="140"/>
      <c r="F3" s="1" t="s">
        <v>52</v>
      </c>
      <c r="G3" s="1" t="s">
        <v>53</v>
      </c>
      <c r="H3" s="142" t="s">
        <v>54</v>
      </c>
      <c r="I3" s="142"/>
      <c r="J3" s="1" t="s">
        <v>55</v>
      </c>
      <c r="K3" s="1" t="s">
        <v>56</v>
      </c>
      <c r="L3" s="1" t="s">
        <v>13</v>
      </c>
      <c r="M3" s="33" t="s">
        <v>14</v>
      </c>
    </row>
    <row r="4" spans="2:13" ht="172" customHeight="1">
      <c r="B4" s="31" t="s">
        <v>5</v>
      </c>
      <c r="C4" s="32"/>
      <c r="D4" s="140"/>
      <c r="E4" s="140"/>
      <c r="F4" s="1"/>
      <c r="G4" s="1"/>
      <c r="H4" s="142"/>
      <c r="I4" s="142"/>
      <c r="J4" s="1"/>
      <c r="K4" s="1"/>
      <c r="L4" s="1"/>
      <c r="M4" s="33"/>
    </row>
    <row r="5" spans="2:13">
      <c r="B5" s="31" t="s">
        <v>57</v>
      </c>
      <c r="C5" s="32" t="s">
        <v>58</v>
      </c>
      <c r="D5" s="34" t="s">
        <v>17</v>
      </c>
      <c r="E5" s="34" t="s">
        <v>16</v>
      </c>
      <c r="F5" s="1" t="s">
        <v>59</v>
      </c>
      <c r="G5" s="1" t="s">
        <v>18</v>
      </c>
      <c r="H5" s="1" t="s">
        <v>11</v>
      </c>
      <c r="I5" s="1" t="s">
        <v>60</v>
      </c>
      <c r="J5" s="1" t="s">
        <v>12</v>
      </c>
      <c r="K5" s="1" t="s">
        <v>19</v>
      </c>
      <c r="L5" s="1" t="s">
        <v>13</v>
      </c>
      <c r="M5" s="33" t="s">
        <v>14</v>
      </c>
    </row>
    <row r="6" spans="2:13" s="3" customFormat="1" ht="85">
      <c r="B6" s="35" t="s">
        <v>61</v>
      </c>
      <c r="C6" s="36" t="s">
        <v>62</v>
      </c>
      <c r="D6" s="37" t="s">
        <v>173</v>
      </c>
      <c r="E6" s="37" t="s">
        <v>63</v>
      </c>
      <c r="F6" s="38" t="s">
        <v>64</v>
      </c>
      <c r="G6" s="38" t="s">
        <v>65</v>
      </c>
      <c r="H6" s="38" t="s">
        <v>66</v>
      </c>
      <c r="I6" s="38" t="s">
        <v>67</v>
      </c>
      <c r="J6" s="38" t="s">
        <v>68</v>
      </c>
      <c r="K6" s="38" t="s">
        <v>69</v>
      </c>
      <c r="L6" s="38" t="s">
        <v>69</v>
      </c>
      <c r="M6" s="39" t="s">
        <v>69</v>
      </c>
    </row>
    <row r="7" spans="2:13">
      <c r="B7" s="40" t="s">
        <v>70</v>
      </c>
      <c r="C7" s="1" t="s">
        <v>71</v>
      </c>
      <c r="D7" s="41" t="s">
        <v>72</v>
      </c>
      <c r="E7" s="41" t="s">
        <v>72</v>
      </c>
      <c r="F7" s="1" t="s">
        <v>73</v>
      </c>
      <c r="G7" s="41" t="s">
        <v>72</v>
      </c>
      <c r="H7" s="41" t="s">
        <v>72</v>
      </c>
      <c r="I7" s="41" t="s">
        <v>72</v>
      </c>
      <c r="J7" s="41" t="s">
        <v>72</v>
      </c>
      <c r="K7" s="41" t="s">
        <v>72</v>
      </c>
      <c r="L7" s="41" t="s">
        <v>72</v>
      </c>
      <c r="M7" s="42" t="s">
        <v>72</v>
      </c>
    </row>
    <row r="8" spans="2:13" s="4" customFormat="1" ht="16" customHeight="1">
      <c r="B8" s="134" t="s">
        <v>74</v>
      </c>
      <c r="C8" s="136" t="s">
        <v>75</v>
      </c>
      <c r="D8" s="136"/>
      <c r="E8" s="136"/>
      <c r="F8" s="136" t="s">
        <v>76</v>
      </c>
      <c r="G8" s="122" t="s">
        <v>77</v>
      </c>
      <c r="H8" s="136" t="s">
        <v>78</v>
      </c>
      <c r="I8" s="136"/>
      <c r="J8" s="122" t="s">
        <v>79</v>
      </c>
      <c r="K8" s="122" t="s">
        <v>79</v>
      </c>
      <c r="L8" s="122" t="s">
        <v>80</v>
      </c>
      <c r="M8" s="132" t="s">
        <v>81</v>
      </c>
    </row>
    <row r="9" spans="2:13" s="4" customFormat="1" ht="82" customHeight="1">
      <c r="B9" s="135"/>
      <c r="C9" s="137"/>
      <c r="D9" s="137"/>
      <c r="E9" s="137"/>
      <c r="F9" s="137"/>
      <c r="G9" s="138"/>
      <c r="H9" s="137"/>
      <c r="I9" s="137"/>
      <c r="J9" s="138"/>
      <c r="K9" s="138"/>
      <c r="L9" s="138"/>
      <c r="M9" s="133"/>
    </row>
    <row r="12" spans="2:13">
      <c r="B12" s="13" t="s">
        <v>82</v>
      </c>
    </row>
  </sheetData>
  <mergeCells count="15">
    <mergeCell ref="D2:E2"/>
    <mergeCell ref="D3:E3"/>
    <mergeCell ref="D4:E4"/>
    <mergeCell ref="H2:I2"/>
    <mergeCell ref="H4:I4"/>
    <mergeCell ref="H3:I3"/>
    <mergeCell ref="M8:M9"/>
    <mergeCell ref="B8:B9"/>
    <mergeCell ref="C8:E9"/>
    <mergeCell ref="F8:F9"/>
    <mergeCell ref="G8:G9"/>
    <mergeCell ref="H8:I9"/>
    <mergeCell ref="L8:L9"/>
    <mergeCell ref="K8:K9"/>
    <mergeCell ref="J8:J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2ABCA-5C43-BE44-A746-9CF55D0E4D06}">
  <sheetPr codeName="Sheet3"/>
  <dimension ref="B2:R44"/>
  <sheetViews>
    <sheetView workbookViewId="0">
      <selection activeCell="D40" sqref="D40"/>
    </sheetView>
  </sheetViews>
  <sheetFormatPr baseColWidth="10" defaultColWidth="10.83203125" defaultRowHeight="16"/>
  <cols>
    <col min="1" max="1" width="8.6640625" style="2" customWidth="1"/>
    <col min="2" max="2" width="24" style="2" bestFit="1" customWidth="1"/>
    <col min="3" max="3" width="10.1640625" style="12" bestFit="1" customWidth="1"/>
    <col min="4" max="4" width="12.33203125" style="12" bestFit="1" customWidth="1"/>
    <col min="5" max="5" width="9.6640625" style="2" bestFit="1" customWidth="1"/>
    <col min="6" max="6" width="11" style="2" bestFit="1" customWidth="1"/>
    <col min="7" max="7" width="11.83203125" style="62" bestFit="1" customWidth="1"/>
    <col min="8" max="8" width="11" style="2" bestFit="1" customWidth="1"/>
    <col min="9" max="9" width="78.33203125" style="2" bestFit="1" customWidth="1"/>
    <col min="10" max="16384" width="10.83203125" style="2"/>
  </cols>
  <sheetData>
    <row r="2" spans="2:18">
      <c r="B2" s="43" t="s">
        <v>40</v>
      </c>
      <c r="C2" s="44" t="s">
        <v>83</v>
      </c>
      <c r="D2" s="44" t="s">
        <v>84</v>
      </c>
      <c r="E2" s="45" t="s">
        <v>85</v>
      </c>
      <c r="F2" s="46" t="s">
        <v>86</v>
      </c>
      <c r="G2" s="45" t="s">
        <v>87</v>
      </c>
      <c r="H2" s="47" t="s">
        <v>88</v>
      </c>
      <c r="I2" s="16" t="s">
        <v>89</v>
      </c>
    </row>
    <row r="3" spans="2:18">
      <c r="B3" s="48" t="str">
        <f>BPCA!D2</f>
        <v>Trimellitic Acid</v>
      </c>
      <c r="C3" s="49" t="s">
        <v>90</v>
      </c>
      <c r="D3" s="49" t="str">
        <f>BPCA!C5</f>
        <v xml:space="preserve">B2CA-1 </v>
      </c>
      <c r="E3" s="50">
        <v>4.321199577936561E-2</v>
      </c>
      <c r="F3" s="50">
        <v>3.6387734810022998E-2</v>
      </c>
      <c r="G3" s="50">
        <v>2.0070599778316559E-2</v>
      </c>
      <c r="H3" s="51">
        <v>1.7798234948509826E-2</v>
      </c>
      <c r="I3" s="69" t="s">
        <v>156</v>
      </c>
      <c r="P3" s="65"/>
      <c r="Q3" s="62"/>
      <c r="R3" s="65"/>
    </row>
    <row r="4" spans="2:18">
      <c r="B4" s="52" t="str">
        <f>BPCA!G2</f>
        <v>Hemimellitic Acid</v>
      </c>
      <c r="C4" s="49" t="s">
        <v>90</v>
      </c>
      <c r="D4" s="53" t="str">
        <f>BPCA!G5</f>
        <v>B3CA-2</v>
      </c>
      <c r="E4" s="50">
        <v>4.2329257225562467E-2</v>
      </c>
      <c r="F4" s="50">
        <v>4.4636780737949994E-2</v>
      </c>
      <c r="G4" s="50">
        <v>3.6991694274753913E-2</v>
      </c>
      <c r="H4" s="51">
        <v>2.4694548368630526E-2</v>
      </c>
      <c r="P4" s="65"/>
      <c r="Q4" s="62"/>
      <c r="R4" s="65"/>
    </row>
    <row r="5" spans="2:18">
      <c r="B5" s="48" t="str">
        <f>BPCA!H2</f>
        <v>Mellophanic Acid</v>
      </c>
      <c r="C5" s="53" t="s">
        <v>91</v>
      </c>
      <c r="D5" s="53" t="str">
        <f>BPCA!G5</f>
        <v>B3CA-2</v>
      </c>
      <c r="E5" s="50">
        <v>0.10699718974372603</v>
      </c>
      <c r="F5" s="50">
        <v>6.5871184329614613E-2</v>
      </c>
      <c r="G5" s="50">
        <v>3.0163575084952359E-2</v>
      </c>
      <c r="H5" s="51">
        <v>2.1794092876482856E-3</v>
      </c>
      <c r="I5" s="2" t="s">
        <v>156</v>
      </c>
      <c r="P5" s="65"/>
      <c r="Q5" s="62"/>
      <c r="R5" s="65"/>
    </row>
    <row r="6" spans="2:18">
      <c r="B6" s="52" t="str">
        <f>BPCA!J2</f>
        <v>Pyromellitic Acid</v>
      </c>
      <c r="C6" s="49" t="s">
        <v>91</v>
      </c>
      <c r="D6" s="49" t="str">
        <f>BPCA!J5</f>
        <v>B4CA-2</v>
      </c>
      <c r="E6" s="50">
        <v>6.7677328466173317E-2</v>
      </c>
      <c r="F6" s="50">
        <v>5.7585518231114477E-2</v>
      </c>
      <c r="G6" s="50">
        <v>3.4547196647557121E-2</v>
      </c>
      <c r="H6" s="51">
        <v>7.4240498269105603E-3</v>
      </c>
      <c r="P6" s="65"/>
      <c r="Q6" s="62"/>
      <c r="R6" s="65"/>
    </row>
    <row r="7" spans="2:18" ht="15" customHeight="1">
      <c r="B7" s="52" t="str">
        <f>BPCA!K2</f>
        <v>Prehnitic Acid</v>
      </c>
      <c r="C7" s="49" t="s">
        <v>91</v>
      </c>
      <c r="D7" s="49" t="str">
        <f>BPCA!K5</f>
        <v>B4CA-3</v>
      </c>
      <c r="E7" s="50">
        <f>0.153323652538964</f>
        <v>0.15332365253896399</v>
      </c>
      <c r="F7" s="50">
        <v>0.14211236193881485</v>
      </c>
      <c r="G7" s="50">
        <v>0.1300441334632115</v>
      </c>
      <c r="H7" s="51">
        <v>9.9811377982015628E-2</v>
      </c>
      <c r="P7" s="65"/>
      <c r="Q7" s="62"/>
      <c r="R7" s="65"/>
    </row>
    <row r="8" spans="2:18">
      <c r="B8" s="54" t="str">
        <f>BPCA!L2</f>
        <v>Benzenepentacarcoxylic acid</v>
      </c>
      <c r="C8" s="49" t="s">
        <v>13</v>
      </c>
      <c r="D8" s="49" t="str">
        <f>BPCA!L5</f>
        <v>B5CA</v>
      </c>
      <c r="E8" s="50">
        <f>0.360287830635412</f>
        <v>0.36028783063541198</v>
      </c>
      <c r="F8" s="50">
        <v>0.35258252683498492</v>
      </c>
      <c r="G8" s="50">
        <v>0.3249240329328747</v>
      </c>
      <c r="H8" s="51">
        <v>0.30986523757109552</v>
      </c>
      <c r="N8" s="62"/>
      <c r="O8" s="62"/>
    </row>
    <row r="9" spans="2:18">
      <c r="B9" s="54" t="str">
        <f>BPCA!M2</f>
        <v>Mellitic acid</v>
      </c>
      <c r="C9" s="49" t="s">
        <v>14</v>
      </c>
      <c r="D9" s="49" t="str">
        <f>BPCA!M5</f>
        <v>B6CA</v>
      </c>
      <c r="E9" s="50">
        <f>0.226172745610797</f>
        <v>0.226172745610797</v>
      </c>
      <c r="F9" s="50">
        <v>0.30082389311749813</v>
      </c>
      <c r="G9" s="50">
        <v>0.42325876781833377</v>
      </c>
      <c r="H9" s="51">
        <v>0.53822714201518951</v>
      </c>
      <c r="N9" s="62"/>
      <c r="O9" s="62"/>
    </row>
    <row r="10" spans="2:18">
      <c r="B10" s="146" t="s">
        <v>92</v>
      </c>
      <c r="C10" s="147"/>
      <c r="D10" s="147"/>
      <c r="E10" s="55">
        <f>SUM(E3:E9)</f>
        <v>1.0000000000000002</v>
      </c>
      <c r="F10" s="55">
        <f t="shared" ref="F10:H10" si="0">SUM(F3:F9)</f>
        <v>1</v>
      </c>
      <c r="G10" s="55">
        <f t="shared" si="0"/>
        <v>0.99999999999999978</v>
      </c>
      <c r="H10" s="56">
        <f t="shared" si="0"/>
        <v>0.99999999999999989</v>
      </c>
      <c r="N10" s="62"/>
      <c r="O10" s="62"/>
    </row>
    <row r="11" spans="2:18">
      <c r="B11" s="16"/>
      <c r="C11" s="16"/>
      <c r="D11" s="16"/>
      <c r="E11" s="62"/>
      <c r="F11" s="62"/>
      <c r="H11" s="62"/>
      <c r="N11" s="62"/>
      <c r="O11" s="62"/>
    </row>
    <row r="12" spans="2:18">
      <c r="B12" s="155" t="s">
        <v>157</v>
      </c>
      <c r="C12" s="155"/>
      <c r="D12" s="155"/>
      <c r="E12" s="14">
        <f>E26+E27</f>
        <v>0.22000000000000003</v>
      </c>
      <c r="F12" s="14">
        <f>F26+F27</f>
        <v>6.6000000000000003E-2</v>
      </c>
      <c r="G12" s="14">
        <f t="shared" ref="G12:H12" si="1">G26+G27</f>
        <v>0.03</v>
      </c>
      <c r="H12" s="14">
        <f t="shared" si="1"/>
        <v>0.02</v>
      </c>
      <c r="N12" s="62"/>
      <c r="O12" s="62"/>
    </row>
    <row r="13" spans="2:18">
      <c r="B13" s="155" t="s">
        <v>158</v>
      </c>
      <c r="C13" s="155"/>
      <c r="D13" s="155"/>
      <c r="E13" s="14">
        <f>E3+E5</f>
        <v>0.15020918552309165</v>
      </c>
      <c r="F13" s="14">
        <f>F3+F5</f>
        <v>0.10225891913963761</v>
      </c>
      <c r="G13" s="14">
        <f>G3+G5</f>
        <v>5.0234174863268921E-2</v>
      </c>
      <c r="H13" s="14">
        <f>H3+H5</f>
        <v>1.997764423615811E-2</v>
      </c>
      <c r="N13" s="62"/>
      <c r="O13" s="62"/>
    </row>
    <row r="14" spans="2:18">
      <c r="B14" s="16"/>
      <c r="C14" s="16"/>
      <c r="D14" s="16"/>
      <c r="E14" s="62"/>
      <c r="F14" s="62"/>
      <c r="H14" s="62"/>
      <c r="N14" s="62"/>
      <c r="O14" s="62"/>
    </row>
    <row r="15" spans="2:18">
      <c r="B15" s="148" t="s">
        <v>93</v>
      </c>
      <c r="C15" s="149"/>
      <c r="D15" s="149"/>
      <c r="E15" s="149"/>
      <c r="F15" s="149"/>
      <c r="G15" s="149"/>
      <c r="H15" s="150"/>
      <c r="N15" s="62"/>
      <c r="O15" s="62"/>
    </row>
    <row r="16" spans="2:18">
      <c r="B16" s="57" t="s">
        <v>40</v>
      </c>
      <c r="C16" s="58" t="s">
        <v>83</v>
      </c>
      <c r="D16" s="58" t="s">
        <v>84</v>
      </c>
      <c r="E16" s="59" t="s">
        <v>85</v>
      </c>
      <c r="F16" s="60" t="s">
        <v>86</v>
      </c>
      <c r="G16" s="59" t="s">
        <v>87</v>
      </c>
      <c r="H16" s="61" t="s">
        <v>88</v>
      </c>
      <c r="N16" s="62"/>
      <c r="O16" s="62"/>
    </row>
    <row r="17" spans="2:18">
      <c r="B17" s="48" t="s">
        <v>42</v>
      </c>
      <c r="C17" s="49" t="s">
        <v>90</v>
      </c>
      <c r="D17" s="49" t="s">
        <v>58</v>
      </c>
      <c r="E17" s="50">
        <v>1.452008162960407E-3</v>
      </c>
      <c r="F17" s="50">
        <v>7.3890280749442793E-4</v>
      </c>
      <c r="G17" s="50">
        <v>8.1329800487500909E-4</v>
      </c>
      <c r="H17" s="51">
        <v>3.3752394696415617E-3</v>
      </c>
      <c r="N17" s="62"/>
      <c r="O17" s="62"/>
    </row>
    <row r="18" spans="2:18">
      <c r="B18" s="52" t="s">
        <v>44</v>
      </c>
      <c r="C18" s="49" t="s">
        <v>90</v>
      </c>
      <c r="D18" s="53" t="s">
        <v>18</v>
      </c>
      <c r="E18" s="50">
        <v>3.6399933731031862E-3</v>
      </c>
      <c r="F18" s="50">
        <v>1.32359954754977E-3</v>
      </c>
      <c r="G18" s="50">
        <v>3.8215538618423866E-3</v>
      </c>
      <c r="H18" s="51">
        <v>2.2123069970848654E-3</v>
      </c>
      <c r="N18" s="62"/>
      <c r="O18" s="62"/>
    </row>
    <row r="19" spans="2:18">
      <c r="B19" s="48" t="s">
        <v>45</v>
      </c>
      <c r="C19" s="53" t="s">
        <v>91</v>
      </c>
      <c r="D19" s="53" t="s">
        <v>18</v>
      </c>
      <c r="E19" s="50">
        <v>3.4369818044473206E-2</v>
      </c>
      <c r="F19" s="50">
        <v>4.725884096319171E-3</v>
      </c>
      <c r="G19" s="50">
        <v>2.8366255764284815E-3</v>
      </c>
      <c r="H19" s="51">
        <v>3.2976936043493065E-4</v>
      </c>
      <c r="N19" s="62"/>
      <c r="O19" s="62"/>
    </row>
    <row r="20" spans="2:18">
      <c r="B20" s="52" t="s">
        <v>46</v>
      </c>
      <c r="C20" s="49" t="s">
        <v>91</v>
      </c>
      <c r="D20" s="49" t="s">
        <v>12</v>
      </c>
      <c r="E20" s="50">
        <v>6.4134346735433378E-4</v>
      </c>
      <c r="F20" s="50">
        <v>4.44949241933013E-4</v>
      </c>
      <c r="G20" s="50">
        <v>1.4903963010309616E-3</v>
      </c>
      <c r="H20" s="51">
        <v>1.9634220262432674E-3</v>
      </c>
      <c r="N20" s="62"/>
      <c r="O20" s="62"/>
    </row>
    <row r="21" spans="2:18">
      <c r="B21" s="52" t="s">
        <v>47</v>
      </c>
      <c r="C21" s="49" t="s">
        <v>91</v>
      </c>
      <c r="D21" s="49" t="s">
        <v>19</v>
      </c>
      <c r="E21" s="50">
        <v>4.2218260434022901E-2</v>
      </c>
      <c r="F21" s="50">
        <v>4.3619769626533174E-3</v>
      </c>
      <c r="G21" s="50">
        <v>4.8679067158982174E-3</v>
      </c>
      <c r="H21" s="51">
        <v>1.5722680239762876E-2</v>
      </c>
      <c r="N21" s="62"/>
      <c r="O21" s="62"/>
    </row>
    <row r="22" spans="2:18">
      <c r="B22" s="54" t="s">
        <v>48</v>
      </c>
      <c r="C22" s="49" t="s">
        <v>13</v>
      </c>
      <c r="D22" s="49" t="s">
        <v>13</v>
      </c>
      <c r="E22" s="50">
        <v>2.7555996511292324E-2</v>
      </c>
      <c r="F22" s="50">
        <v>5.1746708639145347E-3</v>
      </c>
      <c r="G22" s="50">
        <v>7.3795602804227027E-3</v>
      </c>
      <c r="H22" s="51">
        <v>5.4432833074832605E-2</v>
      </c>
      <c r="N22" s="62"/>
      <c r="O22" s="62"/>
      <c r="P22" s="62"/>
      <c r="Q22" s="62"/>
      <c r="R22" s="62"/>
    </row>
    <row r="23" spans="2:18">
      <c r="B23" s="54" t="s">
        <v>49</v>
      </c>
      <c r="C23" s="49" t="s">
        <v>14</v>
      </c>
      <c r="D23" s="49" t="s">
        <v>14</v>
      </c>
      <c r="E23" s="50">
        <v>4.460973667386943E-2</v>
      </c>
      <c r="F23" s="50">
        <v>5.5307433081690401E-3</v>
      </c>
      <c r="G23" s="50">
        <v>5.8422164928758347E-3</v>
      </c>
      <c r="H23" s="51">
        <v>7.7360877544426734E-2</v>
      </c>
      <c r="P23" s="62"/>
      <c r="Q23" s="62"/>
      <c r="R23" s="62"/>
    </row>
    <row r="24" spans="2:18">
      <c r="B24" s="148" t="s">
        <v>94</v>
      </c>
      <c r="C24" s="149"/>
      <c r="D24" s="149"/>
      <c r="E24" s="149"/>
      <c r="F24" s="149"/>
      <c r="G24" s="149"/>
      <c r="H24" s="150"/>
      <c r="P24" s="62"/>
      <c r="Q24" s="62"/>
      <c r="R24" s="62"/>
    </row>
    <row r="25" spans="2:18">
      <c r="B25" s="153" t="s">
        <v>95</v>
      </c>
      <c r="C25" s="154"/>
      <c r="D25" s="154"/>
      <c r="E25" s="14">
        <v>0.51</v>
      </c>
      <c r="F25" s="14">
        <v>0.67333333333333334</v>
      </c>
      <c r="G25" s="14">
        <v>0.82</v>
      </c>
      <c r="H25" s="66">
        <v>0.78</v>
      </c>
      <c r="O25" s="63"/>
    </row>
    <row r="26" spans="2:18">
      <c r="B26" s="153" t="s">
        <v>153</v>
      </c>
      <c r="C26" s="154"/>
      <c r="D26" s="154"/>
      <c r="E26" s="14">
        <v>0.05</v>
      </c>
      <c r="F26" s="14">
        <v>3.3000000000000002E-2</v>
      </c>
      <c r="G26" s="14">
        <v>0.03</v>
      </c>
      <c r="H26" s="66">
        <v>0.02</v>
      </c>
      <c r="O26" s="63"/>
    </row>
    <row r="27" spans="2:18">
      <c r="B27" s="153" t="s">
        <v>154</v>
      </c>
      <c r="C27" s="154"/>
      <c r="D27" s="154"/>
      <c r="E27" s="14">
        <v>0.17</v>
      </c>
      <c r="F27" s="14">
        <v>3.3000000000000002E-2</v>
      </c>
      <c r="G27" s="14">
        <v>0</v>
      </c>
      <c r="H27" s="66">
        <v>0</v>
      </c>
      <c r="O27" s="63"/>
    </row>
    <row r="28" spans="2:18">
      <c r="B28" s="153" t="s">
        <v>155</v>
      </c>
      <c r="C28" s="154"/>
      <c r="D28" s="154"/>
      <c r="E28" s="14">
        <v>0.745</v>
      </c>
      <c r="F28" s="14">
        <v>0.81410000000000005</v>
      </c>
      <c r="G28" s="14">
        <v>0.87370000000000003</v>
      </c>
      <c r="H28" s="66">
        <v>0.90029999999999999</v>
      </c>
      <c r="O28" s="63"/>
    </row>
    <row r="29" spans="2:18">
      <c r="B29" s="151" t="s">
        <v>96</v>
      </c>
      <c r="C29" s="152"/>
      <c r="D29" s="152"/>
      <c r="E29" s="67">
        <v>0.62707194387944809</v>
      </c>
      <c r="F29" s="67">
        <v>0.51179732492351981</v>
      </c>
      <c r="G29" s="67">
        <v>0.3664855234279874</v>
      </c>
      <c r="H29" s="68">
        <v>0.26424758936501019</v>
      </c>
      <c r="O29" s="63"/>
    </row>
    <row r="30" spans="2:18">
      <c r="B30" s="12"/>
      <c r="E30" s="63"/>
      <c r="F30" s="63"/>
      <c r="G30" s="63"/>
      <c r="H30" s="63"/>
      <c r="O30" s="63"/>
    </row>
    <row r="31" spans="2:18">
      <c r="Q31" s="62"/>
    </row>
    <row r="32" spans="2:18">
      <c r="B32" s="143" t="s">
        <v>97</v>
      </c>
      <c r="C32" s="144"/>
      <c r="D32" s="144"/>
      <c r="E32" s="145"/>
      <c r="F32" s="64"/>
      <c r="Q32" s="62"/>
    </row>
    <row r="33" spans="2:17">
      <c r="B33" s="75" t="s">
        <v>98</v>
      </c>
      <c r="C33" s="41" t="s">
        <v>99</v>
      </c>
      <c r="D33" s="41" t="s">
        <v>100</v>
      </c>
      <c r="E33" s="42" t="s">
        <v>96</v>
      </c>
      <c r="Q33" s="62"/>
    </row>
    <row r="34" spans="2:17">
      <c r="B34" s="54" t="s">
        <v>101</v>
      </c>
      <c r="C34" s="1">
        <v>107</v>
      </c>
      <c r="D34" s="1">
        <v>0</v>
      </c>
      <c r="E34" s="71">
        <f t="shared" ref="E34:E44" si="2">D34/C34</f>
        <v>0</v>
      </c>
    </row>
    <row r="35" spans="2:17">
      <c r="B35" s="54" t="s">
        <v>102</v>
      </c>
      <c r="C35" s="1">
        <v>78</v>
      </c>
      <c r="D35" s="1">
        <v>116</v>
      </c>
      <c r="E35" s="71">
        <f t="shared" si="2"/>
        <v>1.4871794871794872</v>
      </c>
    </row>
    <row r="36" spans="2:17">
      <c r="B36" s="54" t="s">
        <v>103</v>
      </c>
      <c r="C36" s="1">
        <v>107</v>
      </c>
      <c r="D36" s="1">
        <v>162</v>
      </c>
      <c r="E36" s="71">
        <f t="shared" si="2"/>
        <v>1.514018691588785</v>
      </c>
    </row>
    <row r="37" spans="2:17">
      <c r="B37" s="54" t="s">
        <v>104</v>
      </c>
      <c r="C37" s="1">
        <v>45</v>
      </c>
      <c r="D37" s="1">
        <v>74</v>
      </c>
      <c r="E37" s="71">
        <f t="shared" si="2"/>
        <v>1.6444444444444444</v>
      </c>
    </row>
    <row r="38" spans="2:17">
      <c r="B38" s="54" t="s">
        <v>105</v>
      </c>
      <c r="C38" s="1">
        <v>44</v>
      </c>
      <c r="D38" s="1">
        <v>74</v>
      </c>
      <c r="E38" s="71">
        <f t="shared" si="2"/>
        <v>1.6818181818181819</v>
      </c>
    </row>
    <row r="39" spans="2:17">
      <c r="B39" s="54" t="s">
        <v>106</v>
      </c>
      <c r="C39" s="1">
        <v>169</v>
      </c>
      <c r="D39" s="1">
        <v>224</v>
      </c>
      <c r="E39" s="71">
        <f t="shared" si="2"/>
        <v>1.3254437869822486</v>
      </c>
    </row>
    <row r="40" spans="2:17">
      <c r="B40" s="54" t="s">
        <v>107</v>
      </c>
      <c r="C40" s="1">
        <v>76</v>
      </c>
      <c r="D40" s="1">
        <v>112</v>
      </c>
      <c r="E40" s="71">
        <f t="shared" si="2"/>
        <v>1.4736842105263157</v>
      </c>
    </row>
    <row r="41" spans="2:17">
      <c r="B41" s="54" t="s">
        <v>108</v>
      </c>
      <c r="C41" s="1">
        <v>206</v>
      </c>
      <c r="D41" s="1">
        <v>274</v>
      </c>
      <c r="E41" s="71">
        <f t="shared" si="2"/>
        <v>1.3300970873786409</v>
      </c>
    </row>
    <row r="42" spans="2:17">
      <c r="B42" s="54" t="s">
        <v>109</v>
      </c>
      <c r="C42" s="1">
        <v>206</v>
      </c>
      <c r="D42" s="1">
        <v>0</v>
      </c>
      <c r="E42" s="71">
        <f t="shared" si="2"/>
        <v>0</v>
      </c>
    </row>
    <row r="43" spans="2:17">
      <c r="B43" s="54" t="s">
        <v>110</v>
      </c>
      <c r="C43" s="1">
        <v>76</v>
      </c>
      <c r="D43" s="1">
        <v>0</v>
      </c>
      <c r="E43" s="71">
        <f t="shared" si="2"/>
        <v>0</v>
      </c>
    </row>
    <row r="44" spans="2:17">
      <c r="B44" s="72" t="s">
        <v>111</v>
      </c>
      <c r="C44" s="73">
        <v>78</v>
      </c>
      <c r="D44" s="73">
        <v>0</v>
      </c>
      <c r="E44" s="74">
        <f t="shared" si="2"/>
        <v>0</v>
      </c>
    </row>
  </sheetData>
  <mergeCells count="11">
    <mergeCell ref="B32:E32"/>
    <mergeCell ref="B10:D10"/>
    <mergeCell ref="B15:H15"/>
    <mergeCell ref="B29:D29"/>
    <mergeCell ref="B25:D25"/>
    <mergeCell ref="B24:H24"/>
    <mergeCell ref="B27:D27"/>
    <mergeCell ref="B26:D26"/>
    <mergeCell ref="B28:D28"/>
    <mergeCell ref="B12:D12"/>
    <mergeCell ref="B13:D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5ED31-4C6C-0C48-999B-979E962E2EC9}">
  <dimension ref="A2:X83"/>
  <sheetViews>
    <sheetView topLeftCell="A42" zoomScaleNormal="90" workbookViewId="0">
      <selection activeCell="P72" sqref="P72"/>
    </sheetView>
  </sheetViews>
  <sheetFormatPr baseColWidth="10" defaultColWidth="10.83203125" defaultRowHeight="16"/>
  <cols>
    <col min="1" max="1" width="8.6640625" style="17" customWidth="1"/>
    <col min="2" max="2" width="20.33203125" style="17" bestFit="1" customWidth="1"/>
    <col min="3" max="3" width="33.6640625" style="78" customWidth="1"/>
    <col min="4" max="4" width="31.83203125" style="17" bestFit="1" customWidth="1"/>
    <col min="5" max="5" width="10.83203125" style="17" customWidth="1"/>
    <col min="6" max="6" width="20.5" style="17" bestFit="1" customWidth="1"/>
    <col min="7" max="7" width="9.6640625" style="76" bestFit="1" customWidth="1"/>
    <col min="8" max="8" width="8.6640625" style="76" bestFit="1" customWidth="1"/>
    <col min="9" max="10" width="8.6640625" style="76" hidden="1" customWidth="1"/>
    <col min="11" max="11" width="10.1640625" style="76" customWidth="1"/>
    <col min="12" max="12" width="10.5" style="76" customWidth="1"/>
    <col min="13" max="13" width="9.83203125" style="76" customWidth="1"/>
    <col min="14" max="14" width="9.6640625" style="76" customWidth="1"/>
    <col min="15" max="15" width="17.33203125" style="17" customWidth="1"/>
    <col min="16" max="17" width="16.33203125" style="22" customWidth="1"/>
    <col min="18" max="18" width="8.1640625" style="17" bestFit="1" customWidth="1"/>
    <col min="19" max="19" width="8.33203125" style="17" bestFit="1" customWidth="1"/>
    <col min="20" max="20" width="12.1640625" style="87" bestFit="1" customWidth="1"/>
    <col min="21" max="21" width="14.5" style="87" bestFit="1" customWidth="1"/>
    <col min="22" max="22" width="10.83203125" style="88"/>
    <col min="23" max="16384" width="10.83203125" style="1"/>
  </cols>
  <sheetData>
    <row r="2" spans="1:23">
      <c r="B2" s="157" t="s">
        <v>112</v>
      </c>
      <c r="C2" s="157"/>
      <c r="D2" s="157"/>
      <c r="E2" s="157"/>
      <c r="F2" s="157"/>
      <c r="G2" s="157"/>
      <c r="H2" s="157"/>
      <c r="I2" s="157"/>
      <c r="J2" s="157"/>
      <c r="K2" s="157"/>
      <c r="L2" s="157"/>
      <c r="M2" s="157"/>
      <c r="N2" s="157"/>
      <c r="O2" s="157"/>
      <c r="P2" s="157"/>
      <c r="Q2" s="157"/>
      <c r="R2" s="157"/>
      <c r="S2" s="157"/>
      <c r="T2" s="157"/>
      <c r="U2" s="157"/>
      <c r="V2" s="157"/>
    </row>
    <row r="4" spans="1:23" s="79" customFormat="1" ht="26" customHeight="1">
      <c r="A4" s="158" t="s">
        <v>113</v>
      </c>
      <c r="B4" s="158"/>
      <c r="C4" s="158"/>
      <c r="D4" s="158"/>
      <c r="E4" s="158"/>
      <c r="F4" s="158"/>
      <c r="G4" s="158"/>
      <c r="H4" s="158"/>
      <c r="I4" s="158"/>
      <c r="J4" s="158"/>
      <c r="K4" s="158"/>
      <c r="L4" s="158"/>
      <c r="M4" s="158"/>
      <c r="N4" s="158"/>
      <c r="O4" s="158"/>
      <c r="P4" s="158"/>
      <c r="Q4" s="158"/>
      <c r="R4" s="158"/>
      <c r="S4" s="158"/>
      <c r="T4" s="158"/>
      <c r="U4" s="158"/>
      <c r="V4" s="158"/>
    </row>
    <row r="5" spans="1:23" s="7" customFormat="1" ht="51">
      <c r="A5" s="15" t="s">
        <v>4</v>
      </c>
      <c r="B5" s="15" t="s">
        <v>114</v>
      </c>
      <c r="C5" s="15" t="s">
        <v>5</v>
      </c>
      <c r="D5" s="15" t="s">
        <v>95</v>
      </c>
      <c r="E5" s="15" t="s">
        <v>115</v>
      </c>
      <c r="F5" s="15" t="s">
        <v>116</v>
      </c>
      <c r="G5" s="80" t="str">
        <f>BPCA!C5</f>
        <v xml:space="preserve">B2CA-1 </v>
      </c>
      <c r="H5" s="80" t="str">
        <f>BPCA!G5</f>
        <v>B3CA-2</v>
      </c>
      <c r="I5" s="80" t="str">
        <f>BPCA!H5</f>
        <v>B3CA-3</v>
      </c>
      <c r="J5" s="80" t="str">
        <f>BPCA!I5</f>
        <v xml:space="preserve">B4CA-1 </v>
      </c>
      <c r="K5" s="80" t="str">
        <f>BPCA!J5</f>
        <v>B4CA-2</v>
      </c>
      <c r="L5" s="80" t="str">
        <f>BPCA!K5</f>
        <v>B4CA-3</v>
      </c>
      <c r="M5" s="80" t="str">
        <f>BPCA!L5</f>
        <v>B5CA</v>
      </c>
      <c r="N5" s="81" t="s">
        <v>14</v>
      </c>
      <c r="O5" s="82" t="s">
        <v>117</v>
      </c>
      <c r="P5" s="83" t="s">
        <v>118</v>
      </c>
      <c r="Q5" s="83" t="s">
        <v>160</v>
      </c>
      <c r="R5" s="84" t="s">
        <v>119</v>
      </c>
      <c r="S5" s="84" t="s">
        <v>120</v>
      </c>
      <c r="T5" s="84" t="s">
        <v>121</v>
      </c>
      <c r="U5" s="84" t="s">
        <v>122</v>
      </c>
      <c r="V5" s="85" t="s">
        <v>123</v>
      </c>
      <c r="W5" s="86"/>
    </row>
    <row r="6" spans="1:23" ht="66" customHeight="1">
      <c r="A6" s="17">
        <v>0</v>
      </c>
      <c r="B6" s="109" t="s">
        <v>124</v>
      </c>
      <c r="C6" s="77" t="e" vm="1">
        <v>#VALUE!</v>
      </c>
      <c r="D6" s="17">
        <v>6</v>
      </c>
      <c r="E6" s="17">
        <v>6</v>
      </c>
      <c r="F6" s="17">
        <v>1</v>
      </c>
      <c r="G6" s="76">
        <v>0</v>
      </c>
      <c r="H6" s="76">
        <v>0</v>
      </c>
      <c r="I6" s="76">
        <v>0</v>
      </c>
      <c r="J6" s="76">
        <v>0</v>
      </c>
      <c r="K6" s="76">
        <v>0</v>
      </c>
      <c r="L6" s="76">
        <v>0</v>
      </c>
      <c r="M6" s="76">
        <v>0</v>
      </c>
      <c r="N6" s="76">
        <v>0</v>
      </c>
      <c r="O6" s="87">
        <v>0</v>
      </c>
      <c r="P6" s="22">
        <f t="shared" ref="P6:P39" si="0">(O6/SUM(O$6:O$27)*100)</f>
        <v>0</v>
      </c>
      <c r="Q6" s="22">
        <f>IF(O6=0,0,F6*O6/O6)</f>
        <v>0</v>
      </c>
      <c r="R6" s="87">
        <f t="shared" ref="R6:R37" si="1">D6*O6</f>
        <v>0</v>
      </c>
      <c r="S6" s="87">
        <f t="shared" ref="S6:S39" si="2">E6*O6</f>
        <v>0</v>
      </c>
      <c r="T6" s="87">
        <f>(R6/$R$40*100)</f>
        <v>0</v>
      </c>
      <c r="U6" s="87">
        <f>(S6/$S$40*100)</f>
        <v>0</v>
      </c>
      <c r="V6" s="88">
        <f>(12.011*D6)+(1.008*E6)</f>
        <v>78.114000000000004</v>
      </c>
    </row>
    <row r="7" spans="1:23" ht="82" customHeight="1">
      <c r="A7" s="17">
        <v>1</v>
      </c>
      <c r="B7" s="109" t="s">
        <v>125</v>
      </c>
      <c r="C7" s="77" t="e" vm="2">
        <v>#VALUE!</v>
      </c>
      <c r="D7" s="17">
        <v>13</v>
      </c>
      <c r="E7" s="17">
        <v>10</v>
      </c>
      <c r="F7" s="17">
        <v>2</v>
      </c>
      <c r="G7" s="76">
        <f>1</f>
        <v>1</v>
      </c>
      <c r="H7" s="76">
        <v>0</v>
      </c>
      <c r="I7" s="76">
        <v>0</v>
      </c>
      <c r="J7" s="76">
        <v>0</v>
      </c>
      <c r="K7" s="76">
        <v>0</v>
      </c>
      <c r="L7" s="76">
        <v>0</v>
      </c>
      <c r="M7" s="76">
        <v>0</v>
      </c>
      <c r="N7" s="76">
        <v>0</v>
      </c>
      <c r="O7" s="112">
        <v>0</v>
      </c>
      <c r="P7" s="22">
        <f t="shared" si="0"/>
        <v>0</v>
      </c>
      <c r="Q7" s="22">
        <f t="shared" ref="Q7:Q39" si="3">IF(O7=0,0,F7*O7/O7)</f>
        <v>0</v>
      </c>
      <c r="R7" s="87">
        <f t="shared" si="1"/>
        <v>0</v>
      </c>
      <c r="S7" s="87">
        <f t="shared" si="2"/>
        <v>0</v>
      </c>
      <c r="T7" s="87">
        <f t="shared" ref="T7:T39" si="4">(R7/$R$40*100)</f>
        <v>0</v>
      </c>
      <c r="U7" s="87">
        <f t="shared" ref="U7:U39" si="5">(S7/$S$40*100)</f>
        <v>0</v>
      </c>
      <c r="V7" s="88">
        <f t="shared" ref="V6:V39" si="6">(12.011*D7)+(1.008*E7)</f>
        <v>166.22300000000001</v>
      </c>
    </row>
    <row r="8" spans="1:23" ht="100" customHeight="1">
      <c r="A8" s="17">
        <v>2</v>
      </c>
      <c r="B8" s="109" t="s">
        <v>126</v>
      </c>
      <c r="C8" s="77" t="e" vm="3">
        <v>#VALUE!</v>
      </c>
      <c r="D8" s="17">
        <v>13</v>
      </c>
      <c r="E8" s="17">
        <v>10</v>
      </c>
      <c r="F8" s="17">
        <v>3</v>
      </c>
      <c r="G8" s="76">
        <v>0</v>
      </c>
      <c r="H8" s="76">
        <v>1</v>
      </c>
      <c r="I8" s="76">
        <v>0</v>
      </c>
      <c r="J8" s="76">
        <v>0</v>
      </c>
      <c r="K8" s="76">
        <v>0</v>
      </c>
      <c r="L8" s="76">
        <v>0</v>
      </c>
      <c r="M8" s="76">
        <v>0</v>
      </c>
      <c r="N8" s="76">
        <v>0</v>
      </c>
      <c r="O8" s="17">
        <v>4</v>
      </c>
      <c r="P8" s="22">
        <f t="shared" si="0"/>
        <v>5.1282051282051277</v>
      </c>
      <c r="Q8" s="22">
        <f t="shared" si="3"/>
        <v>3</v>
      </c>
      <c r="R8" s="87">
        <f t="shared" si="1"/>
        <v>52</v>
      </c>
      <c r="S8" s="87">
        <f t="shared" si="2"/>
        <v>40</v>
      </c>
      <c r="T8" s="87">
        <f t="shared" si="4"/>
        <v>1.1130136986301369</v>
      </c>
      <c r="U8" s="87">
        <f t="shared" si="5"/>
        <v>2.418379685610641</v>
      </c>
      <c r="V8" s="88">
        <f t="shared" si="6"/>
        <v>166.22300000000001</v>
      </c>
    </row>
    <row r="9" spans="1:23" ht="79" customHeight="1">
      <c r="A9" s="114">
        <v>3</v>
      </c>
      <c r="B9" s="109" t="s">
        <v>127</v>
      </c>
      <c r="C9" s="77" t="e" vm="4">
        <v>#VALUE!</v>
      </c>
      <c r="D9" s="17">
        <v>14</v>
      </c>
      <c r="E9" s="17">
        <v>10</v>
      </c>
      <c r="F9" s="17">
        <v>3</v>
      </c>
      <c r="G9" s="89">
        <f>2/3</f>
        <v>0.66666666666666663</v>
      </c>
      <c r="H9" s="76">
        <v>0</v>
      </c>
      <c r="I9" s="76">
        <v>0</v>
      </c>
      <c r="J9" s="76">
        <v>0</v>
      </c>
      <c r="K9" s="76">
        <v>0</v>
      </c>
      <c r="L9" s="76">
        <f>1/3</f>
        <v>0.33333333333333331</v>
      </c>
      <c r="M9" s="76">
        <v>0</v>
      </c>
      <c r="N9" s="76">
        <v>0</v>
      </c>
      <c r="O9" s="17">
        <v>0</v>
      </c>
      <c r="P9" s="22">
        <f t="shared" si="0"/>
        <v>0</v>
      </c>
      <c r="Q9" s="22">
        <f t="shared" si="3"/>
        <v>0</v>
      </c>
      <c r="R9" s="87">
        <f t="shared" si="1"/>
        <v>0</v>
      </c>
      <c r="S9" s="87">
        <f t="shared" si="2"/>
        <v>0</v>
      </c>
      <c r="T9" s="87">
        <f t="shared" si="4"/>
        <v>0</v>
      </c>
      <c r="U9" s="87">
        <f t="shared" si="5"/>
        <v>0</v>
      </c>
      <c r="V9" s="88">
        <f t="shared" si="6"/>
        <v>178.23400000000001</v>
      </c>
    </row>
    <row r="10" spans="1:23" ht="83" customHeight="1">
      <c r="A10" s="114">
        <v>4</v>
      </c>
      <c r="B10" s="109" t="s">
        <v>20</v>
      </c>
      <c r="C10" s="77" t="e" vm="5">
        <v>#VALUE!</v>
      </c>
      <c r="D10" s="17">
        <v>14</v>
      </c>
      <c r="E10" s="17">
        <v>10</v>
      </c>
      <c r="F10" s="17">
        <v>3</v>
      </c>
      <c r="G10" s="76">
        <f>1</f>
        <v>1</v>
      </c>
      <c r="H10" s="76">
        <v>0</v>
      </c>
      <c r="I10" s="76">
        <v>0</v>
      </c>
      <c r="J10" s="76">
        <v>0</v>
      </c>
      <c r="K10" s="76">
        <v>0</v>
      </c>
      <c r="L10" s="76">
        <v>0</v>
      </c>
      <c r="M10" s="76">
        <v>0</v>
      </c>
      <c r="N10" s="76">
        <v>0</v>
      </c>
      <c r="O10" s="17">
        <v>0</v>
      </c>
      <c r="P10" s="22">
        <f t="shared" si="0"/>
        <v>0</v>
      </c>
      <c r="Q10" s="22">
        <f t="shared" si="3"/>
        <v>0</v>
      </c>
      <c r="R10" s="87">
        <f t="shared" si="1"/>
        <v>0</v>
      </c>
      <c r="S10" s="87">
        <f t="shared" si="2"/>
        <v>0</v>
      </c>
      <c r="T10" s="87">
        <f t="shared" si="4"/>
        <v>0</v>
      </c>
      <c r="U10" s="87">
        <f t="shared" si="5"/>
        <v>0</v>
      </c>
      <c r="V10" s="88">
        <f t="shared" si="6"/>
        <v>178.23400000000001</v>
      </c>
    </row>
    <row r="11" spans="1:23" ht="83" customHeight="1">
      <c r="A11" s="17">
        <v>5</v>
      </c>
      <c r="B11" s="109" t="s">
        <v>128</v>
      </c>
      <c r="C11" s="77" t="e" vm="6">
        <v>#VALUE!</v>
      </c>
      <c r="D11" s="17">
        <v>18</v>
      </c>
      <c r="E11" s="17">
        <v>12</v>
      </c>
      <c r="F11" s="17">
        <v>4</v>
      </c>
      <c r="G11" s="76">
        <f>2/4</f>
        <v>0.5</v>
      </c>
      <c r="H11" s="76">
        <v>0</v>
      </c>
      <c r="I11" s="76">
        <v>0</v>
      </c>
      <c r="J11" s="76">
        <v>0</v>
      </c>
      <c r="K11" s="76">
        <f>2/4</f>
        <v>0.5</v>
      </c>
      <c r="L11" s="76">
        <v>0</v>
      </c>
      <c r="M11" s="76">
        <v>0</v>
      </c>
      <c r="N11" s="76">
        <v>0</v>
      </c>
      <c r="O11" s="17">
        <v>0</v>
      </c>
      <c r="P11" s="22">
        <f t="shared" si="0"/>
        <v>0</v>
      </c>
      <c r="Q11" s="22">
        <f t="shared" si="3"/>
        <v>0</v>
      </c>
      <c r="R11" s="87">
        <f t="shared" si="1"/>
        <v>0</v>
      </c>
      <c r="S11" s="87">
        <f t="shared" si="2"/>
        <v>0</v>
      </c>
      <c r="T11" s="87">
        <f>(R11/$R$40*100)</f>
        <v>0</v>
      </c>
      <c r="U11" s="87">
        <f t="shared" si="5"/>
        <v>0</v>
      </c>
      <c r="V11" s="88">
        <f t="shared" si="6"/>
        <v>228.29399999999998</v>
      </c>
    </row>
    <row r="12" spans="1:23" ht="83" customHeight="1">
      <c r="A12" s="17">
        <v>6</v>
      </c>
      <c r="B12" s="109" t="s">
        <v>129</v>
      </c>
      <c r="C12" s="77" t="e" vm="7">
        <v>#VALUE!</v>
      </c>
      <c r="D12" s="17">
        <v>22</v>
      </c>
      <c r="E12" s="17">
        <v>14</v>
      </c>
      <c r="F12" s="17">
        <v>5</v>
      </c>
      <c r="G12" s="76">
        <f>2/5</f>
        <v>0.4</v>
      </c>
      <c r="H12" s="76">
        <v>0</v>
      </c>
      <c r="I12" s="76">
        <v>0</v>
      </c>
      <c r="J12" s="76">
        <v>0</v>
      </c>
      <c r="K12" s="76">
        <v>0.6</v>
      </c>
      <c r="L12" s="76">
        <v>0</v>
      </c>
      <c r="M12" s="76">
        <v>0</v>
      </c>
      <c r="N12" s="76">
        <v>0</v>
      </c>
      <c r="O12" s="17">
        <v>10</v>
      </c>
      <c r="P12" s="22">
        <f t="shared" si="0"/>
        <v>12.820512820512819</v>
      </c>
      <c r="Q12" s="22">
        <f t="shared" si="3"/>
        <v>5</v>
      </c>
      <c r="R12" s="87">
        <f t="shared" si="1"/>
        <v>220</v>
      </c>
      <c r="S12" s="87">
        <f t="shared" si="2"/>
        <v>140</v>
      </c>
      <c r="T12" s="87">
        <f t="shared" si="4"/>
        <v>4.7089041095890414</v>
      </c>
      <c r="U12" s="87">
        <f t="shared" si="5"/>
        <v>8.464328899637243</v>
      </c>
      <c r="V12" s="88">
        <f t="shared" si="6"/>
        <v>278.35399999999998</v>
      </c>
    </row>
    <row r="13" spans="1:23" ht="91" customHeight="1">
      <c r="A13" s="114">
        <v>7</v>
      </c>
      <c r="B13" s="109" t="s">
        <v>26</v>
      </c>
      <c r="C13" s="77" t="e" vm="8">
        <v>#VALUE!</v>
      </c>
      <c r="D13" s="17">
        <v>16</v>
      </c>
      <c r="E13" s="17">
        <v>10</v>
      </c>
      <c r="F13" s="17">
        <v>4</v>
      </c>
      <c r="G13" s="76">
        <v>0</v>
      </c>
      <c r="H13" s="76">
        <f>2/4</f>
        <v>0.5</v>
      </c>
      <c r="I13" s="76">
        <v>0</v>
      </c>
      <c r="J13" s="76">
        <v>0</v>
      </c>
      <c r="K13" s="76">
        <v>0</v>
      </c>
      <c r="L13" s="76">
        <f>2/4</f>
        <v>0.5</v>
      </c>
      <c r="M13" s="76">
        <v>0</v>
      </c>
      <c r="N13" s="76">
        <v>0</v>
      </c>
      <c r="O13" s="17">
        <v>0</v>
      </c>
      <c r="P13" s="22">
        <f t="shared" si="0"/>
        <v>0</v>
      </c>
      <c r="Q13" s="22">
        <f t="shared" si="3"/>
        <v>0</v>
      </c>
      <c r="R13" s="87">
        <f t="shared" si="1"/>
        <v>0</v>
      </c>
      <c r="S13" s="87">
        <f t="shared" si="2"/>
        <v>0</v>
      </c>
      <c r="T13" s="87">
        <f t="shared" si="4"/>
        <v>0</v>
      </c>
      <c r="U13" s="87">
        <f t="shared" si="5"/>
        <v>0</v>
      </c>
      <c r="V13" s="88">
        <f t="shared" si="6"/>
        <v>202.256</v>
      </c>
    </row>
    <row r="14" spans="1:23" ht="91" customHeight="1">
      <c r="A14" s="114">
        <v>8</v>
      </c>
      <c r="B14" s="109" t="s">
        <v>25</v>
      </c>
      <c r="C14" s="77" t="e" vm="9">
        <v>#VALUE!</v>
      </c>
      <c r="D14" s="17">
        <v>18</v>
      </c>
      <c r="E14" s="17">
        <v>12</v>
      </c>
      <c r="F14" s="17">
        <v>4</v>
      </c>
      <c r="G14" s="76">
        <v>0.5</v>
      </c>
      <c r="H14" s="76">
        <v>0</v>
      </c>
      <c r="I14" s="76">
        <v>0</v>
      </c>
      <c r="J14" s="76">
        <v>0</v>
      </c>
      <c r="K14" s="76">
        <v>0</v>
      </c>
      <c r="L14" s="76">
        <v>0.5</v>
      </c>
      <c r="M14" s="76">
        <v>0</v>
      </c>
      <c r="N14" s="76">
        <v>0</v>
      </c>
      <c r="O14" s="17">
        <v>0</v>
      </c>
      <c r="P14" s="22">
        <f t="shared" si="0"/>
        <v>0</v>
      </c>
      <c r="Q14" s="22">
        <f t="shared" si="3"/>
        <v>0</v>
      </c>
      <c r="R14" s="87">
        <f t="shared" si="1"/>
        <v>0</v>
      </c>
      <c r="S14" s="87">
        <f t="shared" si="2"/>
        <v>0</v>
      </c>
      <c r="T14" s="87">
        <f t="shared" si="4"/>
        <v>0</v>
      </c>
      <c r="U14" s="87">
        <f t="shared" si="5"/>
        <v>0</v>
      </c>
      <c r="V14" s="88">
        <f t="shared" si="6"/>
        <v>228.29399999999998</v>
      </c>
    </row>
    <row r="15" spans="1:23" ht="69" customHeight="1">
      <c r="A15" s="17">
        <v>9</v>
      </c>
      <c r="B15" s="109" t="s">
        <v>130</v>
      </c>
      <c r="C15" s="77" t="e" vm="10">
        <v>#VALUE!</v>
      </c>
      <c r="D15" s="17">
        <v>17</v>
      </c>
      <c r="E15" s="17">
        <v>12</v>
      </c>
      <c r="F15" s="17">
        <v>3</v>
      </c>
      <c r="G15" s="76">
        <f>2/3</f>
        <v>0.66666666666666663</v>
      </c>
      <c r="H15" s="76">
        <v>0</v>
      </c>
      <c r="I15" s="76">
        <v>0</v>
      </c>
      <c r="J15" s="76">
        <v>0</v>
      </c>
      <c r="K15" s="76">
        <v>0</v>
      </c>
      <c r="L15" s="76">
        <f>1/3</f>
        <v>0.33333333333333331</v>
      </c>
      <c r="M15" s="76">
        <v>0</v>
      </c>
      <c r="N15" s="76">
        <v>0</v>
      </c>
      <c r="O15" s="17">
        <v>0</v>
      </c>
      <c r="P15" s="22">
        <f t="shared" si="0"/>
        <v>0</v>
      </c>
      <c r="Q15" s="22">
        <f t="shared" si="3"/>
        <v>0</v>
      </c>
      <c r="R15" s="87">
        <f t="shared" si="1"/>
        <v>0</v>
      </c>
      <c r="S15" s="87">
        <f t="shared" si="2"/>
        <v>0</v>
      </c>
      <c r="T15" s="87">
        <f t="shared" si="4"/>
        <v>0</v>
      </c>
      <c r="U15" s="87">
        <f t="shared" si="5"/>
        <v>0</v>
      </c>
      <c r="V15" s="88">
        <f t="shared" si="6"/>
        <v>216.28299999999999</v>
      </c>
    </row>
    <row r="16" spans="1:23" ht="102" customHeight="1">
      <c r="A16" s="17">
        <v>10</v>
      </c>
      <c r="B16" s="109" t="s">
        <v>131</v>
      </c>
      <c r="C16" s="77" t="e" vm="11">
        <v>#VALUE!</v>
      </c>
      <c r="D16" s="17">
        <v>20</v>
      </c>
      <c r="E16" s="17">
        <v>12</v>
      </c>
      <c r="F16" s="17">
        <v>4</v>
      </c>
      <c r="G16" s="76">
        <f>2/4</f>
        <v>0.5</v>
      </c>
      <c r="H16" s="76">
        <f>1/4</f>
        <v>0.25</v>
      </c>
      <c r="I16" s="76">
        <v>0</v>
      </c>
      <c r="J16" s="76">
        <v>0</v>
      </c>
      <c r="K16" s="76">
        <v>0</v>
      </c>
      <c r="L16" s="76">
        <v>0</v>
      </c>
      <c r="M16" s="76">
        <v>0.25</v>
      </c>
      <c r="N16" s="76">
        <v>0</v>
      </c>
      <c r="O16" s="17">
        <v>0</v>
      </c>
      <c r="P16" s="22">
        <f t="shared" si="0"/>
        <v>0</v>
      </c>
      <c r="Q16" s="22">
        <f t="shared" si="3"/>
        <v>0</v>
      </c>
      <c r="R16" s="87">
        <f t="shared" si="1"/>
        <v>0</v>
      </c>
      <c r="S16" s="87">
        <f t="shared" si="2"/>
        <v>0</v>
      </c>
      <c r="T16" s="87">
        <f t="shared" si="4"/>
        <v>0</v>
      </c>
      <c r="U16" s="87">
        <f t="shared" si="5"/>
        <v>0</v>
      </c>
      <c r="V16" s="88">
        <f t="shared" si="6"/>
        <v>252.31599999999997</v>
      </c>
    </row>
    <row r="17" spans="1:22" ht="71" customHeight="1">
      <c r="A17" s="17">
        <v>11</v>
      </c>
      <c r="B17" s="109" t="s">
        <v>132</v>
      </c>
      <c r="C17" s="77" t="e" vm="12">
        <v>#VALUE!</v>
      </c>
      <c r="D17" s="17">
        <v>17</v>
      </c>
      <c r="E17" s="17">
        <v>12</v>
      </c>
      <c r="F17" s="17">
        <v>3</v>
      </c>
      <c r="G17" s="76">
        <f>G15</f>
        <v>0.66666666666666663</v>
      </c>
      <c r="H17" s="76">
        <v>0</v>
      </c>
      <c r="I17" s="76">
        <v>0</v>
      </c>
      <c r="J17" s="76">
        <v>0</v>
      </c>
      <c r="K17" s="76">
        <v>0</v>
      </c>
      <c r="L17" s="76">
        <f>L15</f>
        <v>0.33333333333333331</v>
      </c>
      <c r="M17" s="76">
        <v>0</v>
      </c>
      <c r="N17" s="76">
        <v>0</v>
      </c>
      <c r="O17" s="17">
        <v>0</v>
      </c>
      <c r="P17" s="22">
        <f t="shared" si="0"/>
        <v>0</v>
      </c>
      <c r="Q17" s="22">
        <f t="shared" si="3"/>
        <v>0</v>
      </c>
      <c r="R17" s="87">
        <f t="shared" si="1"/>
        <v>0</v>
      </c>
      <c r="S17" s="87">
        <f t="shared" si="2"/>
        <v>0</v>
      </c>
      <c r="T17" s="87">
        <f t="shared" si="4"/>
        <v>0</v>
      </c>
      <c r="U17" s="87">
        <f t="shared" si="5"/>
        <v>0</v>
      </c>
      <c r="V17" s="88">
        <f t="shared" si="6"/>
        <v>216.28299999999999</v>
      </c>
    </row>
    <row r="18" spans="1:22" ht="117" customHeight="1">
      <c r="A18" s="114">
        <v>12</v>
      </c>
      <c r="B18" s="109" t="s">
        <v>30</v>
      </c>
      <c r="C18" s="77" t="e" vm="13">
        <v>#VALUE!</v>
      </c>
      <c r="D18" s="17">
        <v>24</v>
      </c>
      <c r="E18" s="17">
        <v>12</v>
      </c>
      <c r="F18" s="17">
        <v>7</v>
      </c>
      <c r="G18" s="76">
        <v>0</v>
      </c>
      <c r="H18" s="76">
        <v>0</v>
      </c>
      <c r="I18" s="76">
        <v>0</v>
      </c>
      <c r="J18" s="76">
        <v>0</v>
      </c>
      <c r="K18" s="76">
        <v>0</v>
      </c>
      <c r="L18" s="76">
        <f>6/7</f>
        <v>0.8571428571428571</v>
      </c>
      <c r="M18" s="76">
        <v>0</v>
      </c>
      <c r="N18" s="76">
        <f>1/7</f>
        <v>0.14285714285714285</v>
      </c>
      <c r="O18" s="17">
        <v>0</v>
      </c>
      <c r="P18" s="22">
        <f t="shared" si="0"/>
        <v>0</v>
      </c>
      <c r="Q18" s="22">
        <f t="shared" si="3"/>
        <v>0</v>
      </c>
      <c r="R18" s="87">
        <f t="shared" si="1"/>
        <v>0</v>
      </c>
      <c r="S18" s="87">
        <f t="shared" si="2"/>
        <v>0</v>
      </c>
      <c r="T18" s="87">
        <f t="shared" si="4"/>
        <v>0</v>
      </c>
      <c r="U18" s="87">
        <f t="shared" si="5"/>
        <v>0</v>
      </c>
      <c r="V18" s="88">
        <f t="shared" si="6"/>
        <v>300.36</v>
      </c>
    </row>
    <row r="19" spans="1:22" ht="93" customHeight="1">
      <c r="A19" s="114">
        <v>13</v>
      </c>
      <c r="B19" s="109" t="s">
        <v>28</v>
      </c>
      <c r="C19" s="78" t="e" vm="14">
        <v>#VALUE!</v>
      </c>
      <c r="D19" s="17">
        <v>20</v>
      </c>
      <c r="E19" s="17">
        <v>12</v>
      </c>
      <c r="F19" s="17">
        <v>5</v>
      </c>
      <c r="G19" s="76">
        <v>0</v>
      </c>
      <c r="H19" s="76">
        <f>4/5</f>
        <v>0.8</v>
      </c>
      <c r="I19" s="76">
        <v>0</v>
      </c>
      <c r="J19" s="76">
        <v>0</v>
      </c>
      <c r="K19" s="76">
        <v>0</v>
      </c>
      <c r="L19" s="76">
        <v>0</v>
      </c>
      <c r="M19" s="76">
        <v>0</v>
      </c>
      <c r="N19" s="76">
        <f>1/5</f>
        <v>0.2</v>
      </c>
      <c r="O19" s="17">
        <v>0</v>
      </c>
      <c r="P19" s="22">
        <f t="shared" si="0"/>
        <v>0</v>
      </c>
      <c r="Q19" s="22">
        <f t="shared" si="3"/>
        <v>0</v>
      </c>
      <c r="R19" s="87">
        <f t="shared" si="1"/>
        <v>0</v>
      </c>
      <c r="S19" s="87">
        <f t="shared" si="2"/>
        <v>0</v>
      </c>
      <c r="T19" s="87">
        <f t="shared" si="4"/>
        <v>0</v>
      </c>
      <c r="U19" s="87">
        <f t="shared" si="5"/>
        <v>0</v>
      </c>
      <c r="V19" s="88">
        <f t="shared" si="6"/>
        <v>252.31599999999997</v>
      </c>
    </row>
    <row r="20" spans="1:22" ht="95" customHeight="1">
      <c r="A20" s="17">
        <v>14</v>
      </c>
      <c r="B20" s="109" t="s">
        <v>133</v>
      </c>
      <c r="C20" s="78" t="e" vm="15">
        <v>#VALUE!</v>
      </c>
      <c r="D20" s="17">
        <v>20</v>
      </c>
      <c r="E20" s="17">
        <v>12</v>
      </c>
      <c r="F20" s="17">
        <v>5</v>
      </c>
      <c r="G20" s="76">
        <f>1/5</f>
        <v>0.2</v>
      </c>
      <c r="H20" s="76">
        <f>1/5</f>
        <v>0.2</v>
      </c>
      <c r="I20" s="76">
        <v>0</v>
      </c>
      <c r="J20" s="76">
        <v>0</v>
      </c>
      <c r="K20" s="76">
        <v>0</v>
      </c>
      <c r="L20" s="76">
        <v>0.4</v>
      </c>
      <c r="M20" s="76">
        <v>0.2</v>
      </c>
      <c r="N20" s="76">
        <v>0</v>
      </c>
      <c r="O20" s="17">
        <v>0</v>
      </c>
      <c r="P20" s="22">
        <f t="shared" si="0"/>
        <v>0</v>
      </c>
      <c r="Q20" s="22">
        <f t="shared" si="3"/>
        <v>0</v>
      </c>
      <c r="R20" s="87">
        <f t="shared" si="1"/>
        <v>0</v>
      </c>
      <c r="S20" s="87">
        <f t="shared" si="2"/>
        <v>0</v>
      </c>
      <c r="T20" s="87">
        <f t="shared" si="4"/>
        <v>0</v>
      </c>
      <c r="U20" s="87">
        <f t="shared" si="5"/>
        <v>0</v>
      </c>
      <c r="V20" s="88">
        <f t="shared" si="6"/>
        <v>252.31599999999997</v>
      </c>
    </row>
    <row r="21" spans="1:22" ht="102" customHeight="1">
      <c r="A21" s="114">
        <v>15</v>
      </c>
      <c r="B21" s="109" t="s">
        <v>134</v>
      </c>
      <c r="C21" s="78" t="e" vm="16">
        <v>#VALUE!</v>
      </c>
      <c r="D21" s="17">
        <v>22</v>
      </c>
      <c r="E21" s="17">
        <v>12</v>
      </c>
      <c r="F21" s="17">
        <v>6</v>
      </c>
      <c r="G21" s="76">
        <v>0</v>
      </c>
      <c r="H21" s="76">
        <f>2/6</f>
        <v>0.33333333333333331</v>
      </c>
      <c r="I21" s="76">
        <v>0</v>
      </c>
      <c r="J21" s="76">
        <v>0</v>
      </c>
      <c r="K21" s="76">
        <v>0</v>
      </c>
      <c r="L21" s="76">
        <f>3/6</f>
        <v>0.5</v>
      </c>
      <c r="M21" s="76">
        <v>0</v>
      </c>
      <c r="N21" s="76">
        <f>1/6</f>
        <v>0.16666666666666666</v>
      </c>
      <c r="O21" s="17">
        <v>0</v>
      </c>
      <c r="P21" s="22">
        <f t="shared" si="0"/>
        <v>0</v>
      </c>
      <c r="Q21" s="22">
        <f t="shared" si="3"/>
        <v>0</v>
      </c>
      <c r="R21" s="87">
        <f t="shared" si="1"/>
        <v>0</v>
      </c>
      <c r="S21" s="87">
        <f t="shared" si="2"/>
        <v>0</v>
      </c>
      <c r="T21" s="87">
        <f t="shared" si="4"/>
        <v>0</v>
      </c>
      <c r="U21" s="87">
        <f t="shared" si="5"/>
        <v>0</v>
      </c>
      <c r="V21" s="88">
        <f t="shared" si="6"/>
        <v>276.33799999999997</v>
      </c>
    </row>
    <row r="22" spans="1:22" ht="137" customHeight="1">
      <c r="A22" s="17">
        <v>16</v>
      </c>
      <c r="B22" s="109" t="s">
        <v>135</v>
      </c>
      <c r="C22" s="77" t="e" vm="17">
        <v>#VALUE!</v>
      </c>
      <c r="D22" s="17">
        <v>42</v>
      </c>
      <c r="E22" s="17">
        <v>16</v>
      </c>
      <c r="F22" s="17">
        <v>14</v>
      </c>
      <c r="G22" s="76">
        <v>0</v>
      </c>
      <c r="H22" s="76">
        <v>0</v>
      </c>
      <c r="I22" s="76">
        <v>0</v>
      </c>
      <c r="J22" s="76">
        <v>0</v>
      </c>
      <c r="K22" s="76">
        <v>0</v>
      </c>
      <c r="L22" s="76">
        <f>6/14</f>
        <v>0.42857142857142855</v>
      </c>
      <c r="M22" s="76">
        <f>4/14</f>
        <v>0.2857142857142857</v>
      </c>
      <c r="N22" s="76">
        <f>4/14</f>
        <v>0.2857142857142857</v>
      </c>
      <c r="O22" s="17">
        <v>11</v>
      </c>
      <c r="P22" s="22">
        <f t="shared" si="0"/>
        <v>14.102564102564102</v>
      </c>
      <c r="Q22" s="22">
        <f t="shared" si="3"/>
        <v>14</v>
      </c>
      <c r="R22" s="87">
        <f t="shared" si="1"/>
        <v>462</v>
      </c>
      <c r="S22" s="87">
        <f t="shared" si="2"/>
        <v>176</v>
      </c>
      <c r="T22" s="87">
        <f t="shared" si="4"/>
        <v>9.8886986301369877</v>
      </c>
      <c r="U22" s="87">
        <f t="shared" si="5"/>
        <v>10.640870616686819</v>
      </c>
      <c r="V22" s="88">
        <f t="shared" si="6"/>
        <v>520.59</v>
      </c>
    </row>
    <row r="23" spans="1:22" ht="167" customHeight="1">
      <c r="A23" s="17">
        <v>17</v>
      </c>
      <c r="B23" s="109" t="s">
        <v>136</v>
      </c>
      <c r="C23" s="77" t="e" vm="18">
        <v>#VALUE!</v>
      </c>
      <c r="D23" s="17">
        <v>54</v>
      </c>
      <c r="E23" s="17">
        <v>18</v>
      </c>
      <c r="F23" s="17">
        <v>19</v>
      </c>
      <c r="G23" s="76">
        <v>0</v>
      </c>
      <c r="H23" s="76">
        <v>0</v>
      </c>
      <c r="I23" s="76">
        <v>0</v>
      </c>
      <c r="J23" s="76">
        <v>0</v>
      </c>
      <c r="K23" s="76">
        <v>0</v>
      </c>
      <c r="L23" s="76">
        <f>6/19</f>
        <v>0.31578947368421051</v>
      </c>
      <c r="M23" s="76">
        <f>6/19</f>
        <v>0.31578947368421051</v>
      </c>
      <c r="N23" s="76">
        <f>7/19</f>
        <v>0.36842105263157893</v>
      </c>
      <c r="O23" s="17">
        <v>0</v>
      </c>
      <c r="P23" s="22">
        <f t="shared" si="0"/>
        <v>0</v>
      </c>
      <c r="Q23" s="22">
        <f t="shared" si="3"/>
        <v>0</v>
      </c>
      <c r="R23" s="87">
        <f t="shared" si="1"/>
        <v>0</v>
      </c>
      <c r="S23" s="87">
        <f t="shared" si="2"/>
        <v>0</v>
      </c>
      <c r="T23" s="87">
        <f t="shared" si="4"/>
        <v>0</v>
      </c>
      <c r="U23" s="87">
        <f t="shared" si="5"/>
        <v>0</v>
      </c>
      <c r="V23" s="88">
        <f t="shared" si="6"/>
        <v>666.73799999999994</v>
      </c>
    </row>
    <row r="24" spans="1:22" ht="151" customHeight="1">
      <c r="A24" s="17">
        <v>18</v>
      </c>
      <c r="B24" s="109" t="s">
        <v>137</v>
      </c>
      <c r="C24" s="77" t="e" vm="19">
        <v>#VALUE!</v>
      </c>
      <c r="D24" s="17">
        <v>66</v>
      </c>
      <c r="E24" s="17">
        <v>20</v>
      </c>
      <c r="F24" s="17">
        <v>24</v>
      </c>
      <c r="G24" s="76">
        <v>0</v>
      </c>
      <c r="H24" s="76">
        <v>0</v>
      </c>
      <c r="I24" s="76">
        <v>0</v>
      </c>
      <c r="J24" s="76">
        <v>0</v>
      </c>
      <c r="K24" s="76">
        <v>0</v>
      </c>
      <c r="L24" s="76">
        <f>6/24</f>
        <v>0.25</v>
      </c>
      <c r="M24" s="76">
        <f>8/24</f>
        <v>0.33333333333333331</v>
      </c>
      <c r="N24" s="76">
        <f>10/24</f>
        <v>0.41666666666666669</v>
      </c>
      <c r="O24" s="17">
        <v>0</v>
      </c>
      <c r="P24" s="22">
        <f t="shared" si="0"/>
        <v>0</v>
      </c>
      <c r="Q24" s="22">
        <f t="shared" si="3"/>
        <v>0</v>
      </c>
      <c r="R24" s="87">
        <f t="shared" si="1"/>
        <v>0</v>
      </c>
      <c r="S24" s="87">
        <f t="shared" si="2"/>
        <v>0</v>
      </c>
      <c r="T24" s="87">
        <f t="shared" si="4"/>
        <v>0</v>
      </c>
      <c r="U24" s="87">
        <f t="shared" si="5"/>
        <v>0</v>
      </c>
      <c r="V24" s="88">
        <f t="shared" si="6"/>
        <v>812.88599999999997</v>
      </c>
    </row>
    <row r="25" spans="1:22" ht="151" customHeight="1">
      <c r="A25" s="17">
        <v>19</v>
      </c>
      <c r="B25" s="109" t="s">
        <v>138</v>
      </c>
      <c r="C25" s="77" t="e" vm="20">
        <v>#VALUE!</v>
      </c>
      <c r="D25" s="17">
        <v>70</v>
      </c>
      <c r="E25" s="17">
        <v>22</v>
      </c>
      <c r="F25" s="17">
        <v>25</v>
      </c>
      <c r="G25" s="76">
        <v>0</v>
      </c>
      <c r="H25" s="76">
        <f>2/25</f>
        <v>0.08</v>
      </c>
      <c r="I25" s="76">
        <v>0</v>
      </c>
      <c r="J25" s="76">
        <v>0</v>
      </c>
      <c r="K25" s="76">
        <v>0</v>
      </c>
      <c r="L25" s="76">
        <v>0.08</v>
      </c>
      <c r="M25" s="76">
        <f>12/25</f>
        <v>0.48</v>
      </c>
      <c r="N25" s="76">
        <f>9/25</f>
        <v>0.36</v>
      </c>
      <c r="O25" s="17">
        <v>53</v>
      </c>
      <c r="P25" s="22">
        <f t="shared" si="0"/>
        <v>67.948717948717956</v>
      </c>
      <c r="Q25" s="22">
        <f t="shared" si="3"/>
        <v>25</v>
      </c>
      <c r="R25" s="87">
        <f t="shared" si="1"/>
        <v>3710</v>
      </c>
      <c r="S25" s="87">
        <f t="shared" si="2"/>
        <v>1166</v>
      </c>
      <c r="T25" s="87">
        <f t="shared" si="4"/>
        <v>79.409246575342465</v>
      </c>
      <c r="U25" s="87">
        <f t="shared" si="5"/>
        <v>70.495767835550183</v>
      </c>
      <c r="V25" s="88">
        <f t="shared" si="6"/>
        <v>862.94600000000003</v>
      </c>
    </row>
    <row r="26" spans="1:22" ht="151" customHeight="1">
      <c r="A26" s="17">
        <v>20</v>
      </c>
      <c r="B26" s="109" t="s">
        <v>139</v>
      </c>
      <c r="C26" s="77" t="e" vm="21">
        <v>#VALUE!</v>
      </c>
      <c r="D26" s="17">
        <v>80</v>
      </c>
      <c r="E26" s="17">
        <f>22</f>
        <v>22</v>
      </c>
      <c r="F26" s="17">
        <v>30</v>
      </c>
      <c r="G26" s="76">
        <v>0</v>
      </c>
      <c r="H26" s="76">
        <v>0</v>
      </c>
      <c r="I26" s="76">
        <v>0</v>
      </c>
      <c r="J26" s="76">
        <v>0</v>
      </c>
      <c r="K26" s="76">
        <v>0</v>
      </c>
      <c r="L26" s="76">
        <f>6/30</f>
        <v>0.2</v>
      </c>
      <c r="M26" s="76">
        <f>10/30</f>
        <v>0.33333333333333331</v>
      </c>
      <c r="N26" s="76">
        <f>14/30</f>
        <v>0.46666666666666667</v>
      </c>
      <c r="O26" s="17">
        <v>0</v>
      </c>
      <c r="P26" s="22">
        <f t="shared" si="0"/>
        <v>0</v>
      </c>
      <c r="Q26" s="22">
        <f t="shared" si="3"/>
        <v>0</v>
      </c>
      <c r="R26" s="87">
        <f t="shared" si="1"/>
        <v>0</v>
      </c>
      <c r="S26" s="87">
        <f t="shared" si="2"/>
        <v>0</v>
      </c>
      <c r="T26" s="87">
        <f t="shared" si="4"/>
        <v>0</v>
      </c>
      <c r="U26" s="87">
        <f t="shared" si="5"/>
        <v>0</v>
      </c>
      <c r="V26" s="88">
        <f t="shared" si="6"/>
        <v>983.05599999999993</v>
      </c>
    </row>
    <row r="27" spans="1:22" ht="173" customHeight="1">
      <c r="A27" s="17">
        <v>21</v>
      </c>
      <c r="B27" s="110" t="s">
        <v>140</v>
      </c>
      <c r="C27" s="77" t="e" vm="22">
        <v>#VALUE!</v>
      </c>
      <c r="D27" s="17">
        <v>84</v>
      </c>
      <c r="E27" s="17">
        <v>24</v>
      </c>
      <c r="F27" s="17">
        <v>31</v>
      </c>
      <c r="G27" s="76">
        <v>0</v>
      </c>
      <c r="H27" s="76">
        <v>0</v>
      </c>
      <c r="I27" s="76">
        <v>0</v>
      </c>
      <c r="J27" s="76">
        <v>0</v>
      </c>
      <c r="K27" s="76">
        <v>0</v>
      </c>
      <c r="L27" s="76">
        <f>(31-18)/31</f>
        <v>0.41935483870967744</v>
      </c>
      <c r="M27" s="76">
        <v>0</v>
      </c>
      <c r="N27" s="76">
        <f>18/31</f>
        <v>0.58064516129032262</v>
      </c>
      <c r="O27" s="17">
        <v>0</v>
      </c>
      <c r="P27" s="22">
        <f t="shared" si="0"/>
        <v>0</v>
      </c>
      <c r="Q27" s="22">
        <f t="shared" si="3"/>
        <v>0</v>
      </c>
      <c r="R27" s="87">
        <f t="shared" si="1"/>
        <v>0</v>
      </c>
      <c r="S27" s="87">
        <f t="shared" si="2"/>
        <v>0</v>
      </c>
      <c r="T27" s="87">
        <f t="shared" si="4"/>
        <v>0</v>
      </c>
      <c r="U27" s="87">
        <f t="shared" si="5"/>
        <v>0</v>
      </c>
      <c r="V27" s="88">
        <f t="shared" si="6"/>
        <v>1033.116</v>
      </c>
    </row>
    <row r="28" spans="1:22" ht="136" customHeight="1">
      <c r="A28" s="17">
        <v>22</v>
      </c>
      <c r="B28" s="17" t="s">
        <v>161</v>
      </c>
      <c r="C28" s="77" t="e" vm="23">
        <v>#VALUE!</v>
      </c>
      <c r="D28" s="17">
        <f>30-11</f>
        <v>19</v>
      </c>
      <c r="E28" s="17">
        <v>11</v>
      </c>
      <c r="F28" s="17">
        <v>5</v>
      </c>
      <c r="G28" s="76">
        <v>0</v>
      </c>
      <c r="H28" s="76">
        <f>2/F28</f>
        <v>0.4</v>
      </c>
      <c r="K28" s="76">
        <v>0</v>
      </c>
      <c r="L28" s="76">
        <f>2/F28</f>
        <v>0.4</v>
      </c>
      <c r="M28" s="76">
        <f>1/F28</f>
        <v>0.2</v>
      </c>
      <c r="N28" s="76">
        <v>0</v>
      </c>
      <c r="O28" s="17">
        <v>12</v>
      </c>
      <c r="P28" s="22">
        <f t="shared" si="0"/>
        <v>15.384615384615385</v>
      </c>
      <c r="Q28" s="22">
        <f t="shared" si="3"/>
        <v>5</v>
      </c>
      <c r="R28" s="87">
        <f t="shared" si="1"/>
        <v>228</v>
      </c>
      <c r="S28" s="87">
        <f t="shared" si="2"/>
        <v>132</v>
      </c>
      <c r="T28" s="87">
        <f t="shared" si="4"/>
        <v>4.8801369863013697</v>
      </c>
      <c r="U28" s="87">
        <f t="shared" si="5"/>
        <v>7.9806529625151157</v>
      </c>
      <c r="V28" s="88">
        <f t="shared" si="6"/>
        <v>239.29699999999997</v>
      </c>
    </row>
    <row r="29" spans="1:22" ht="119" customHeight="1">
      <c r="A29" s="17">
        <v>23</v>
      </c>
      <c r="B29" s="17" t="s">
        <v>162</v>
      </c>
      <c r="C29" s="77" t="e" vm="24">
        <v>#VALUE!</v>
      </c>
      <c r="D29" s="17">
        <f>41-14</f>
        <v>27</v>
      </c>
      <c r="E29" s="17">
        <v>14</v>
      </c>
      <c r="F29" s="17">
        <v>8</v>
      </c>
      <c r="G29" s="76">
        <v>0</v>
      </c>
      <c r="H29" s="76">
        <f>1/F29</f>
        <v>0.125</v>
      </c>
      <c r="K29" s="76">
        <v>0</v>
      </c>
      <c r="L29" s="76">
        <f>4/F29</f>
        <v>0.5</v>
      </c>
      <c r="M29" s="76">
        <f>2/F29</f>
        <v>0.25</v>
      </c>
      <c r="N29" s="76">
        <f>1/F29</f>
        <v>0.125</v>
      </c>
      <c r="O29" s="17">
        <v>0</v>
      </c>
      <c r="P29" s="22">
        <f t="shared" si="0"/>
        <v>0</v>
      </c>
      <c r="Q29" s="22">
        <f t="shared" si="3"/>
        <v>0</v>
      </c>
      <c r="R29" s="87">
        <f t="shared" si="1"/>
        <v>0</v>
      </c>
      <c r="S29" s="87">
        <f t="shared" si="2"/>
        <v>0</v>
      </c>
      <c r="T29" s="87">
        <f t="shared" si="4"/>
        <v>0</v>
      </c>
      <c r="U29" s="87">
        <f t="shared" si="5"/>
        <v>0</v>
      </c>
      <c r="V29" s="88">
        <f t="shared" si="6"/>
        <v>338.40899999999999</v>
      </c>
    </row>
    <row r="30" spans="1:22" ht="114" customHeight="1">
      <c r="A30" s="17">
        <v>24</v>
      </c>
      <c r="B30" s="17" t="s">
        <v>163</v>
      </c>
      <c r="C30" s="77" t="e" vm="25">
        <v>#VALUE!</v>
      </c>
      <c r="D30" s="17">
        <f>45-15</f>
        <v>30</v>
      </c>
      <c r="E30" s="17">
        <v>15</v>
      </c>
      <c r="F30" s="17">
        <v>9</v>
      </c>
      <c r="G30" s="76">
        <v>0</v>
      </c>
      <c r="H30" s="76">
        <f>2/F30</f>
        <v>0.22222222222222221</v>
      </c>
      <c r="K30" s="76">
        <v>0</v>
      </c>
      <c r="L30" s="76">
        <f>3/F30</f>
        <v>0.33333333333333331</v>
      </c>
      <c r="M30" s="76">
        <f>2/F30</f>
        <v>0.22222222222222221</v>
      </c>
      <c r="N30" s="76">
        <f>2/F30</f>
        <v>0.22222222222222221</v>
      </c>
      <c r="O30" s="17">
        <v>0</v>
      </c>
      <c r="P30" s="22">
        <f t="shared" si="0"/>
        <v>0</v>
      </c>
      <c r="Q30" s="22">
        <f t="shared" si="3"/>
        <v>0</v>
      </c>
      <c r="R30" s="87">
        <f t="shared" si="1"/>
        <v>0</v>
      </c>
      <c r="S30" s="87">
        <f t="shared" si="2"/>
        <v>0</v>
      </c>
      <c r="T30" s="87">
        <f t="shared" si="4"/>
        <v>0</v>
      </c>
      <c r="U30" s="87">
        <f t="shared" si="5"/>
        <v>0</v>
      </c>
      <c r="V30" s="88">
        <f t="shared" si="6"/>
        <v>375.45</v>
      </c>
    </row>
    <row r="31" spans="1:22" ht="151" customHeight="1">
      <c r="A31" s="17">
        <v>25</v>
      </c>
      <c r="B31" s="17" t="s">
        <v>164</v>
      </c>
      <c r="C31" s="77" t="e" vm="26">
        <v>#VALUE!</v>
      </c>
      <c r="D31" s="17">
        <f>50-17</f>
        <v>33</v>
      </c>
      <c r="E31" s="17">
        <v>17</v>
      </c>
      <c r="F31" s="17">
        <v>10</v>
      </c>
      <c r="G31" s="76">
        <v>0</v>
      </c>
      <c r="H31" s="76">
        <f>3/F31</f>
        <v>0.3</v>
      </c>
      <c r="K31" s="76">
        <v>0</v>
      </c>
      <c r="L31" s="76">
        <f>2/F31</f>
        <v>0.2</v>
      </c>
      <c r="M31" s="76">
        <f>2/F31</f>
        <v>0.2</v>
      </c>
      <c r="N31" s="76">
        <f>3/F31</f>
        <v>0.3</v>
      </c>
      <c r="O31" s="17">
        <v>0</v>
      </c>
      <c r="P31" s="22">
        <f t="shared" si="0"/>
        <v>0</v>
      </c>
      <c r="Q31" s="22">
        <f t="shared" si="3"/>
        <v>0</v>
      </c>
      <c r="R31" s="87">
        <f t="shared" si="1"/>
        <v>0</v>
      </c>
      <c r="S31" s="87">
        <f t="shared" si="2"/>
        <v>0</v>
      </c>
      <c r="T31" s="87">
        <f t="shared" si="4"/>
        <v>0</v>
      </c>
      <c r="U31" s="87">
        <f t="shared" si="5"/>
        <v>0</v>
      </c>
      <c r="V31" s="88">
        <f t="shared" si="6"/>
        <v>413.49900000000002</v>
      </c>
    </row>
    <row r="32" spans="1:22" ht="173" customHeight="1">
      <c r="A32" s="17">
        <v>26</v>
      </c>
      <c r="B32" s="17" t="s">
        <v>165</v>
      </c>
      <c r="C32" s="77" t="e" vm="27">
        <v>#VALUE!</v>
      </c>
      <c r="D32" s="17">
        <f>55-19</f>
        <v>36</v>
      </c>
      <c r="E32" s="17">
        <v>19</v>
      </c>
      <c r="F32" s="17">
        <v>11</v>
      </c>
      <c r="G32" s="76">
        <v>0</v>
      </c>
      <c r="H32" s="76">
        <f>4/F32</f>
        <v>0.36363636363636365</v>
      </c>
      <c r="K32" s="76">
        <v>0</v>
      </c>
      <c r="L32" s="76">
        <f>1/F32</f>
        <v>9.0909090909090912E-2</v>
      </c>
      <c r="M32" s="76">
        <f>2/F32</f>
        <v>0.18181818181818182</v>
      </c>
      <c r="N32" s="76">
        <f>4/F32</f>
        <v>0.36363636363636365</v>
      </c>
      <c r="O32" s="17">
        <v>0</v>
      </c>
      <c r="P32" s="22">
        <f t="shared" si="0"/>
        <v>0</v>
      </c>
      <c r="Q32" s="22">
        <f t="shared" si="3"/>
        <v>0</v>
      </c>
      <c r="R32" s="87">
        <f t="shared" si="1"/>
        <v>0</v>
      </c>
      <c r="S32" s="87">
        <f t="shared" si="2"/>
        <v>0</v>
      </c>
      <c r="T32" s="87">
        <f t="shared" si="4"/>
        <v>0</v>
      </c>
      <c r="U32" s="87">
        <f t="shared" si="5"/>
        <v>0</v>
      </c>
      <c r="V32" s="88">
        <f t="shared" si="6"/>
        <v>451.54799999999994</v>
      </c>
    </row>
    <row r="33" spans="1:22" ht="213" customHeight="1">
      <c r="A33" s="17">
        <v>27</v>
      </c>
      <c r="B33" s="17" t="s">
        <v>166</v>
      </c>
      <c r="C33" s="77" t="e" vm="28">
        <v>#VALUE!</v>
      </c>
      <c r="D33" s="17">
        <f>60-21</f>
        <v>39</v>
      </c>
      <c r="E33" s="17">
        <v>21</v>
      </c>
      <c r="F33" s="17">
        <v>12</v>
      </c>
      <c r="G33" s="76">
        <v>0</v>
      </c>
      <c r="H33" s="76">
        <f>5/F33</f>
        <v>0.41666666666666669</v>
      </c>
      <c r="K33" s="76">
        <v>0</v>
      </c>
      <c r="L33" s="76">
        <f>0</f>
        <v>0</v>
      </c>
      <c r="M33" s="76">
        <f>2/F33</f>
        <v>0.16666666666666666</v>
      </c>
      <c r="N33" s="76">
        <f>5/F33</f>
        <v>0.41666666666666669</v>
      </c>
      <c r="O33" s="17">
        <v>0</v>
      </c>
      <c r="P33" s="22">
        <f t="shared" si="0"/>
        <v>0</v>
      </c>
      <c r="Q33" s="22">
        <f t="shared" si="3"/>
        <v>0</v>
      </c>
      <c r="R33" s="87">
        <f t="shared" si="1"/>
        <v>0</v>
      </c>
      <c r="S33" s="87">
        <f t="shared" si="2"/>
        <v>0</v>
      </c>
      <c r="T33" s="87">
        <f t="shared" si="4"/>
        <v>0</v>
      </c>
      <c r="U33" s="87">
        <f t="shared" si="5"/>
        <v>0</v>
      </c>
      <c r="V33" s="88">
        <f t="shared" si="6"/>
        <v>489.59699999999998</v>
      </c>
    </row>
    <row r="34" spans="1:22" ht="238" customHeight="1">
      <c r="A34" s="17">
        <v>28</v>
      </c>
      <c r="B34" s="17" t="s">
        <v>167</v>
      </c>
      <c r="C34" s="77" t="e" vm="29">
        <v>#VALUE!</v>
      </c>
      <c r="D34" s="17">
        <f>65-23</f>
        <v>42</v>
      </c>
      <c r="E34" s="17">
        <v>23</v>
      </c>
      <c r="F34" s="17">
        <v>13</v>
      </c>
      <c r="G34" s="76">
        <v>0</v>
      </c>
      <c r="H34" s="76">
        <f>6/F34</f>
        <v>0.46153846153846156</v>
      </c>
      <c r="K34" s="76">
        <v>0</v>
      </c>
      <c r="L34" s="76">
        <v>0</v>
      </c>
      <c r="M34" s="76">
        <v>0</v>
      </c>
      <c r="N34" s="76">
        <f t="shared" ref="N34:N39" si="7">7/F34</f>
        <v>0.53846153846153844</v>
      </c>
      <c r="O34" s="17">
        <v>0</v>
      </c>
      <c r="P34" s="22">
        <f t="shared" si="0"/>
        <v>0</v>
      </c>
      <c r="Q34" s="22">
        <f t="shared" si="3"/>
        <v>0</v>
      </c>
      <c r="R34" s="87">
        <f t="shared" si="1"/>
        <v>0</v>
      </c>
      <c r="S34" s="87">
        <f t="shared" si="2"/>
        <v>0</v>
      </c>
      <c r="T34" s="87">
        <f t="shared" si="4"/>
        <v>0</v>
      </c>
      <c r="U34" s="87">
        <f t="shared" si="5"/>
        <v>0</v>
      </c>
      <c r="V34" s="88">
        <f t="shared" si="6"/>
        <v>527.64599999999996</v>
      </c>
    </row>
    <row r="35" spans="1:22" ht="204" customHeight="1">
      <c r="A35" s="17">
        <v>29</v>
      </c>
      <c r="B35" s="17" t="s">
        <v>169</v>
      </c>
      <c r="C35" s="77" t="e" vm="30">
        <v>#VALUE!</v>
      </c>
      <c r="D35" s="17">
        <f>66-22</f>
        <v>44</v>
      </c>
      <c r="E35" s="17">
        <v>22</v>
      </c>
      <c r="F35" s="17">
        <v>14</v>
      </c>
      <c r="G35" s="76">
        <v>0</v>
      </c>
      <c r="H35" s="76">
        <f>4/F35</f>
        <v>0.2857142857142857</v>
      </c>
      <c r="K35" s="76">
        <v>0</v>
      </c>
      <c r="L35" s="76">
        <f>3/F35</f>
        <v>0.21428571428571427</v>
      </c>
      <c r="M35" s="76">
        <v>0</v>
      </c>
      <c r="N35" s="76">
        <f t="shared" si="7"/>
        <v>0.5</v>
      </c>
      <c r="O35" s="17">
        <v>0</v>
      </c>
      <c r="P35" s="22">
        <f t="shared" si="0"/>
        <v>0</v>
      </c>
      <c r="Q35" s="22">
        <f t="shared" si="3"/>
        <v>0</v>
      </c>
      <c r="R35" s="87">
        <f t="shared" si="1"/>
        <v>0</v>
      </c>
      <c r="S35" s="87">
        <f t="shared" si="2"/>
        <v>0</v>
      </c>
      <c r="T35" s="87">
        <f t="shared" si="4"/>
        <v>0</v>
      </c>
      <c r="U35" s="87">
        <f t="shared" si="5"/>
        <v>0</v>
      </c>
      <c r="V35" s="88">
        <f t="shared" si="6"/>
        <v>550.66</v>
      </c>
    </row>
    <row r="36" spans="1:22" ht="171" customHeight="1">
      <c r="A36" s="17">
        <v>30</v>
      </c>
      <c r="B36" s="17" t="s">
        <v>168</v>
      </c>
      <c r="C36" s="77" t="e" vm="31">
        <v>#VALUE!</v>
      </c>
      <c r="D36" s="17">
        <f>67-21</f>
        <v>46</v>
      </c>
      <c r="E36" s="17">
        <v>21</v>
      </c>
      <c r="F36" s="17">
        <v>15</v>
      </c>
      <c r="G36" s="76">
        <v>0</v>
      </c>
      <c r="H36" s="76">
        <f>3/F36</f>
        <v>0.2</v>
      </c>
      <c r="K36" s="76">
        <v>0</v>
      </c>
      <c r="L36" s="76">
        <f>4/F36</f>
        <v>0.26666666666666666</v>
      </c>
      <c r="M36" s="76">
        <f>1/F36</f>
        <v>6.6666666666666666E-2</v>
      </c>
      <c r="N36" s="76">
        <f t="shared" si="7"/>
        <v>0.46666666666666667</v>
      </c>
      <c r="O36" s="17">
        <v>0</v>
      </c>
      <c r="P36" s="22">
        <f t="shared" si="0"/>
        <v>0</v>
      </c>
      <c r="Q36" s="22">
        <f t="shared" si="3"/>
        <v>0</v>
      </c>
      <c r="R36" s="87">
        <f t="shared" si="1"/>
        <v>0</v>
      </c>
      <c r="S36" s="87">
        <f t="shared" si="2"/>
        <v>0</v>
      </c>
      <c r="T36" s="87">
        <f t="shared" si="4"/>
        <v>0</v>
      </c>
      <c r="U36" s="87">
        <f t="shared" si="5"/>
        <v>0</v>
      </c>
      <c r="V36" s="88">
        <f t="shared" si="6"/>
        <v>573.67399999999998</v>
      </c>
    </row>
    <row r="37" spans="1:22" ht="202" customHeight="1">
      <c r="A37" s="17">
        <v>31</v>
      </c>
      <c r="B37" s="17" t="s">
        <v>170</v>
      </c>
      <c r="C37" s="77" t="e" vm="32">
        <v>#VALUE!</v>
      </c>
      <c r="D37" s="17">
        <f>69-21</f>
        <v>48</v>
      </c>
      <c r="E37" s="17">
        <v>21</v>
      </c>
      <c r="F37" s="17">
        <v>16</v>
      </c>
      <c r="G37" s="76">
        <f>0</f>
        <v>0</v>
      </c>
      <c r="H37" s="76">
        <f>2/F37</f>
        <v>0.125</v>
      </c>
      <c r="K37" s="76">
        <v>0</v>
      </c>
      <c r="L37" s="76">
        <f>5/F37</f>
        <v>0.3125</v>
      </c>
      <c r="M37" s="76">
        <f>2/F37</f>
        <v>0.125</v>
      </c>
      <c r="N37" s="76">
        <f t="shared" si="7"/>
        <v>0.4375</v>
      </c>
      <c r="O37" s="17">
        <v>0</v>
      </c>
      <c r="P37" s="22">
        <f t="shared" si="0"/>
        <v>0</v>
      </c>
      <c r="Q37" s="22">
        <f t="shared" si="3"/>
        <v>0</v>
      </c>
      <c r="R37" s="87">
        <f t="shared" si="1"/>
        <v>0</v>
      </c>
      <c r="S37" s="87">
        <f t="shared" si="2"/>
        <v>0</v>
      </c>
      <c r="T37" s="87">
        <f t="shared" si="4"/>
        <v>0</v>
      </c>
      <c r="U37" s="87">
        <f t="shared" si="5"/>
        <v>0</v>
      </c>
      <c r="V37" s="88">
        <f t="shared" si="6"/>
        <v>597.69600000000003</v>
      </c>
    </row>
    <row r="38" spans="1:22" ht="198" customHeight="1">
      <c r="A38" s="17">
        <v>32</v>
      </c>
      <c r="B38" s="17" t="s">
        <v>171</v>
      </c>
      <c r="C38" s="77" t="e" vm="33">
        <v>#VALUE!</v>
      </c>
      <c r="D38" s="17">
        <f>69-19</f>
        <v>50</v>
      </c>
      <c r="E38" s="17">
        <v>19</v>
      </c>
      <c r="F38" s="17">
        <v>17</v>
      </c>
      <c r="G38" s="76">
        <v>0</v>
      </c>
      <c r="H38" s="76">
        <f>1/F38</f>
        <v>5.8823529411764705E-2</v>
      </c>
      <c r="K38" s="76">
        <v>0</v>
      </c>
      <c r="L38" s="76">
        <f>6/F38</f>
        <v>0.35294117647058826</v>
      </c>
      <c r="M38" s="76">
        <f>3/F38</f>
        <v>0.17647058823529413</v>
      </c>
      <c r="N38" s="76">
        <f t="shared" si="7"/>
        <v>0.41176470588235292</v>
      </c>
      <c r="O38" s="17">
        <v>0</v>
      </c>
      <c r="P38" s="22">
        <f t="shared" si="0"/>
        <v>0</v>
      </c>
      <c r="Q38" s="22">
        <f t="shared" si="3"/>
        <v>0</v>
      </c>
      <c r="R38" s="87">
        <f>D38*O38</f>
        <v>0</v>
      </c>
      <c r="S38" s="87">
        <f t="shared" si="2"/>
        <v>0</v>
      </c>
      <c r="T38" s="87">
        <f t="shared" si="4"/>
        <v>0</v>
      </c>
      <c r="U38" s="87">
        <f t="shared" si="5"/>
        <v>0</v>
      </c>
      <c r="V38" s="88">
        <f t="shared" si="6"/>
        <v>619.702</v>
      </c>
    </row>
    <row r="39" spans="1:22" ht="202" customHeight="1">
      <c r="A39" s="17">
        <v>33</v>
      </c>
      <c r="B39" s="17" t="s">
        <v>172</v>
      </c>
      <c r="C39" s="77" t="e" vm="34">
        <v>#VALUE!</v>
      </c>
      <c r="D39" s="17">
        <f>70-18</f>
        <v>52</v>
      </c>
      <c r="E39" s="17">
        <v>18</v>
      </c>
      <c r="F39" s="17">
        <v>18</v>
      </c>
      <c r="G39" s="76">
        <v>0</v>
      </c>
      <c r="H39" s="76">
        <v>0</v>
      </c>
      <c r="K39" s="76">
        <v>0</v>
      </c>
      <c r="L39" s="76">
        <f>7/F39</f>
        <v>0.3888888888888889</v>
      </c>
      <c r="M39" s="76">
        <f>4/F39</f>
        <v>0.22222222222222221</v>
      </c>
      <c r="N39" s="76">
        <f t="shared" si="7"/>
        <v>0.3888888888888889</v>
      </c>
      <c r="O39" s="17">
        <v>0</v>
      </c>
      <c r="P39" s="22">
        <f t="shared" si="0"/>
        <v>0</v>
      </c>
      <c r="Q39" s="22">
        <f t="shared" si="3"/>
        <v>0</v>
      </c>
      <c r="R39" s="87">
        <f>D39*O39</f>
        <v>0</v>
      </c>
      <c r="S39" s="87">
        <f t="shared" si="2"/>
        <v>0</v>
      </c>
      <c r="T39" s="87">
        <f t="shared" si="4"/>
        <v>0</v>
      </c>
      <c r="U39" s="87">
        <f t="shared" si="5"/>
        <v>0</v>
      </c>
      <c r="V39" s="88">
        <f t="shared" si="6"/>
        <v>642.71600000000001</v>
      </c>
    </row>
    <row r="40" spans="1:22">
      <c r="B40" s="111"/>
      <c r="C40" s="77"/>
      <c r="D40" s="1"/>
      <c r="G40" s="76">
        <f>G6*$O$6+G11*$O$11+G12*$O$12+G7*$O$7+G8*$O$8+G9*$O9+G10*$O$10+G13*$O$13+G14*$O$14+G15*$O$15+G16*$O$16+G17*$O$17+G18*$O$18+G19*$O$19+G20*$O$20+G21*$O$21+G22*$O$22+G23*$O$23+G24*$O$24+G25*$O$25+G26*$O$26+G27*$O$27+G28*$O$28+G29*$O$29+G30*$O$30+G31*$O$31+G32*$O$32+G33*$O$33+G34*$O$34+G35*$O$35+G36*$O$36+G37*$O$37+G38*$O$38+G39*$O$39</f>
        <v>4</v>
      </c>
      <c r="H40" s="76">
        <f t="shared" ref="H40:N40" si="8">H6*$O$6+H11*$O$11+H12*$O$12+H7*$O$7+H8*$O$8+H9*$O9+H10*$O$10+H13*$O$13+H14*$O$14+H15*$O$15+H16*$O$16+H17*$O$17+H18*$O$18+H19*$O$19+H20*$O$20+H21*$O$21+H22*$O$22+H23*$O$23+H24*$O$24+H25*$O$25+H26*$O$26+H27*$O$27+H28*$O$28+H29*$O$29+H30*$O$30+H31*$O$31+H32*$O$32+H33*$O$33+H34*$O$34+H35*$O$35+H36*$O$36+H37*$O$37+H38*$O$38+H39*$O$39</f>
        <v>13.040000000000001</v>
      </c>
      <c r="I40" s="76">
        <f t="shared" si="8"/>
        <v>0</v>
      </c>
      <c r="J40" s="76">
        <f t="shared" si="8"/>
        <v>0</v>
      </c>
      <c r="K40" s="76">
        <f t="shared" si="8"/>
        <v>6</v>
      </c>
      <c r="L40" s="76">
        <f t="shared" si="8"/>
        <v>13.754285714285714</v>
      </c>
      <c r="M40" s="76">
        <f t="shared" si="8"/>
        <v>30.982857142857142</v>
      </c>
      <c r="N40" s="76">
        <f t="shared" si="8"/>
        <v>22.222857142857141</v>
      </c>
      <c r="O40" s="87">
        <f>SUM(O6:O39)</f>
        <v>90</v>
      </c>
      <c r="P40" s="22">
        <f>SUM(P6:P27)</f>
        <v>100</v>
      </c>
      <c r="Q40" s="22">
        <f>ROUND(AVERAGEIF(Q6:Q39,"&gt;0"),0)</f>
        <v>10</v>
      </c>
      <c r="R40" s="87">
        <f>SUM(R6:R39)</f>
        <v>4672</v>
      </c>
      <c r="S40" s="87">
        <f>SUM(S6:S39)</f>
        <v>1654</v>
      </c>
    </row>
    <row r="41" spans="1:22">
      <c r="C41" s="77"/>
      <c r="D41" s="1"/>
      <c r="F41" s="90" t="s">
        <v>141</v>
      </c>
      <c r="G41" s="159">
        <f>SUM(G40:N40)</f>
        <v>89.999999999999986</v>
      </c>
      <c r="H41" s="159"/>
      <c r="I41" s="159"/>
      <c r="J41" s="159"/>
      <c r="K41" s="159"/>
      <c r="L41" s="159"/>
      <c r="M41" s="159"/>
      <c r="N41" s="159"/>
      <c r="O41" s="76"/>
    </row>
    <row r="42" spans="1:22">
      <c r="C42" s="77"/>
      <c r="D42" s="1"/>
      <c r="F42" s="90"/>
      <c r="G42" s="84" t="s">
        <v>58</v>
      </c>
      <c r="H42" s="84" t="s">
        <v>18</v>
      </c>
      <c r="I42" s="84" t="s">
        <v>11</v>
      </c>
      <c r="J42" s="84" t="s">
        <v>60</v>
      </c>
      <c r="K42" s="84" t="s">
        <v>12</v>
      </c>
      <c r="L42" s="84" t="s">
        <v>19</v>
      </c>
      <c r="M42" s="84" t="s">
        <v>13</v>
      </c>
      <c r="N42" s="84" t="s">
        <v>14</v>
      </c>
      <c r="O42" s="76"/>
    </row>
    <row r="43" spans="1:22">
      <c r="C43" s="77"/>
      <c r="D43" s="1"/>
      <c r="F43" s="49" t="s">
        <v>142</v>
      </c>
      <c r="G43" s="91">
        <f>G40/$G$41</f>
        <v>4.4444444444444453E-2</v>
      </c>
      <c r="H43" s="91">
        <f>H40/$G$41</f>
        <v>0.14488888888888893</v>
      </c>
      <c r="I43" s="91">
        <f t="shared" ref="I43:K43" si="9">I40/$G$41</f>
        <v>0</v>
      </c>
      <c r="J43" s="91">
        <f t="shared" si="9"/>
        <v>0</v>
      </c>
      <c r="K43" s="91">
        <f t="shared" si="9"/>
        <v>6.666666666666668E-2</v>
      </c>
      <c r="L43" s="91">
        <f>L40/$G$41</f>
        <v>0.15282539682539686</v>
      </c>
      <c r="M43" s="91">
        <f>M40/$G$41</f>
        <v>0.34425396825396831</v>
      </c>
      <c r="N43" s="91">
        <f>N40/$G$41</f>
        <v>0.24692063492063493</v>
      </c>
      <c r="O43" s="76"/>
      <c r="P43" s="70"/>
      <c r="R43" s="113"/>
    </row>
    <row r="44" spans="1:22">
      <c r="C44" s="77"/>
      <c r="D44" s="1"/>
      <c r="E44" s="1"/>
      <c r="F44" s="92" t="s">
        <v>21</v>
      </c>
      <c r="G44" s="91">
        <f>BPCA_Experimental!E3</f>
        <v>4.321199577936561E-2</v>
      </c>
      <c r="H44" s="93">
        <f>BPCA_Experimental!E4+BPCA_Experimental!E5</f>
        <v>0.14932644696928848</v>
      </c>
      <c r="I44" s="93"/>
      <c r="J44" s="93"/>
      <c r="K44" s="93">
        <f>BPCA_Experimental!E6</f>
        <v>6.7677328466173317E-2</v>
      </c>
      <c r="L44" s="93">
        <f>BPCA_Experimental!E7</f>
        <v>0.15332365253896399</v>
      </c>
      <c r="M44" s="93">
        <f>BPCA_Experimental!E8</f>
        <v>0.36028783063541198</v>
      </c>
      <c r="N44" s="93">
        <f>BPCA_Experimental!E9</f>
        <v>0.226172745610797</v>
      </c>
      <c r="O44" s="76"/>
      <c r="R44" s="1"/>
      <c r="S44" s="1"/>
    </row>
    <row r="45" spans="1:22">
      <c r="C45" s="77"/>
      <c r="D45" s="1"/>
      <c r="E45" s="1"/>
      <c r="F45" s="92" t="s">
        <v>143</v>
      </c>
      <c r="G45" s="91">
        <f>BPCA_Experimental!E17</f>
        <v>1.452008162960407E-3</v>
      </c>
      <c r="H45" s="93">
        <f>BPCA_Experimental!E18+BPCA_Experimental!E19</f>
        <v>3.8009811417576395E-2</v>
      </c>
      <c r="I45" s="93"/>
      <c r="J45" s="93"/>
      <c r="K45" s="93">
        <f>BPCA_Experimental!E20</f>
        <v>6.4134346735433378E-4</v>
      </c>
      <c r="L45" s="93">
        <f>BPCA_Experimental!E21</f>
        <v>4.2218260434022901E-2</v>
      </c>
      <c r="M45" s="93">
        <f>BPCA_Experimental!E22</f>
        <v>2.7555996511292324E-2</v>
      </c>
      <c r="N45" s="93">
        <f>BPCA_Experimental!E23</f>
        <v>4.460973667386943E-2</v>
      </c>
      <c r="O45" s="76"/>
      <c r="S45" s="1"/>
    </row>
    <row r="46" spans="1:22">
      <c r="D46" s="1"/>
      <c r="F46" s="94" t="s">
        <v>144</v>
      </c>
      <c r="G46" s="76">
        <f>ABS(G43-G44)/G44</f>
        <v>2.8520984575013692E-2</v>
      </c>
      <c r="H46" s="76">
        <f>ABS(H43-H44)/H44</f>
        <v>2.9717161095463653E-2</v>
      </c>
      <c r="K46" s="76">
        <f>ABS(K43-K44)/K44</f>
        <v>1.4933535681920268E-2</v>
      </c>
      <c r="L46" s="76">
        <f>ABS(L43-L44)/L44</f>
        <v>3.2496989558770382E-3</v>
      </c>
      <c r="M46" s="76">
        <f>ABS(M43-M44)/M44</f>
        <v>4.4502925211673046E-2</v>
      </c>
      <c r="N46" s="76">
        <f>ABS(N43-N44)/N44</f>
        <v>9.1734701516783743E-2</v>
      </c>
      <c r="O46" s="76"/>
    </row>
    <row r="47" spans="1:22">
      <c r="D47" s="1"/>
      <c r="E47" s="95"/>
      <c r="F47" s="92"/>
      <c r="O47" s="76"/>
    </row>
    <row r="48" spans="1:22">
      <c r="D48" s="1"/>
      <c r="E48" s="77"/>
      <c r="F48" s="94" t="s">
        <v>159</v>
      </c>
      <c r="G48" s="87">
        <f>Q40</f>
        <v>10</v>
      </c>
      <c r="O48" s="76"/>
    </row>
    <row r="49" spans="1:24" ht="16" customHeight="1">
      <c r="D49" s="1"/>
      <c r="E49" s="96"/>
      <c r="F49" s="97" t="s">
        <v>145</v>
      </c>
      <c r="G49" s="76">
        <f>BPCA_Experimental!E29</f>
        <v>0.62707194387944809</v>
      </c>
      <c r="H49" s="156" t="s">
        <v>146</v>
      </c>
      <c r="I49" s="156"/>
      <c r="J49" s="156"/>
      <c r="K49" s="156"/>
      <c r="L49" s="156"/>
      <c r="M49" s="156"/>
      <c r="N49" s="156"/>
      <c r="O49" s="76"/>
    </row>
    <row r="50" spans="1:24" ht="16" customHeight="1">
      <c r="D50" s="1"/>
      <c r="E50" s="96"/>
      <c r="F50" s="97" t="s">
        <v>147</v>
      </c>
      <c r="G50" s="76">
        <f>G49*G55</f>
        <v>0.31980669137851853</v>
      </c>
      <c r="H50" s="156"/>
      <c r="I50" s="156"/>
      <c r="J50" s="156"/>
      <c r="K50" s="156"/>
      <c r="L50" s="156"/>
      <c r="M50" s="156"/>
      <c r="N50" s="156"/>
      <c r="O50" s="76"/>
    </row>
    <row r="51" spans="1:24" ht="13" customHeight="1">
      <c r="D51" s="1"/>
      <c r="F51" s="97" t="s">
        <v>148</v>
      </c>
      <c r="G51" s="76">
        <f>S40/R40</f>
        <v>0.35402397260273971</v>
      </c>
      <c r="H51" s="156"/>
      <c r="I51" s="156"/>
      <c r="J51" s="156"/>
      <c r="K51" s="156"/>
      <c r="L51" s="156"/>
      <c r="M51" s="156"/>
      <c r="N51" s="156"/>
      <c r="O51" s="76"/>
      <c r="R51" s="91"/>
    </row>
    <row r="52" spans="1:24">
      <c r="D52" s="1"/>
      <c r="F52" s="97" t="s">
        <v>144</v>
      </c>
      <c r="G52" s="76">
        <f>G50-G51</f>
        <v>-3.4217281224221185E-2</v>
      </c>
      <c r="H52" s="156"/>
      <c r="I52" s="156"/>
      <c r="J52" s="156"/>
      <c r="K52" s="156"/>
      <c r="L52" s="156"/>
      <c r="M52" s="156"/>
      <c r="N52" s="156"/>
      <c r="O52" s="76"/>
    </row>
    <row r="53" spans="1:24">
      <c r="D53" s="1"/>
      <c r="F53" s="1"/>
      <c r="G53" s="1"/>
      <c r="O53" s="76"/>
    </row>
    <row r="54" spans="1:24">
      <c r="D54" s="1"/>
      <c r="F54" s="98" t="s">
        <v>149</v>
      </c>
      <c r="G54" s="99">
        <v>10000</v>
      </c>
      <c r="O54" s="76"/>
      <c r="U54" s="76"/>
    </row>
    <row r="55" spans="1:24" ht="16" customHeight="1">
      <c r="D55" s="1"/>
      <c r="F55" s="92" t="s">
        <v>150</v>
      </c>
      <c r="G55" s="91">
        <f>BPCA_Experimental!E25</f>
        <v>0.51</v>
      </c>
      <c r="H55" s="156" t="s">
        <v>151</v>
      </c>
      <c r="I55" s="156"/>
      <c r="J55" s="156"/>
      <c r="K55" s="156"/>
      <c r="L55" s="156"/>
      <c r="M55" s="156"/>
      <c r="N55" s="156"/>
      <c r="O55" s="76"/>
      <c r="R55" s="91"/>
    </row>
    <row r="56" spans="1:24">
      <c r="D56" s="1"/>
      <c r="E56" s="77"/>
      <c r="F56" s="92" t="s">
        <v>152</v>
      </c>
      <c r="G56" s="91">
        <f>R40/(G54-S40)</f>
        <v>0.55978912053678409</v>
      </c>
      <c r="H56" s="156"/>
      <c r="I56" s="156"/>
      <c r="J56" s="156"/>
      <c r="K56" s="156"/>
      <c r="L56" s="156"/>
      <c r="M56" s="156"/>
      <c r="N56" s="156"/>
      <c r="O56" s="76"/>
      <c r="R56" s="91"/>
    </row>
    <row r="57" spans="1:24">
      <c r="D57" s="1"/>
      <c r="H57" s="50"/>
      <c r="I57" s="50"/>
      <c r="J57" s="50"/>
      <c r="K57" s="50"/>
      <c r="L57" s="50"/>
      <c r="M57" s="50"/>
      <c r="N57" s="50"/>
      <c r="O57" s="76"/>
      <c r="R57" s="91"/>
    </row>
    <row r="58" spans="1:24">
      <c r="D58" s="1"/>
      <c r="E58" s="1"/>
      <c r="G58" s="100"/>
      <c r="H58" s="100"/>
      <c r="I58" s="100"/>
      <c r="J58" s="100"/>
      <c r="K58" s="100"/>
      <c r="L58" s="100"/>
      <c r="M58" s="100"/>
      <c r="N58" s="100"/>
      <c r="O58" s="76"/>
      <c r="P58" s="101"/>
    </row>
    <row r="59" spans="1:24">
      <c r="A59" s="7"/>
      <c r="B59" s="7"/>
      <c r="C59" s="7"/>
      <c r="D59" s="1"/>
      <c r="E59" s="102"/>
      <c r="F59" s="102"/>
      <c r="O59" s="76"/>
      <c r="P59" s="103"/>
      <c r="R59" s="102"/>
      <c r="S59" s="102"/>
      <c r="T59" s="102"/>
      <c r="U59" s="102"/>
      <c r="V59" s="104"/>
    </row>
    <row r="60" spans="1:24">
      <c r="A60" s="7"/>
      <c r="B60" s="7"/>
      <c r="C60" s="105"/>
      <c r="D60" s="1"/>
      <c r="E60" s="7"/>
      <c r="F60" s="7"/>
      <c r="H60" s="93"/>
      <c r="I60" s="93"/>
      <c r="J60" s="93"/>
      <c r="K60" s="93"/>
      <c r="L60" s="93"/>
      <c r="M60" s="93"/>
      <c r="N60" s="93"/>
      <c r="O60" s="76"/>
      <c r="R60" s="106"/>
      <c r="S60" s="106"/>
      <c r="T60" s="106"/>
      <c r="U60" s="106"/>
      <c r="V60" s="86"/>
    </row>
    <row r="61" spans="1:24">
      <c r="D61" s="1"/>
      <c r="O61" s="76"/>
      <c r="P61" s="91"/>
      <c r="T61" s="17"/>
      <c r="U61" s="17"/>
      <c r="V61" s="17"/>
      <c r="W61" s="17"/>
      <c r="X61" s="17"/>
    </row>
    <row r="62" spans="1:24">
      <c r="D62" s="1"/>
      <c r="O62" s="76"/>
      <c r="P62" s="91"/>
      <c r="R62" s="107"/>
    </row>
    <row r="63" spans="1:24" s="22" customFormat="1">
      <c r="A63" s="17"/>
      <c r="B63" s="17"/>
      <c r="C63" s="78"/>
      <c r="D63" s="1"/>
      <c r="E63" s="17"/>
      <c r="F63" s="17"/>
      <c r="G63" s="76"/>
      <c r="H63" s="76"/>
      <c r="I63" s="76"/>
      <c r="J63" s="76"/>
      <c r="K63" s="76"/>
      <c r="L63" s="76"/>
      <c r="M63" s="76"/>
      <c r="N63" s="76"/>
      <c r="O63" s="76"/>
      <c r="R63" s="17"/>
      <c r="S63" s="17"/>
      <c r="T63" s="87"/>
      <c r="U63" s="87"/>
      <c r="V63" s="88"/>
      <c r="W63" s="1"/>
      <c r="X63" s="1"/>
    </row>
    <row r="64" spans="1:24" s="22" customFormat="1">
      <c r="A64" s="17"/>
      <c r="B64" s="17"/>
      <c r="C64" s="78"/>
      <c r="D64" s="1"/>
      <c r="E64" s="17"/>
      <c r="F64" s="17"/>
      <c r="G64" s="76"/>
      <c r="H64" s="76"/>
      <c r="I64" s="76"/>
      <c r="J64" s="76"/>
      <c r="K64" s="76"/>
      <c r="L64" s="76"/>
      <c r="M64" s="76"/>
      <c r="N64" s="76"/>
      <c r="O64" s="76"/>
      <c r="R64" s="17"/>
      <c r="S64" s="17"/>
      <c r="T64" s="87"/>
      <c r="U64" s="87"/>
      <c r="V64" s="88"/>
      <c r="W64" s="1"/>
      <c r="X64" s="1"/>
    </row>
    <row r="65" spans="1:24" s="22" customFormat="1">
      <c r="A65" s="17"/>
      <c r="B65" s="17"/>
      <c r="C65" s="78"/>
      <c r="D65" s="1"/>
      <c r="E65" s="17"/>
      <c r="F65" s="17"/>
      <c r="G65" s="76"/>
      <c r="H65" s="76"/>
      <c r="I65" s="76"/>
      <c r="J65" s="76"/>
      <c r="K65" s="76"/>
      <c r="L65" s="76"/>
      <c r="M65" s="76"/>
      <c r="N65" s="76"/>
      <c r="O65" s="76"/>
      <c r="R65" s="17"/>
      <c r="S65" s="17"/>
      <c r="T65" s="87"/>
      <c r="U65" s="87"/>
      <c r="V65" s="88"/>
      <c r="W65" s="1"/>
      <c r="X65" s="1"/>
    </row>
    <row r="66" spans="1:24" s="22" customFormat="1">
      <c r="A66" s="17"/>
      <c r="B66" s="17"/>
      <c r="C66" s="78"/>
      <c r="D66" s="1"/>
      <c r="E66" s="17"/>
      <c r="F66" s="17"/>
      <c r="G66" s="76"/>
      <c r="H66" s="50"/>
      <c r="I66" s="50"/>
      <c r="J66" s="50"/>
      <c r="K66" s="50"/>
      <c r="L66" s="50"/>
      <c r="M66" s="50"/>
      <c r="N66" s="50"/>
      <c r="O66" s="76"/>
      <c r="R66" s="17"/>
      <c r="S66" s="17"/>
      <c r="T66" s="87"/>
      <c r="U66" s="87"/>
      <c r="V66" s="88"/>
      <c r="W66" s="1"/>
      <c r="X66" s="1"/>
    </row>
    <row r="67" spans="1:24" s="22" customFormat="1">
      <c r="A67" s="17"/>
      <c r="B67" s="17"/>
      <c r="C67" s="78"/>
      <c r="D67" s="1"/>
      <c r="E67" s="17"/>
      <c r="F67" s="17"/>
      <c r="G67" s="76"/>
      <c r="H67" s="76"/>
      <c r="I67" s="76"/>
      <c r="J67" s="76"/>
      <c r="K67" s="76"/>
      <c r="L67" s="76"/>
      <c r="M67" s="76"/>
      <c r="N67" s="76"/>
      <c r="O67" s="76"/>
      <c r="R67" s="17"/>
      <c r="S67" s="17"/>
      <c r="T67" s="87"/>
      <c r="U67" s="87"/>
      <c r="V67" s="88"/>
      <c r="W67" s="1"/>
      <c r="X67" s="1"/>
    </row>
    <row r="68" spans="1:24">
      <c r="D68" s="1"/>
    </row>
    <row r="69" spans="1:24" s="22" customFormat="1">
      <c r="A69" s="17"/>
      <c r="B69" s="17"/>
      <c r="C69" s="78"/>
      <c r="D69" s="1"/>
      <c r="E69" s="17"/>
      <c r="F69" s="17"/>
      <c r="G69" s="76"/>
      <c r="H69" s="76"/>
      <c r="I69" s="76"/>
      <c r="J69" s="76"/>
      <c r="K69" s="76"/>
      <c r="L69" s="76"/>
      <c r="M69" s="76"/>
      <c r="N69" s="76"/>
      <c r="O69" s="76"/>
      <c r="R69" s="17"/>
      <c r="S69" s="17"/>
      <c r="T69" s="87"/>
      <c r="U69" s="87"/>
      <c r="V69" s="88"/>
      <c r="W69" s="1"/>
      <c r="X69" s="1"/>
    </row>
    <row r="70" spans="1:24" s="22" customFormat="1">
      <c r="A70" s="17"/>
      <c r="B70" s="17"/>
      <c r="C70" s="78"/>
      <c r="D70" s="1"/>
      <c r="E70" s="17"/>
      <c r="F70" s="17"/>
      <c r="G70" s="76"/>
      <c r="H70" s="76"/>
      <c r="I70" s="76"/>
      <c r="J70" s="76"/>
      <c r="K70" s="76"/>
      <c r="L70" s="76"/>
      <c r="M70" s="76"/>
      <c r="N70" s="76"/>
      <c r="O70" s="76"/>
      <c r="R70" s="17"/>
      <c r="S70" s="17"/>
      <c r="T70" s="87"/>
      <c r="U70" s="87"/>
      <c r="V70" s="88"/>
      <c r="W70" s="1"/>
      <c r="X70" s="1"/>
    </row>
    <row r="71" spans="1:24" s="22" customFormat="1">
      <c r="A71" s="17"/>
      <c r="B71" s="17"/>
      <c r="C71" s="78"/>
      <c r="D71" s="1"/>
      <c r="E71" s="17"/>
      <c r="F71" s="17"/>
      <c r="G71" s="76"/>
      <c r="H71" s="76"/>
      <c r="I71" s="76"/>
      <c r="J71" s="76"/>
      <c r="K71" s="76"/>
      <c r="L71" s="76"/>
      <c r="M71" s="76"/>
      <c r="N71" s="76"/>
      <c r="O71" s="76"/>
      <c r="R71" s="17"/>
      <c r="S71" s="17"/>
      <c r="T71" s="87"/>
      <c r="U71" s="87"/>
      <c r="V71" s="88"/>
      <c r="W71" s="1"/>
      <c r="X71" s="1"/>
    </row>
    <row r="72" spans="1:24" s="22" customFormat="1">
      <c r="A72" s="17"/>
      <c r="B72" s="17"/>
      <c r="C72" s="78"/>
      <c r="D72" s="17"/>
      <c r="E72" s="17"/>
      <c r="F72" s="17"/>
      <c r="G72" s="76"/>
      <c r="H72" s="76"/>
      <c r="I72" s="76"/>
      <c r="J72" s="76"/>
      <c r="K72" s="76"/>
      <c r="L72" s="76"/>
      <c r="M72" s="76"/>
      <c r="N72" s="76"/>
      <c r="O72" s="76"/>
      <c r="R72" s="17"/>
      <c r="S72" s="17"/>
      <c r="T72" s="87"/>
      <c r="U72" s="87"/>
      <c r="V72" s="88"/>
      <c r="W72" s="1"/>
      <c r="X72" s="1"/>
    </row>
    <row r="73" spans="1:24" s="22" customFormat="1">
      <c r="A73" s="17"/>
      <c r="B73" s="17"/>
      <c r="C73" s="78"/>
      <c r="D73" s="17"/>
      <c r="E73" s="17"/>
      <c r="F73" s="17"/>
      <c r="G73" s="76"/>
      <c r="H73" s="76"/>
      <c r="I73" s="76"/>
      <c r="J73" s="76"/>
      <c r="K73" s="76"/>
      <c r="L73" s="76"/>
      <c r="M73" s="76"/>
      <c r="N73" s="76"/>
      <c r="O73" s="76"/>
      <c r="R73" s="17"/>
      <c r="S73" s="17"/>
      <c r="T73" s="87"/>
      <c r="U73" s="87"/>
      <c r="V73" s="88"/>
      <c r="W73" s="1"/>
      <c r="X73" s="1"/>
    </row>
    <row r="74" spans="1:24" s="22" customFormat="1">
      <c r="A74" s="17"/>
      <c r="B74" s="17"/>
      <c r="C74" s="78"/>
      <c r="D74" s="17"/>
      <c r="E74" s="17"/>
      <c r="F74" s="17"/>
      <c r="G74" s="76"/>
      <c r="H74" s="76"/>
      <c r="I74" s="76"/>
      <c r="J74" s="76"/>
      <c r="K74" s="76"/>
      <c r="L74" s="76"/>
      <c r="M74" s="76"/>
      <c r="N74" s="76"/>
      <c r="O74" s="76"/>
      <c r="R74" s="17"/>
      <c r="S74" s="17"/>
      <c r="T74" s="87"/>
      <c r="U74" s="87"/>
      <c r="V74" s="88"/>
      <c r="W74" s="1"/>
      <c r="X74" s="1"/>
    </row>
    <row r="75" spans="1:24" s="22" customFormat="1">
      <c r="A75" s="17"/>
      <c r="B75" s="17"/>
      <c r="C75" s="78"/>
      <c r="D75" s="87"/>
      <c r="E75" s="87"/>
      <c r="F75" s="17"/>
      <c r="G75" s="76"/>
      <c r="H75" s="76"/>
      <c r="I75" s="76"/>
      <c r="J75" s="76"/>
      <c r="K75" s="76"/>
      <c r="L75" s="76"/>
      <c r="M75" s="76"/>
      <c r="N75" s="76"/>
      <c r="O75" s="76"/>
      <c r="R75" s="17"/>
      <c r="S75" s="17"/>
      <c r="T75" s="87"/>
      <c r="U75" s="87"/>
      <c r="V75" s="88"/>
      <c r="W75" s="1"/>
      <c r="X75" s="1"/>
    </row>
    <row r="76" spans="1:24" s="22" customFormat="1">
      <c r="A76" s="17"/>
      <c r="B76" s="17"/>
      <c r="C76" s="78"/>
      <c r="D76" s="87"/>
      <c r="E76" s="87"/>
      <c r="F76" s="17"/>
      <c r="G76" s="76"/>
      <c r="H76" s="76"/>
      <c r="I76" s="76"/>
      <c r="J76" s="76"/>
      <c r="K76" s="76"/>
      <c r="L76" s="76"/>
      <c r="M76" s="76"/>
      <c r="N76" s="76"/>
      <c r="O76" s="76"/>
      <c r="R76" s="17"/>
      <c r="S76" s="17"/>
      <c r="T76" s="87"/>
      <c r="U76" s="87"/>
      <c r="V76" s="88"/>
      <c r="W76" s="1"/>
      <c r="X76" s="1"/>
    </row>
    <row r="77" spans="1:24" s="22" customFormat="1">
      <c r="A77" s="17"/>
      <c r="B77" s="17"/>
      <c r="C77" s="78"/>
      <c r="D77" s="17"/>
      <c r="E77" s="17"/>
      <c r="F77" s="17"/>
      <c r="G77" s="76"/>
      <c r="H77" s="76"/>
      <c r="I77" s="76"/>
      <c r="J77" s="76"/>
      <c r="K77" s="76"/>
      <c r="L77" s="76"/>
      <c r="M77" s="76"/>
      <c r="N77" s="76"/>
      <c r="O77" s="76"/>
      <c r="R77" s="17"/>
      <c r="S77" s="17"/>
      <c r="T77" s="87"/>
      <c r="U77" s="87"/>
      <c r="V77" s="88"/>
      <c r="W77" s="1"/>
      <c r="X77" s="1"/>
    </row>
    <row r="78" spans="1:24" s="22" customFormat="1">
      <c r="A78" s="17"/>
      <c r="B78" s="17"/>
      <c r="C78" s="78"/>
      <c r="D78" s="17"/>
      <c r="E78" s="17"/>
      <c r="F78" s="17"/>
      <c r="G78" s="76"/>
      <c r="H78" s="76"/>
      <c r="I78" s="76"/>
      <c r="J78" s="76"/>
      <c r="K78" s="76"/>
      <c r="L78" s="76"/>
      <c r="M78" s="76"/>
      <c r="N78" s="76"/>
      <c r="O78" s="76"/>
      <c r="R78" s="17"/>
      <c r="S78" s="17"/>
      <c r="T78" s="87"/>
      <c r="U78" s="87"/>
      <c r="V78" s="88"/>
      <c r="W78" s="1"/>
      <c r="X78" s="1"/>
    </row>
    <row r="79" spans="1:24" s="22" customFormat="1">
      <c r="A79" s="17"/>
      <c r="B79" s="17"/>
      <c r="C79" s="78"/>
      <c r="D79" s="14"/>
      <c r="E79" s="108"/>
      <c r="F79" s="17"/>
      <c r="G79" s="76"/>
      <c r="H79" s="76"/>
      <c r="I79" s="76"/>
      <c r="J79" s="76"/>
      <c r="K79" s="76"/>
      <c r="L79" s="76"/>
      <c r="M79" s="76"/>
      <c r="N79" s="76"/>
      <c r="O79" s="76"/>
      <c r="R79" s="17"/>
      <c r="S79" s="17"/>
      <c r="T79" s="87"/>
      <c r="U79" s="87"/>
      <c r="V79" s="88"/>
      <c r="W79" s="1"/>
      <c r="X79" s="1"/>
    </row>
    <row r="80" spans="1:24" s="22" customFormat="1">
      <c r="A80" s="17"/>
      <c r="B80" s="17"/>
      <c r="C80" s="78"/>
      <c r="D80" s="14"/>
      <c r="E80" s="108"/>
      <c r="F80" s="17"/>
      <c r="G80" s="76"/>
      <c r="H80" s="76"/>
      <c r="I80" s="76"/>
      <c r="J80" s="76"/>
      <c r="K80" s="76"/>
      <c r="L80" s="76"/>
      <c r="M80" s="76"/>
      <c r="N80" s="76"/>
      <c r="O80" s="17"/>
      <c r="R80" s="17"/>
      <c r="S80" s="17"/>
      <c r="T80" s="87"/>
      <c r="U80" s="87"/>
      <c r="V80" s="88"/>
      <c r="W80" s="1"/>
      <c r="X80" s="1"/>
    </row>
    <row r="81" spans="1:24" s="22" customFormat="1">
      <c r="A81" s="17"/>
      <c r="B81" s="17"/>
      <c r="C81" s="78"/>
      <c r="D81" s="14"/>
      <c r="E81" s="108"/>
      <c r="F81" s="17"/>
      <c r="G81" s="76"/>
      <c r="H81" s="76"/>
      <c r="I81" s="76"/>
      <c r="J81" s="76"/>
      <c r="K81" s="76"/>
      <c r="L81" s="76"/>
      <c r="M81" s="76"/>
      <c r="N81" s="76"/>
      <c r="O81" s="17"/>
      <c r="R81" s="17"/>
      <c r="S81" s="17"/>
      <c r="T81" s="87"/>
      <c r="U81" s="87"/>
      <c r="V81" s="88"/>
      <c r="W81" s="1"/>
      <c r="X81" s="1"/>
    </row>
    <row r="82" spans="1:24" s="22" customFormat="1">
      <c r="A82" s="17"/>
      <c r="B82" s="17"/>
      <c r="C82" s="78"/>
      <c r="D82" s="14"/>
      <c r="E82" s="108"/>
      <c r="F82" s="17"/>
      <c r="G82" s="76"/>
      <c r="H82" s="76"/>
      <c r="I82" s="76"/>
      <c r="J82" s="76"/>
      <c r="K82" s="76"/>
      <c r="L82" s="76"/>
      <c r="M82" s="76"/>
      <c r="N82" s="76"/>
      <c r="O82" s="17"/>
      <c r="R82" s="17"/>
      <c r="S82" s="17"/>
      <c r="T82" s="87"/>
      <c r="U82" s="87"/>
      <c r="V82" s="88"/>
      <c r="W82" s="1"/>
      <c r="X82" s="1"/>
    </row>
    <row r="83" spans="1:24" s="22" customFormat="1">
      <c r="A83" s="17"/>
      <c r="B83" s="17"/>
      <c r="C83" s="78"/>
      <c r="D83" s="108"/>
      <c r="E83" s="108"/>
      <c r="F83" s="17"/>
      <c r="G83" s="76"/>
      <c r="H83" s="76"/>
      <c r="I83" s="76"/>
      <c r="J83" s="76"/>
      <c r="K83" s="76"/>
      <c r="L83" s="76"/>
      <c r="M83" s="76"/>
      <c r="N83" s="76"/>
      <c r="O83" s="17"/>
      <c r="R83" s="17"/>
      <c r="S83" s="17"/>
      <c r="T83" s="87"/>
      <c r="U83" s="87"/>
      <c r="V83" s="88"/>
      <c r="W83" s="1"/>
      <c r="X83" s="1"/>
    </row>
  </sheetData>
  <mergeCells count="5">
    <mergeCell ref="H55:N56"/>
    <mergeCell ref="B2:V2"/>
    <mergeCell ref="A4:V4"/>
    <mergeCell ref="G41:N41"/>
    <mergeCell ref="H49:N52"/>
  </mergeCells>
  <hyperlinks>
    <hyperlink ref="B7" r:id="rId1" display="dibenzofuran_Si" xr:uid="{6908668B-B70B-3949-89E7-32CD9EC98D57}"/>
    <hyperlink ref="B8" r:id="rId2" display="phenalene" xr:uid="{8668DAEF-2416-1548-BA1E-9EF46AE6E51D}"/>
    <hyperlink ref="B9" r:id="rId3" display="phenanthrene" xr:uid="{B9103286-4EDC-5E4F-8971-9F6B9930B7E6}"/>
    <hyperlink ref="B10" r:id="rId4" display="anthracene" xr:uid="{8060C27E-839A-3845-98F9-2EA90D22DAB9}"/>
    <hyperlink ref="B13" r:id="rId5" display="pyrene" xr:uid="{C723DFA2-79EE-D94B-92E3-57E9115F7A46}"/>
    <hyperlink ref="B15" r:id="rId6" display="benzo[c]fluorene" xr:uid="{0C650C61-F5E2-4845-AB89-BAB00BF002EB}"/>
    <hyperlink ref="B18" r:id="rId7" display="coronene" xr:uid="{4518365D-A999-624B-BF77-2D04E231019F}"/>
    <hyperlink ref="B14" r:id="rId8" display="chrysene" xr:uid="{C5564609-93F5-7D41-8C69-478335B0B965}"/>
    <hyperlink ref="B16" r:id="rId9" display="Benz[e]acephenanthrylene" xr:uid="{4F92DE8F-DE8A-0547-AC9C-0D5C22B29801}"/>
    <hyperlink ref="B6" r:id="rId10" display="benzene" xr:uid="{6CF76626-3B64-E64A-A11D-9763EA238CEA}"/>
    <hyperlink ref="B17" r:id="rId11" display="benzo_b_fluorene" xr:uid="{FD72D7D7-E2C2-3248-BA8B-9077086265A0}"/>
    <hyperlink ref="B19" r:id="rId12" xr:uid="{1EC29352-B913-B040-9D30-3FCC45317891}"/>
    <hyperlink ref="B20" r:id="rId13" display="Benzo_a_pyrene" xr:uid="{8676FBFE-896D-7D4E-82C8-EBEFFA2346BC}"/>
    <hyperlink ref="B21" r:id="rId14" xr:uid="{2CDE49FC-C073-5D45-A163-8B9CA3057A29}"/>
    <hyperlink ref="B22" r:id="rId15" xr:uid="{3DE76BFA-0AA8-0C4A-88EB-35AFEAC7F50E}"/>
    <hyperlink ref="B23" r:id="rId16" xr:uid="{F6041834-4B44-1949-B778-490387BD2AC2}"/>
    <hyperlink ref="B25" r:id="rId17" xr:uid="{073B2368-5547-9F42-A3F8-413D388B47AE}"/>
    <hyperlink ref="B26" r:id="rId18" location="section=InChIKey" xr:uid="{AF3EDB01-5F64-E544-85AF-03059C79EA6C}"/>
    <hyperlink ref="B27" r:id="rId19" xr:uid="{31E42A18-EB6F-E04E-8EC8-FCE070AA739E}"/>
  </hyperlinks>
  <pageMargins left="0.7" right="0.7" top="0.75" bottom="0.75" header="0.3" footer="0.3"/>
  <pageSetup orientation="portrait" horizontalDpi="0" verticalDpi="0"/>
  <drawing r:id="rId2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0EBAA-0722-804E-9963-5CBF954104AC}">
  <dimension ref="A2:X83"/>
  <sheetViews>
    <sheetView topLeftCell="A39" zoomScale="82" zoomScaleNormal="100" workbookViewId="0">
      <selection activeCell="O74" sqref="O74"/>
    </sheetView>
  </sheetViews>
  <sheetFormatPr baseColWidth="10" defaultColWidth="10.83203125" defaultRowHeight="16"/>
  <cols>
    <col min="1" max="1" width="8.6640625" style="17" customWidth="1"/>
    <col min="2" max="2" width="20.33203125" style="17" bestFit="1" customWidth="1"/>
    <col min="3" max="3" width="33.6640625" style="78" customWidth="1"/>
    <col min="4" max="4" width="31.83203125" style="17" bestFit="1" customWidth="1"/>
    <col min="5" max="5" width="10.83203125" style="17" customWidth="1"/>
    <col min="6" max="6" width="20.5" style="17" bestFit="1" customWidth="1"/>
    <col min="7" max="7" width="9.6640625" style="76" bestFit="1" customWidth="1"/>
    <col min="8" max="8" width="8.6640625" style="76" bestFit="1" customWidth="1"/>
    <col min="9" max="10" width="8.6640625" style="76" hidden="1" customWidth="1"/>
    <col min="11" max="11" width="10.1640625" style="76" customWidth="1"/>
    <col min="12" max="12" width="10.5" style="76" customWidth="1"/>
    <col min="13" max="13" width="9.83203125" style="76" customWidth="1"/>
    <col min="14" max="14" width="9.6640625" style="76" customWidth="1"/>
    <col min="15" max="15" width="17.33203125" style="17" customWidth="1"/>
    <col min="16" max="17" width="16.33203125" style="22" customWidth="1"/>
    <col min="18" max="18" width="8.1640625" style="17" bestFit="1" customWidth="1"/>
    <col min="19" max="19" width="8.33203125" style="17" bestFit="1" customWidth="1"/>
    <col min="20" max="20" width="12.1640625" style="87" bestFit="1" customWidth="1"/>
    <col min="21" max="21" width="14.5" style="87" bestFit="1" customWidth="1"/>
    <col min="22" max="22" width="10.83203125" style="88"/>
    <col min="23" max="16384" width="10.83203125" style="1"/>
  </cols>
  <sheetData>
    <row r="2" spans="1:23">
      <c r="B2" s="157" t="s">
        <v>112</v>
      </c>
      <c r="C2" s="157"/>
      <c r="D2" s="157"/>
      <c r="E2" s="157"/>
      <c r="F2" s="157"/>
      <c r="G2" s="157"/>
      <c r="H2" s="157"/>
      <c r="I2" s="157"/>
      <c r="J2" s="157"/>
      <c r="K2" s="157"/>
      <c r="L2" s="157"/>
      <c r="M2" s="157"/>
      <c r="N2" s="157"/>
      <c r="O2" s="157"/>
      <c r="P2" s="157"/>
      <c r="Q2" s="157"/>
      <c r="R2" s="157"/>
      <c r="S2" s="157"/>
      <c r="T2" s="157"/>
      <c r="U2" s="157"/>
      <c r="V2" s="157"/>
    </row>
    <row r="4" spans="1:23" s="79" customFormat="1" ht="26" customHeight="1">
      <c r="A4" s="158" t="s">
        <v>113</v>
      </c>
      <c r="B4" s="158"/>
      <c r="C4" s="158"/>
      <c r="D4" s="158"/>
      <c r="E4" s="158"/>
      <c r="F4" s="158"/>
      <c r="G4" s="158"/>
      <c r="H4" s="158"/>
      <c r="I4" s="158"/>
      <c r="J4" s="158"/>
      <c r="K4" s="158"/>
      <c r="L4" s="158"/>
      <c r="M4" s="158"/>
      <c r="N4" s="158"/>
      <c r="O4" s="158"/>
      <c r="P4" s="158"/>
      <c r="Q4" s="158"/>
      <c r="R4" s="158"/>
      <c r="S4" s="158"/>
      <c r="T4" s="158"/>
      <c r="U4" s="158"/>
      <c r="V4" s="158"/>
    </row>
    <row r="5" spans="1:23" s="7" customFormat="1" ht="51">
      <c r="A5" s="15" t="s">
        <v>4</v>
      </c>
      <c r="B5" s="15" t="s">
        <v>114</v>
      </c>
      <c r="C5" s="15" t="s">
        <v>5</v>
      </c>
      <c r="D5" s="15" t="s">
        <v>95</v>
      </c>
      <c r="E5" s="15" t="s">
        <v>115</v>
      </c>
      <c r="F5" s="15" t="s">
        <v>116</v>
      </c>
      <c r="G5" s="80" t="str">
        <f>BPCA!C5</f>
        <v xml:space="preserve">B2CA-1 </v>
      </c>
      <c r="H5" s="80" t="str">
        <f>BPCA!G5</f>
        <v>B3CA-2</v>
      </c>
      <c r="I5" s="80" t="str">
        <f>BPCA!H5</f>
        <v>B3CA-3</v>
      </c>
      <c r="J5" s="80" t="str">
        <f>BPCA!I5</f>
        <v xml:space="preserve">B4CA-1 </v>
      </c>
      <c r="K5" s="80" t="str">
        <f>BPCA!J5</f>
        <v>B4CA-2</v>
      </c>
      <c r="L5" s="80" t="str">
        <f>BPCA!K5</f>
        <v>B4CA-3</v>
      </c>
      <c r="M5" s="80" t="str">
        <f>BPCA!L5</f>
        <v>B5CA</v>
      </c>
      <c r="N5" s="81" t="s">
        <v>14</v>
      </c>
      <c r="O5" s="82" t="s">
        <v>117</v>
      </c>
      <c r="P5" s="83" t="s">
        <v>118</v>
      </c>
      <c r="Q5" s="83" t="s">
        <v>160</v>
      </c>
      <c r="R5" s="84" t="s">
        <v>119</v>
      </c>
      <c r="S5" s="84" t="s">
        <v>120</v>
      </c>
      <c r="T5" s="84" t="s">
        <v>121</v>
      </c>
      <c r="U5" s="84" t="s">
        <v>122</v>
      </c>
      <c r="V5" s="85" t="s">
        <v>123</v>
      </c>
      <c r="W5" s="86"/>
    </row>
    <row r="6" spans="1:23" ht="66" customHeight="1">
      <c r="A6" s="17">
        <v>0</v>
      </c>
      <c r="B6" s="109" t="s">
        <v>124</v>
      </c>
      <c r="C6" s="77" t="e" vm="1">
        <v>#VALUE!</v>
      </c>
      <c r="D6" s="17">
        <v>6</v>
      </c>
      <c r="E6" s="17">
        <v>6</v>
      </c>
      <c r="F6" s="17">
        <v>1</v>
      </c>
      <c r="G6" s="76">
        <v>0</v>
      </c>
      <c r="H6" s="76">
        <v>0</v>
      </c>
      <c r="I6" s="76">
        <v>0</v>
      </c>
      <c r="J6" s="76">
        <v>0</v>
      </c>
      <c r="K6" s="76">
        <v>0</v>
      </c>
      <c r="L6" s="76">
        <v>0</v>
      </c>
      <c r="M6" s="76">
        <v>0</v>
      </c>
      <c r="N6" s="76">
        <v>0</v>
      </c>
      <c r="O6" s="87">
        <v>0</v>
      </c>
      <c r="P6" s="22">
        <f t="shared" ref="P6:P39" si="0">(O6/SUM(O$6:O$27)*100)</f>
        <v>0</v>
      </c>
      <c r="Q6" s="22">
        <f>IF(O6=0,0,F6*O6/O6)</f>
        <v>0</v>
      </c>
      <c r="R6" s="87">
        <f t="shared" ref="R6:R37" si="1">D6*O6</f>
        <v>0</v>
      </c>
      <c r="S6" s="87">
        <f t="shared" ref="S6:S39" si="2">E6*O6</f>
        <v>0</v>
      </c>
      <c r="T6" s="87">
        <f>(R6/$R$40*100)</f>
        <v>0</v>
      </c>
      <c r="U6" s="87">
        <f>(S6/$S$40*100)</f>
        <v>0</v>
      </c>
      <c r="V6" s="88">
        <f t="shared" ref="V6:V39" si="3">(12.011*D6)+(1.008*E6)</f>
        <v>78.114000000000004</v>
      </c>
    </row>
    <row r="7" spans="1:23" ht="82" customHeight="1">
      <c r="A7" s="17">
        <v>1</v>
      </c>
      <c r="B7" s="109" t="s">
        <v>125</v>
      </c>
      <c r="C7" s="77" t="e" vm="2">
        <v>#VALUE!</v>
      </c>
      <c r="D7" s="17">
        <v>13</v>
      </c>
      <c r="E7" s="17">
        <v>10</v>
      </c>
      <c r="F7" s="17">
        <v>2</v>
      </c>
      <c r="G7" s="76">
        <f>1</f>
        <v>1</v>
      </c>
      <c r="H7" s="76">
        <v>0</v>
      </c>
      <c r="I7" s="76">
        <v>0</v>
      </c>
      <c r="J7" s="76">
        <v>0</v>
      </c>
      <c r="K7" s="76">
        <v>0</v>
      </c>
      <c r="L7" s="76">
        <v>0</v>
      </c>
      <c r="M7" s="76">
        <v>0</v>
      </c>
      <c r="N7" s="76">
        <v>0</v>
      </c>
      <c r="O7" s="17">
        <v>0</v>
      </c>
      <c r="P7" s="22">
        <f t="shared" si="0"/>
        <v>0</v>
      </c>
      <c r="Q7" s="22">
        <f t="shared" ref="Q7:Q39" si="4">IF(O7=0,0,F7*O7/O7)</f>
        <v>0</v>
      </c>
      <c r="R7" s="87">
        <f t="shared" si="1"/>
        <v>0</v>
      </c>
      <c r="S7" s="87">
        <f t="shared" si="2"/>
        <v>0</v>
      </c>
      <c r="T7" s="87">
        <f t="shared" ref="T7:T39" si="5">(R7/$R$40*100)</f>
        <v>0</v>
      </c>
      <c r="U7" s="87">
        <f t="shared" ref="U7:U39" si="6">(S7/$S$40*100)</f>
        <v>0</v>
      </c>
      <c r="V7" s="88">
        <f t="shared" si="3"/>
        <v>166.22300000000001</v>
      </c>
    </row>
    <row r="8" spans="1:23" ht="100" customHeight="1">
      <c r="A8" s="17">
        <v>2</v>
      </c>
      <c r="B8" s="109" t="s">
        <v>126</v>
      </c>
      <c r="C8" s="77" t="e" vm="3">
        <v>#VALUE!</v>
      </c>
      <c r="D8" s="17">
        <v>13</v>
      </c>
      <c r="E8" s="17">
        <v>10</v>
      </c>
      <c r="F8" s="17">
        <v>3</v>
      </c>
      <c r="G8" s="76">
        <v>0</v>
      </c>
      <c r="H8" s="76">
        <v>1</v>
      </c>
      <c r="I8" s="76">
        <v>0</v>
      </c>
      <c r="J8" s="76">
        <v>0</v>
      </c>
      <c r="K8" s="76">
        <v>0</v>
      </c>
      <c r="L8" s="76">
        <v>0</v>
      </c>
      <c r="M8" s="76">
        <v>0</v>
      </c>
      <c r="N8" s="76">
        <v>0</v>
      </c>
      <c r="O8" s="17">
        <v>3</v>
      </c>
      <c r="P8" s="22">
        <f t="shared" si="0"/>
        <v>3.1914893617021276</v>
      </c>
      <c r="Q8" s="22">
        <f t="shared" si="4"/>
        <v>3</v>
      </c>
      <c r="R8" s="87">
        <f t="shared" si="1"/>
        <v>39</v>
      </c>
      <c r="S8" s="87">
        <f t="shared" si="2"/>
        <v>30</v>
      </c>
      <c r="T8" s="87">
        <f t="shared" si="5"/>
        <v>0.63363119415109659</v>
      </c>
      <c r="U8" s="87">
        <f t="shared" si="6"/>
        <v>1.41643059490085</v>
      </c>
      <c r="V8" s="88">
        <f t="shared" si="3"/>
        <v>166.22300000000001</v>
      </c>
    </row>
    <row r="9" spans="1:23" ht="79" customHeight="1">
      <c r="A9" s="114">
        <v>3</v>
      </c>
      <c r="B9" s="109" t="s">
        <v>127</v>
      </c>
      <c r="C9" s="77" t="e" vm="4">
        <v>#VALUE!</v>
      </c>
      <c r="D9" s="17">
        <v>14</v>
      </c>
      <c r="E9" s="17">
        <v>10</v>
      </c>
      <c r="F9" s="17">
        <v>3</v>
      </c>
      <c r="G9" s="89">
        <f>2/3</f>
        <v>0.66666666666666663</v>
      </c>
      <c r="H9" s="76">
        <v>0</v>
      </c>
      <c r="I9" s="76">
        <v>0</v>
      </c>
      <c r="J9" s="76">
        <v>0</v>
      </c>
      <c r="K9" s="76">
        <v>0</v>
      </c>
      <c r="L9" s="76">
        <f>1/3</f>
        <v>0.33333333333333331</v>
      </c>
      <c r="M9" s="76">
        <v>0</v>
      </c>
      <c r="N9" s="76">
        <v>0</v>
      </c>
      <c r="O9" s="17">
        <v>0</v>
      </c>
      <c r="P9" s="22">
        <f t="shared" si="0"/>
        <v>0</v>
      </c>
      <c r="Q9" s="22">
        <f t="shared" si="4"/>
        <v>0</v>
      </c>
      <c r="R9" s="87">
        <f t="shared" si="1"/>
        <v>0</v>
      </c>
      <c r="S9" s="87">
        <f t="shared" si="2"/>
        <v>0</v>
      </c>
      <c r="T9" s="87">
        <f t="shared" si="5"/>
        <v>0</v>
      </c>
      <c r="U9" s="87">
        <f t="shared" si="6"/>
        <v>0</v>
      </c>
      <c r="V9" s="88">
        <f t="shared" si="3"/>
        <v>178.23400000000001</v>
      </c>
    </row>
    <row r="10" spans="1:23" ht="83" customHeight="1">
      <c r="A10" s="114">
        <v>4</v>
      </c>
      <c r="B10" s="109" t="s">
        <v>20</v>
      </c>
      <c r="C10" s="77" t="e" vm="5">
        <v>#VALUE!</v>
      </c>
      <c r="D10" s="17">
        <v>14</v>
      </c>
      <c r="E10" s="17">
        <v>10</v>
      </c>
      <c r="F10" s="17">
        <v>3</v>
      </c>
      <c r="G10" s="76">
        <f>1</f>
        <v>1</v>
      </c>
      <c r="H10" s="76">
        <v>0</v>
      </c>
      <c r="I10" s="76">
        <v>0</v>
      </c>
      <c r="J10" s="76">
        <v>0</v>
      </c>
      <c r="K10" s="76">
        <v>0</v>
      </c>
      <c r="L10" s="76">
        <v>0</v>
      </c>
      <c r="M10" s="76">
        <v>0</v>
      </c>
      <c r="N10" s="76">
        <v>0</v>
      </c>
      <c r="O10" s="17">
        <v>0</v>
      </c>
      <c r="P10" s="22">
        <f t="shared" si="0"/>
        <v>0</v>
      </c>
      <c r="Q10" s="22">
        <f t="shared" si="4"/>
        <v>0</v>
      </c>
      <c r="R10" s="87">
        <f t="shared" si="1"/>
        <v>0</v>
      </c>
      <c r="S10" s="87">
        <f t="shared" si="2"/>
        <v>0</v>
      </c>
      <c r="T10" s="87">
        <f t="shared" si="5"/>
        <v>0</v>
      </c>
      <c r="U10" s="87">
        <f t="shared" si="6"/>
        <v>0</v>
      </c>
      <c r="V10" s="88">
        <f t="shared" si="3"/>
        <v>178.23400000000001</v>
      </c>
    </row>
    <row r="11" spans="1:23" ht="83" customHeight="1">
      <c r="A11" s="17">
        <v>5</v>
      </c>
      <c r="B11" s="109" t="s">
        <v>128</v>
      </c>
      <c r="C11" s="77" t="e" vm="6">
        <v>#VALUE!</v>
      </c>
      <c r="D11" s="17">
        <v>18</v>
      </c>
      <c r="E11" s="17">
        <v>12</v>
      </c>
      <c r="F11" s="17">
        <v>4</v>
      </c>
      <c r="G11" s="76">
        <f>2/4</f>
        <v>0.5</v>
      </c>
      <c r="H11" s="76">
        <v>0</v>
      </c>
      <c r="I11" s="76">
        <v>0</v>
      </c>
      <c r="J11" s="76">
        <v>0</v>
      </c>
      <c r="K11" s="76">
        <f>2/4</f>
        <v>0.5</v>
      </c>
      <c r="L11" s="76">
        <v>0</v>
      </c>
      <c r="M11" s="76">
        <v>0</v>
      </c>
      <c r="N11" s="76">
        <v>0</v>
      </c>
      <c r="O11" s="17">
        <v>0</v>
      </c>
      <c r="P11" s="22">
        <f t="shared" si="0"/>
        <v>0</v>
      </c>
      <c r="Q11" s="22">
        <f t="shared" si="4"/>
        <v>0</v>
      </c>
      <c r="R11" s="87">
        <f t="shared" si="1"/>
        <v>0</v>
      </c>
      <c r="S11" s="87">
        <f t="shared" si="2"/>
        <v>0</v>
      </c>
      <c r="T11" s="87">
        <f t="shared" si="5"/>
        <v>0</v>
      </c>
      <c r="U11" s="87">
        <f>(S11/$S$40*100)</f>
        <v>0</v>
      </c>
      <c r="V11" s="88">
        <f t="shared" si="3"/>
        <v>228.29399999999998</v>
      </c>
    </row>
    <row r="12" spans="1:23" ht="83" customHeight="1">
      <c r="A12" s="17">
        <v>6</v>
      </c>
      <c r="B12" s="109" t="s">
        <v>129</v>
      </c>
      <c r="C12" s="77" t="e" vm="7">
        <v>#VALUE!</v>
      </c>
      <c r="D12" s="17">
        <v>22</v>
      </c>
      <c r="E12" s="17">
        <v>14</v>
      </c>
      <c r="F12" s="17">
        <v>5</v>
      </c>
      <c r="G12" s="76">
        <f>2/5</f>
        <v>0.4</v>
      </c>
      <c r="H12" s="76">
        <v>0</v>
      </c>
      <c r="I12" s="76">
        <v>0</v>
      </c>
      <c r="J12" s="76">
        <v>0</v>
      </c>
      <c r="K12" s="76">
        <v>0.6</v>
      </c>
      <c r="L12" s="76">
        <v>0</v>
      </c>
      <c r="M12" s="76">
        <v>0</v>
      </c>
      <c r="N12" s="76">
        <v>0</v>
      </c>
      <c r="O12" s="17">
        <v>10</v>
      </c>
      <c r="P12" s="22">
        <f t="shared" si="0"/>
        <v>10.638297872340425</v>
      </c>
      <c r="Q12" s="22">
        <f t="shared" si="4"/>
        <v>5</v>
      </c>
      <c r="R12" s="87">
        <f t="shared" si="1"/>
        <v>220</v>
      </c>
      <c r="S12" s="87">
        <f t="shared" si="2"/>
        <v>140</v>
      </c>
      <c r="T12" s="87">
        <f t="shared" si="5"/>
        <v>3.5743298131600327</v>
      </c>
      <c r="U12" s="87">
        <f t="shared" si="6"/>
        <v>6.6100094428706333</v>
      </c>
      <c r="V12" s="88">
        <f t="shared" si="3"/>
        <v>278.35399999999998</v>
      </c>
    </row>
    <row r="13" spans="1:23" ht="91" customHeight="1">
      <c r="A13" s="114">
        <v>7</v>
      </c>
      <c r="B13" s="109" t="s">
        <v>26</v>
      </c>
      <c r="C13" s="77" t="e" vm="8">
        <v>#VALUE!</v>
      </c>
      <c r="D13" s="17">
        <v>16</v>
      </c>
      <c r="E13" s="17">
        <v>10</v>
      </c>
      <c r="F13" s="17">
        <v>4</v>
      </c>
      <c r="G13" s="76">
        <v>0</v>
      </c>
      <c r="H13" s="76">
        <f>2/4</f>
        <v>0.5</v>
      </c>
      <c r="I13" s="76">
        <v>0</v>
      </c>
      <c r="J13" s="76">
        <v>0</v>
      </c>
      <c r="K13" s="76">
        <v>0</v>
      </c>
      <c r="L13" s="76">
        <f>2/4</f>
        <v>0.5</v>
      </c>
      <c r="M13" s="76">
        <v>0</v>
      </c>
      <c r="N13" s="76">
        <v>0</v>
      </c>
      <c r="O13" s="17">
        <v>0</v>
      </c>
      <c r="P13" s="22">
        <f t="shared" si="0"/>
        <v>0</v>
      </c>
      <c r="Q13" s="22">
        <f t="shared" si="4"/>
        <v>0</v>
      </c>
      <c r="R13" s="87">
        <f t="shared" si="1"/>
        <v>0</v>
      </c>
      <c r="S13" s="87">
        <f t="shared" si="2"/>
        <v>0</v>
      </c>
      <c r="T13" s="87">
        <f t="shared" si="5"/>
        <v>0</v>
      </c>
      <c r="U13" s="87">
        <f t="shared" si="6"/>
        <v>0</v>
      </c>
      <c r="V13" s="88">
        <f t="shared" si="3"/>
        <v>202.256</v>
      </c>
    </row>
    <row r="14" spans="1:23" ht="91" customHeight="1">
      <c r="A14" s="114">
        <v>8</v>
      </c>
      <c r="B14" s="109" t="s">
        <v>25</v>
      </c>
      <c r="C14" s="77" t="e" vm="9">
        <v>#VALUE!</v>
      </c>
      <c r="D14" s="17">
        <v>18</v>
      </c>
      <c r="E14" s="17">
        <v>12</v>
      </c>
      <c r="F14" s="17">
        <v>4</v>
      </c>
      <c r="G14" s="76">
        <v>0.5</v>
      </c>
      <c r="H14" s="76">
        <v>0</v>
      </c>
      <c r="I14" s="76">
        <v>0</v>
      </c>
      <c r="J14" s="76">
        <v>0</v>
      </c>
      <c r="K14" s="76">
        <v>0</v>
      </c>
      <c r="L14" s="76">
        <v>0.5</v>
      </c>
      <c r="M14" s="76">
        <v>0</v>
      </c>
      <c r="N14" s="76">
        <v>0</v>
      </c>
      <c r="O14" s="17">
        <v>0</v>
      </c>
      <c r="P14" s="22">
        <f t="shared" si="0"/>
        <v>0</v>
      </c>
      <c r="Q14" s="22">
        <f t="shared" si="4"/>
        <v>0</v>
      </c>
      <c r="R14" s="87">
        <f t="shared" si="1"/>
        <v>0</v>
      </c>
      <c r="S14" s="87">
        <f t="shared" si="2"/>
        <v>0</v>
      </c>
      <c r="T14" s="87">
        <f t="shared" si="5"/>
        <v>0</v>
      </c>
      <c r="U14" s="87">
        <f t="shared" si="6"/>
        <v>0</v>
      </c>
      <c r="V14" s="88">
        <f t="shared" si="3"/>
        <v>228.29399999999998</v>
      </c>
    </row>
    <row r="15" spans="1:23" ht="69" customHeight="1">
      <c r="A15" s="17">
        <v>9</v>
      </c>
      <c r="B15" s="109" t="s">
        <v>130</v>
      </c>
      <c r="C15" s="77" t="e" vm="10">
        <v>#VALUE!</v>
      </c>
      <c r="D15" s="17">
        <v>17</v>
      </c>
      <c r="E15" s="17">
        <v>12</v>
      </c>
      <c r="F15" s="17">
        <v>3</v>
      </c>
      <c r="G15" s="76">
        <f>2/3</f>
        <v>0.66666666666666663</v>
      </c>
      <c r="H15" s="76">
        <v>0</v>
      </c>
      <c r="I15" s="76">
        <v>0</v>
      </c>
      <c r="J15" s="76">
        <v>0</v>
      </c>
      <c r="K15" s="76">
        <v>0</v>
      </c>
      <c r="L15" s="76">
        <f>1/3</f>
        <v>0.33333333333333331</v>
      </c>
      <c r="M15" s="76">
        <v>0</v>
      </c>
      <c r="N15" s="76">
        <v>0</v>
      </c>
      <c r="O15" s="17">
        <v>0</v>
      </c>
      <c r="P15" s="22">
        <f t="shared" si="0"/>
        <v>0</v>
      </c>
      <c r="Q15" s="22">
        <f t="shared" si="4"/>
        <v>0</v>
      </c>
      <c r="R15" s="87">
        <f t="shared" si="1"/>
        <v>0</v>
      </c>
      <c r="S15" s="87">
        <f t="shared" si="2"/>
        <v>0</v>
      </c>
      <c r="T15" s="87">
        <f t="shared" si="5"/>
        <v>0</v>
      </c>
      <c r="U15" s="87">
        <f t="shared" si="6"/>
        <v>0</v>
      </c>
      <c r="V15" s="88">
        <f t="shared" si="3"/>
        <v>216.28299999999999</v>
      </c>
    </row>
    <row r="16" spans="1:23" ht="102" customHeight="1">
      <c r="A16" s="17">
        <v>10</v>
      </c>
      <c r="B16" s="109" t="s">
        <v>131</v>
      </c>
      <c r="C16" s="77" t="e" vm="11">
        <v>#VALUE!</v>
      </c>
      <c r="D16" s="17">
        <v>20</v>
      </c>
      <c r="E16" s="17">
        <v>12</v>
      </c>
      <c r="F16" s="17">
        <v>4</v>
      </c>
      <c r="G16" s="76">
        <f>2/4</f>
        <v>0.5</v>
      </c>
      <c r="H16" s="76">
        <f>1/4</f>
        <v>0.25</v>
      </c>
      <c r="I16" s="76">
        <v>0</v>
      </c>
      <c r="J16" s="76">
        <v>0</v>
      </c>
      <c r="K16" s="76">
        <v>0</v>
      </c>
      <c r="L16" s="76">
        <v>0</v>
      </c>
      <c r="M16" s="76">
        <v>0.25</v>
      </c>
      <c r="N16" s="76">
        <v>0</v>
      </c>
      <c r="O16" s="17">
        <v>0</v>
      </c>
      <c r="P16" s="22">
        <f t="shared" si="0"/>
        <v>0</v>
      </c>
      <c r="Q16" s="22">
        <f t="shared" si="4"/>
        <v>0</v>
      </c>
      <c r="R16" s="87">
        <f t="shared" si="1"/>
        <v>0</v>
      </c>
      <c r="S16" s="87">
        <f t="shared" si="2"/>
        <v>0</v>
      </c>
      <c r="T16" s="87">
        <f t="shared" si="5"/>
        <v>0</v>
      </c>
      <c r="U16" s="87">
        <f t="shared" si="6"/>
        <v>0</v>
      </c>
      <c r="V16" s="88">
        <f t="shared" si="3"/>
        <v>252.31599999999997</v>
      </c>
    </row>
    <row r="17" spans="1:22" ht="71" customHeight="1">
      <c r="A17" s="17">
        <v>11</v>
      </c>
      <c r="B17" s="109" t="s">
        <v>132</v>
      </c>
      <c r="C17" s="77" t="e" vm="12">
        <v>#VALUE!</v>
      </c>
      <c r="D17" s="17">
        <v>17</v>
      </c>
      <c r="E17" s="17">
        <v>12</v>
      </c>
      <c r="F17" s="17">
        <v>3</v>
      </c>
      <c r="G17" s="76">
        <f>G15</f>
        <v>0.66666666666666663</v>
      </c>
      <c r="H17" s="76">
        <v>0</v>
      </c>
      <c r="I17" s="76">
        <v>0</v>
      </c>
      <c r="J17" s="76">
        <v>0</v>
      </c>
      <c r="K17" s="76">
        <v>0</v>
      </c>
      <c r="L17" s="76">
        <f>L15</f>
        <v>0.33333333333333331</v>
      </c>
      <c r="M17" s="76">
        <v>0</v>
      </c>
      <c r="N17" s="76">
        <v>0</v>
      </c>
      <c r="O17" s="17">
        <v>0</v>
      </c>
      <c r="P17" s="22">
        <f t="shared" si="0"/>
        <v>0</v>
      </c>
      <c r="Q17" s="22">
        <f t="shared" si="4"/>
        <v>0</v>
      </c>
      <c r="R17" s="87">
        <f t="shared" si="1"/>
        <v>0</v>
      </c>
      <c r="S17" s="87">
        <f t="shared" si="2"/>
        <v>0</v>
      </c>
      <c r="T17" s="87">
        <f t="shared" si="5"/>
        <v>0</v>
      </c>
      <c r="U17" s="87">
        <f t="shared" si="6"/>
        <v>0</v>
      </c>
      <c r="V17" s="88">
        <f t="shared" si="3"/>
        <v>216.28299999999999</v>
      </c>
    </row>
    <row r="18" spans="1:22" ht="117" customHeight="1">
      <c r="A18" s="114">
        <v>12</v>
      </c>
      <c r="B18" s="109" t="s">
        <v>30</v>
      </c>
      <c r="C18" s="77" t="e" vm="13">
        <v>#VALUE!</v>
      </c>
      <c r="D18" s="17">
        <v>24</v>
      </c>
      <c r="E18" s="17">
        <v>12</v>
      </c>
      <c r="F18" s="17">
        <v>7</v>
      </c>
      <c r="G18" s="76">
        <v>0</v>
      </c>
      <c r="H18" s="76">
        <v>0</v>
      </c>
      <c r="I18" s="76">
        <v>0</v>
      </c>
      <c r="J18" s="76">
        <v>0</v>
      </c>
      <c r="K18" s="76">
        <v>0</v>
      </c>
      <c r="L18" s="76">
        <f>6/7</f>
        <v>0.8571428571428571</v>
      </c>
      <c r="M18" s="76">
        <v>0</v>
      </c>
      <c r="N18" s="76">
        <f>1/7</f>
        <v>0.14285714285714285</v>
      </c>
      <c r="O18" s="17">
        <v>0</v>
      </c>
      <c r="P18" s="22">
        <f t="shared" si="0"/>
        <v>0</v>
      </c>
      <c r="Q18" s="22">
        <f t="shared" si="4"/>
        <v>0</v>
      </c>
      <c r="R18" s="87">
        <f t="shared" si="1"/>
        <v>0</v>
      </c>
      <c r="S18" s="87">
        <f t="shared" si="2"/>
        <v>0</v>
      </c>
      <c r="T18" s="87">
        <f t="shared" si="5"/>
        <v>0</v>
      </c>
      <c r="U18" s="87">
        <f t="shared" si="6"/>
        <v>0</v>
      </c>
      <c r="V18" s="88">
        <f t="shared" si="3"/>
        <v>300.36</v>
      </c>
    </row>
    <row r="19" spans="1:22" ht="93" customHeight="1">
      <c r="A19" s="114">
        <v>13</v>
      </c>
      <c r="B19" s="109" t="s">
        <v>28</v>
      </c>
      <c r="C19" s="78" t="e" vm="14">
        <v>#VALUE!</v>
      </c>
      <c r="D19" s="17">
        <v>20</v>
      </c>
      <c r="E19" s="17">
        <v>12</v>
      </c>
      <c r="F19" s="17">
        <v>5</v>
      </c>
      <c r="G19" s="76">
        <v>0</v>
      </c>
      <c r="H19" s="76">
        <f>4/5</f>
        <v>0.8</v>
      </c>
      <c r="I19" s="76">
        <v>0</v>
      </c>
      <c r="J19" s="76">
        <v>0</v>
      </c>
      <c r="K19" s="76">
        <v>0</v>
      </c>
      <c r="L19" s="76">
        <v>0</v>
      </c>
      <c r="M19" s="76">
        <v>0</v>
      </c>
      <c r="N19" s="76">
        <f>1/5</f>
        <v>0.2</v>
      </c>
      <c r="O19" s="17">
        <v>2</v>
      </c>
      <c r="P19" s="22">
        <f t="shared" si="0"/>
        <v>2.1276595744680851</v>
      </c>
      <c r="Q19" s="22">
        <f t="shared" si="4"/>
        <v>5</v>
      </c>
      <c r="R19" s="87">
        <f t="shared" si="1"/>
        <v>40</v>
      </c>
      <c r="S19" s="87">
        <f t="shared" si="2"/>
        <v>24</v>
      </c>
      <c r="T19" s="87">
        <f t="shared" si="5"/>
        <v>0.6498781478472786</v>
      </c>
      <c r="U19" s="87">
        <f t="shared" si="6"/>
        <v>1.1331444759206799</v>
      </c>
      <c r="V19" s="88">
        <f t="shared" si="3"/>
        <v>252.31599999999997</v>
      </c>
    </row>
    <row r="20" spans="1:22" ht="95" customHeight="1">
      <c r="A20" s="17">
        <v>14</v>
      </c>
      <c r="B20" s="109" t="s">
        <v>133</v>
      </c>
      <c r="C20" s="78" t="e" vm="15">
        <v>#VALUE!</v>
      </c>
      <c r="D20" s="17">
        <v>20</v>
      </c>
      <c r="E20" s="17">
        <v>12</v>
      </c>
      <c r="F20" s="17">
        <v>5</v>
      </c>
      <c r="G20" s="76">
        <f>1/5</f>
        <v>0.2</v>
      </c>
      <c r="H20" s="76">
        <f>1/5</f>
        <v>0.2</v>
      </c>
      <c r="I20" s="76">
        <v>0</v>
      </c>
      <c r="J20" s="76">
        <v>0</v>
      </c>
      <c r="K20" s="76">
        <v>0</v>
      </c>
      <c r="L20" s="76">
        <v>0.4</v>
      </c>
      <c r="M20" s="76">
        <v>0.2</v>
      </c>
      <c r="N20" s="76">
        <v>0</v>
      </c>
      <c r="O20" s="17">
        <v>0</v>
      </c>
      <c r="P20" s="22">
        <f t="shared" si="0"/>
        <v>0</v>
      </c>
      <c r="Q20" s="22">
        <f t="shared" si="4"/>
        <v>0</v>
      </c>
      <c r="R20" s="87">
        <f t="shared" si="1"/>
        <v>0</v>
      </c>
      <c r="S20" s="87">
        <f t="shared" si="2"/>
        <v>0</v>
      </c>
      <c r="T20" s="87">
        <f t="shared" si="5"/>
        <v>0</v>
      </c>
      <c r="U20" s="87">
        <f t="shared" si="6"/>
        <v>0</v>
      </c>
      <c r="V20" s="88">
        <f t="shared" si="3"/>
        <v>252.31599999999997</v>
      </c>
    </row>
    <row r="21" spans="1:22" ht="102" customHeight="1">
      <c r="A21" s="114">
        <v>15</v>
      </c>
      <c r="B21" s="109" t="s">
        <v>134</v>
      </c>
      <c r="C21" s="78" t="e" vm="16">
        <v>#VALUE!</v>
      </c>
      <c r="D21" s="17">
        <v>22</v>
      </c>
      <c r="E21" s="17">
        <v>12</v>
      </c>
      <c r="F21" s="17">
        <v>6</v>
      </c>
      <c r="G21" s="76">
        <v>0</v>
      </c>
      <c r="H21" s="76">
        <f>2/6</f>
        <v>0.33333333333333331</v>
      </c>
      <c r="I21" s="76">
        <v>0</v>
      </c>
      <c r="J21" s="76">
        <v>0</v>
      </c>
      <c r="K21" s="76">
        <v>0</v>
      </c>
      <c r="L21" s="76">
        <f>3/6</f>
        <v>0.5</v>
      </c>
      <c r="M21" s="76">
        <v>0</v>
      </c>
      <c r="N21" s="76">
        <f>1/6</f>
        <v>0.16666666666666666</v>
      </c>
      <c r="O21" s="17">
        <v>0</v>
      </c>
      <c r="P21" s="22">
        <f t="shared" si="0"/>
        <v>0</v>
      </c>
      <c r="Q21" s="22">
        <f t="shared" si="4"/>
        <v>0</v>
      </c>
      <c r="R21" s="87">
        <f t="shared" si="1"/>
        <v>0</v>
      </c>
      <c r="S21" s="87">
        <f t="shared" si="2"/>
        <v>0</v>
      </c>
      <c r="T21" s="87">
        <f t="shared" si="5"/>
        <v>0</v>
      </c>
      <c r="U21" s="87">
        <f t="shared" si="6"/>
        <v>0</v>
      </c>
      <c r="V21" s="88">
        <f t="shared" si="3"/>
        <v>276.33799999999997</v>
      </c>
    </row>
    <row r="22" spans="1:22" ht="137" customHeight="1">
      <c r="A22" s="17">
        <v>16</v>
      </c>
      <c r="B22" s="109" t="s">
        <v>135</v>
      </c>
      <c r="C22" s="77" t="e" vm="17">
        <v>#VALUE!</v>
      </c>
      <c r="D22" s="17">
        <v>42</v>
      </c>
      <c r="E22" s="17">
        <v>16</v>
      </c>
      <c r="F22" s="17">
        <v>14</v>
      </c>
      <c r="G22" s="76">
        <v>0</v>
      </c>
      <c r="H22" s="76">
        <v>0</v>
      </c>
      <c r="I22" s="76">
        <v>0</v>
      </c>
      <c r="J22" s="76">
        <v>0</v>
      </c>
      <c r="K22" s="76">
        <v>0</v>
      </c>
      <c r="L22" s="76">
        <f>6/14</f>
        <v>0.42857142857142855</v>
      </c>
      <c r="M22" s="76">
        <f>4/14</f>
        <v>0.2857142857142857</v>
      </c>
      <c r="N22" s="76">
        <f>4/14</f>
        <v>0.2857142857142857</v>
      </c>
      <c r="O22" s="17">
        <v>0</v>
      </c>
      <c r="P22" s="22">
        <f t="shared" si="0"/>
        <v>0</v>
      </c>
      <c r="Q22" s="22">
        <f t="shared" si="4"/>
        <v>0</v>
      </c>
      <c r="R22" s="87">
        <f t="shared" si="1"/>
        <v>0</v>
      </c>
      <c r="S22" s="87">
        <f t="shared" si="2"/>
        <v>0</v>
      </c>
      <c r="T22" s="87">
        <f t="shared" si="5"/>
        <v>0</v>
      </c>
      <c r="U22" s="87">
        <f t="shared" si="6"/>
        <v>0</v>
      </c>
      <c r="V22" s="88">
        <f t="shared" si="3"/>
        <v>520.59</v>
      </c>
    </row>
    <row r="23" spans="1:22" ht="167" customHeight="1">
      <c r="A23" s="17">
        <v>17</v>
      </c>
      <c r="B23" s="109" t="s">
        <v>136</v>
      </c>
      <c r="C23" s="77" t="e" vm="18">
        <v>#VALUE!</v>
      </c>
      <c r="D23" s="17">
        <v>54</v>
      </c>
      <c r="E23" s="17">
        <v>18</v>
      </c>
      <c r="F23" s="17">
        <v>19</v>
      </c>
      <c r="G23" s="76">
        <v>0</v>
      </c>
      <c r="H23" s="76">
        <v>0</v>
      </c>
      <c r="I23" s="76">
        <v>0</v>
      </c>
      <c r="J23" s="76">
        <v>0</v>
      </c>
      <c r="K23" s="76">
        <v>0</v>
      </c>
      <c r="L23" s="76">
        <f>6/19</f>
        <v>0.31578947368421051</v>
      </c>
      <c r="M23" s="76">
        <f>6/19</f>
        <v>0.31578947368421051</v>
      </c>
      <c r="N23" s="76">
        <f>7/19</f>
        <v>0.36842105263157893</v>
      </c>
      <c r="O23" s="17">
        <v>11</v>
      </c>
      <c r="P23" s="22">
        <f t="shared" si="0"/>
        <v>11.702127659574469</v>
      </c>
      <c r="Q23" s="22">
        <f t="shared" si="4"/>
        <v>19</v>
      </c>
      <c r="R23" s="87">
        <f t="shared" si="1"/>
        <v>594</v>
      </c>
      <c r="S23" s="87">
        <f t="shared" si="2"/>
        <v>198</v>
      </c>
      <c r="T23" s="87">
        <f t="shared" si="5"/>
        <v>9.6506904955320891</v>
      </c>
      <c r="U23" s="87">
        <f t="shared" si="6"/>
        <v>9.3484419263456093</v>
      </c>
      <c r="V23" s="88">
        <f t="shared" si="3"/>
        <v>666.73799999999994</v>
      </c>
    </row>
    <row r="24" spans="1:22" ht="151" customHeight="1">
      <c r="A24" s="17">
        <v>18</v>
      </c>
      <c r="B24" s="109" t="s">
        <v>137</v>
      </c>
      <c r="C24" s="77" t="e" vm="19">
        <v>#VALUE!</v>
      </c>
      <c r="D24" s="17">
        <v>66</v>
      </c>
      <c r="E24" s="17">
        <v>20</v>
      </c>
      <c r="F24" s="17">
        <v>24</v>
      </c>
      <c r="G24" s="76">
        <v>0</v>
      </c>
      <c r="H24" s="76">
        <v>0</v>
      </c>
      <c r="I24" s="76">
        <v>0</v>
      </c>
      <c r="J24" s="76">
        <v>0</v>
      </c>
      <c r="K24" s="76">
        <v>0</v>
      </c>
      <c r="L24" s="76">
        <f>6/24</f>
        <v>0.25</v>
      </c>
      <c r="M24" s="76">
        <f>8/24</f>
        <v>0.33333333333333331</v>
      </c>
      <c r="N24" s="76">
        <f>10/24</f>
        <v>0.41666666666666669</v>
      </c>
      <c r="O24" s="17">
        <v>3</v>
      </c>
      <c r="P24" s="22">
        <f t="shared" si="0"/>
        <v>3.1914893617021276</v>
      </c>
      <c r="Q24" s="22">
        <f t="shared" si="4"/>
        <v>24</v>
      </c>
      <c r="R24" s="87">
        <f t="shared" si="1"/>
        <v>198</v>
      </c>
      <c r="S24" s="87">
        <f t="shared" si="2"/>
        <v>60</v>
      </c>
      <c r="T24" s="87">
        <f t="shared" si="5"/>
        <v>3.2168968318440294</v>
      </c>
      <c r="U24" s="87">
        <f t="shared" si="6"/>
        <v>2.8328611898017</v>
      </c>
      <c r="V24" s="88">
        <f t="shared" si="3"/>
        <v>812.88599999999997</v>
      </c>
    </row>
    <row r="25" spans="1:22" ht="151" customHeight="1">
      <c r="A25" s="17">
        <v>19</v>
      </c>
      <c r="B25" s="109" t="s">
        <v>138</v>
      </c>
      <c r="C25" s="77" t="e" vm="20">
        <v>#VALUE!</v>
      </c>
      <c r="D25" s="17">
        <v>70</v>
      </c>
      <c r="E25" s="17">
        <v>22</v>
      </c>
      <c r="F25" s="17">
        <v>25</v>
      </c>
      <c r="G25" s="76">
        <v>0</v>
      </c>
      <c r="H25" s="76">
        <f>2/25</f>
        <v>0.08</v>
      </c>
      <c r="I25" s="76">
        <v>0</v>
      </c>
      <c r="J25" s="76">
        <v>0</v>
      </c>
      <c r="K25" s="76">
        <v>0</v>
      </c>
      <c r="L25" s="76">
        <v>0.08</v>
      </c>
      <c r="M25" s="76">
        <f>12/25</f>
        <v>0.48</v>
      </c>
      <c r="N25" s="76">
        <f>9/25</f>
        <v>0.36</v>
      </c>
      <c r="O25" s="17">
        <v>62</v>
      </c>
      <c r="P25" s="22">
        <f t="shared" si="0"/>
        <v>65.957446808510639</v>
      </c>
      <c r="Q25" s="22">
        <f t="shared" si="4"/>
        <v>25</v>
      </c>
      <c r="R25" s="87">
        <f t="shared" si="1"/>
        <v>4340</v>
      </c>
      <c r="S25" s="87">
        <f t="shared" si="2"/>
        <v>1364</v>
      </c>
      <c r="T25" s="87">
        <f t="shared" si="5"/>
        <v>70.511779041429733</v>
      </c>
      <c r="U25" s="87">
        <f t="shared" si="6"/>
        <v>64.400377714825311</v>
      </c>
      <c r="V25" s="88">
        <f t="shared" si="3"/>
        <v>862.94600000000003</v>
      </c>
    </row>
    <row r="26" spans="1:22" ht="151" customHeight="1">
      <c r="A26" s="17">
        <v>20</v>
      </c>
      <c r="B26" s="109" t="s">
        <v>139</v>
      </c>
      <c r="C26" s="77" t="e" vm="21">
        <v>#VALUE!</v>
      </c>
      <c r="D26" s="17">
        <v>80</v>
      </c>
      <c r="E26" s="17">
        <f>22</f>
        <v>22</v>
      </c>
      <c r="F26" s="17">
        <v>30</v>
      </c>
      <c r="G26" s="76">
        <v>0</v>
      </c>
      <c r="H26" s="76">
        <v>0</v>
      </c>
      <c r="I26" s="76">
        <v>0</v>
      </c>
      <c r="J26" s="76">
        <v>0</v>
      </c>
      <c r="K26" s="76">
        <v>0</v>
      </c>
      <c r="L26" s="76">
        <f>6/30</f>
        <v>0.2</v>
      </c>
      <c r="M26" s="76">
        <f>10/30</f>
        <v>0.33333333333333331</v>
      </c>
      <c r="N26" s="76">
        <f>14/30</f>
        <v>0.46666666666666667</v>
      </c>
      <c r="O26" s="17">
        <v>3</v>
      </c>
      <c r="P26" s="22">
        <f t="shared" si="0"/>
        <v>3.1914893617021276</v>
      </c>
      <c r="Q26" s="22">
        <f t="shared" si="4"/>
        <v>30</v>
      </c>
      <c r="R26" s="87">
        <f t="shared" si="1"/>
        <v>240</v>
      </c>
      <c r="S26" s="87">
        <f t="shared" si="2"/>
        <v>66</v>
      </c>
      <c r="T26" s="87">
        <f t="shared" si="5"/>
        <v>3.899268887083672</v>
      </c>
      <c r="U26" s="87">
        <f t="shared" si="6"/>
        <v>3.1161473087818696</v>
      </c>
      <c r="V26" s="88">
        <f t="shared" si="3"/>
        <v>983.05599999999993</v>
      </c>
    </row>
    <row r="27" spans="1:22" ht="173" customHeight="1">
      <c r="A27" s="17">
        <v>21</v>
      </c>
      <c r="B27" s="110" t="s">
        <v>140</v>
      </c>
      <c r="C27" s="77" t="e" vm="22">
        <v>#VALUE!</v>
      </c>
      <c r="D27" s="17">
        <v>84</v>
      </c>
      <c r="E27" s="17">
        <v>24</v>
      </c>
      <c r="F27" s="17">
        <v>31</v>
      </c>
      <c r="G27" s="76">
        <v>0</v>
      </c>
      <c r="H27" s="76">
        <v>0</v>
      </c>
      <c r="I27" s="76">
        <v>0</v>
      </c>
      <c r="J27" s="76">
        <v>0</v>
      </c>
      <c r="K27" s="76">
        <v>0</v>
      </c>
      <c r="L27" s="76">
        <f>(31-18)/31</f>
        <v>0.41935483870967744</v>
      </c>
      <c r="M27" s="76">
        <v>0</v>
      </c>
      <c r="N27" s="76">
        <f>18/31</f>
        <v>0.58064516129032262</v>
      </c>
      <c r="O27" s="17">
        <v>0</v>
      </c>
      <c r="P27" s="22">
        <f t="shared" si="0"/>
        <v>0</v>
      </c>
      <c r="Q27" s="22">
        <f t="shared" si="4"/>
        <v>0</v>
      </c>
      <c r="R27" s="87">
        <f t="shared" si="1"/>
        <v>0</v>
      </c>
      <c r="S27" s="87">
        <f t="shared" si="2"/>
        <v>0</v>
      </c>
      <c r="T27" s="87">
        <f t="shared" si="5"/>
        <v>0</v>
      </c>
      <c r="U27" s="87">
        <f t="shared" si="6"/>
        <v>0</v>
      </c>
      <c r="V27" s="88">
        <f t="shared" si="3"/>
        <v>1033.116</v>
      </c>
    </row>
    <row r="28" spans="1:22" ht="136" customHeight="1">
      <c r="A28" s="17">
        <v>22</v>
      </c>
      <c r="B28" s="17" t="s">
        <v>161</v>
      </c>
      <c r="C28" s="77" t="e" vm="23">
        <v>#VALUE!</v>
      </c>
      <c r="D28" s="17">
        <f>30-11</f>
        <v>19</v>
      </c>
      <c r="E28" s="17">
        <v>11</v>
      </c>
      <c r="F28" s="17">
        <v>5</v>
      </c>
      <c r="G28" s="76">
        <v>0</v>
      </c>
      <c r="H28" s="76">
        <f>2/F28</f>
        <v>0.4</v>
      </c>
      <c r="K28" s="76">
        <v>0</v>
      </c>
      <c r="L28" s="76">
        <f>2/F28</f>
        <v>0.4</v>
      </c>
      <c r="M28" s="76">
        <f>1/F28</f>
        <v>0.2</v>
      </c>
      <c r="N28" s="76">
        <v>0</v>
      </c>
      <c r="O28" s="17">
        <v>0</v>
      </c>
      <c r="P28" s="22">
        <f t="shared" si="0"/>
        <v>0</v>
      </c>
      <c r="Q28" s="22">
        <f t="shared" si="4"/>
        <v>0</v>
      </c>
      <c r="R28" s="87">
        <f t="shared" si="1"/>
        <v>0</v>
      </c>
      <c r="S28" s="87">
        <f t="shared" si="2"/>
        <v>0</v>
      </c>
      <c r="T28" s="87">
        <f t="shared" si="5"/>
        <v>0</v>
      </c>
      <c r="U28" s="87">
        <f t="shared" si="6"/>
        <v>0</v>
      </c>
      <c r="V28" s="88">
        <f t="shared" si="3"/>
        <v>239.29699999999997</v>
      </c>
    </row>
    <row r="29" spans="1:22" ht="119" customHeight="1">
      <c r="A29" s="17">
        <v>23</v>
      </c>
      <c r="B29" s="17" t="s">
        <v>162</v>
      </c>
      <c r="C29" s="77" t="e" vm="24">
        <v>#VALUE!</v>
      </c>
      <c r="D29" s="17">
        <f>41-14</f>
        <v>27</v>
      </c>
      <c r="E29" s="17">
        <v>14</v>
      </c>
      <c r="F29" s="17">
        <v>8</v>
      </c>
      <c r="G29" s="76">
        <v>0</v>
      </c>
      <c r="H29" s="76">
        <f>1/F29</f>
        <v>0.125</v>
      </c>
      <c r="K29" s="76">
        <v>0</v>
      </c>
      <c r="L29" s="76">
        <f>4/F29</f>
        <v>0.5</v>
      </c>
      <c r="M29" s="76">
        <f>2/F29</f>
        <v>0.25</v>
      </c>
      <c r="N29" s="76">
        <f>1/F29</f>
        <v>0.125</v>
      </c>
      <c r="O29" s="17">
        <v>7</v>
      </c>
      <c r="P29" s="22">
        <f t="shared" si="0"/>
        <v>7.4468085106382977</v>
      </c>
      <c r="Q29" s="22">
        <f t="shared" si="4"/>
        <v>8</v>
      </c>
      <c r="R29" s="87">
        <f t="shared" si="1"/>
        <v>189</v>
      </c>
      <c r="S29" s="87">
        <f t="shared" si="2"/>
        <v>98</v>
      </c>
      <c r="T29" s="87">
        <f t="shared" si="5"/>
        <v>3.0706742485783916</v>
      </c>
      <c r="U29" s="87">
        <f t="shared" si="6"/>
        <v>4.6270066100094436</v>
      </c>
      <c r="V29" s="88">
        <f t="shared" si="3"/>
        <v>338.40899999999999</v>
      </c>
    </row>
    <row r="30" spans="1:22" ht="114" customHeight="1">
      <c r="A30" s="17">
        <v>24</v>
      </c>
      <c r="B30" s="17" t="s">
        <v>163</v>
      </c>
      <c r="C30" s="77" t="e" vm="25">
        <v>#VALUE!</v>
      </c>
      <c r="D30" s="17">
        <f>45-15</f>
        <v>30</v>
      </c>
      <c r="E30" s="17">
        <v>15</v>
      </c>
      <c r="F30" s="17">
        <v>9</v>
      </c>
      <c r="G30" s="76">
        <v>0</v>
      </c>
      <c r="H30" s="76">
        <f>2/F30</f>
        <v>0.22222222222222221</v>
      </c>
      <c r="K30" s="76">
        <v>0</v>
      </c>
      <c r="L30" s="76">
        <f>3/F30</f>
        <v>0.33333333333333331</v>
      </c>
      <c r="M30" s="76">
        <f>2/F30</f>
        <v>0.22222222222222221</v>
      </c>
      <c r="N30" s="76">
        <f>2/F30</f>
        <v>0.22222222222222221</v>
      </c>
      <c r="O30" s="17">
        <v>3</v>
      </c>
      <c r="P30" s="22">
        <f t="shared" si="0"/>
        <v>3.1914893617021276</v>
      </c>
      <c r="Q30" s="22">
        <f t="shared" si="4"/>
        <v>9</v>
      </c>
      <c r="R30" s="87">
        <f t="shared" si="1"/>
        <v>90</v>
      </c>
      <c r="S30" s="87">
        <f t="shared" si="2"/>
        <v>45</v>
      </c>
      <c r="T30" s="87">
        <f t="shared" si="5"/>
        <v>1.4622258326563771</v>
      </c>
      <c r="U30" s="87">
        <f t="shared" si="6"/>
        <v>2.1246458923512748</v>
      </c>
      <c r="V30" s="88">
        <f t="shared" si="3"/>
        <v>375.45</v>
      </c>
    </row>
    <row r="31" spans="1:22" ht="151" customHeight="1">
      <c r="A31" s="17">
        <v>25</v>
      </c>
      <c r="B31" s="17" t="s">
        <v>164</v>
      </c>
      <c r="C31" s="77" t="e" vm="26">
        <v>#VALUE!</v>
      </c>
      <c r="D31" s="17">
        <f>50-17</f>
        <v>33</v>
      </c>
      <c r="E31" s="17">
        <v>17</v>
      </c>
      <c r="F31" s="17">
        <v>10</v>
      </c>
      <c r="G31" s="76">
        <v>0</v>
      </c>
      <c r="H31" s="76">
        <f>3/F31</f>
        <v>0.3</v>
      </c>
      <c r="K31" s="76">
        <v>0</v>
      </c>
      <c r="L31" s="76">
        <f>2/F31</f>
        <v>0.2</v>
      </c>
      <c r="M31" s="76">
        <f>2/F31</f>
        <v>0.2</v>
      </c>
      <c r="N31" s="76">
        <f>3/F31</f>
        <v>0.3</v>
      </c>
      <c r="O31" s="17">
        <v>1</v>
      </c>
      <c r="P31" s="22">
        <f t="shared" si="0"/>
        <v>1.0638297872340425</v>
      </c>
      <c r="Q31" s="22">
        <f t="shared" si="4"/>
        <v>10</v>
      </c>
      <c r="R31" s="87">
        <f t="shared" si="1"/>
        <v>33</v>
      </c>
      <c r="S31" s="87">
        <f t="shared" si="2"/>
        <v>17</v>
      </c>
      <c r="T31" s="87">
        <f t="shared" si="5"/>
        <v>0.53614947197400487</v>
      </c>
      <c r="U31" s="87">
        <f t="shared" si="6"/>
        <v>0.80264400377714828</v>
      </c>
      <c r="V31" s="88">
        <f t="shared" si="3"/>
        <v>413.49900000000002</v>
      </c>
    </row>
    <row r="32" spans="1:22" ht="173" customHeight="1">
      <c r="A32" s="17">
        <v>26</v>
      </c>
      <c r="B32" s="17" t="s">
        <v>165</v>
      </c>
      <c r="C32" s="77" t="e" vm="27">
        <v>#VALUE!</v>
      </c>
      <c r="D32" s="17">
        <f>55-19</f>
        <v>36</v>
      </c>
      <c r="E32" s="17">
        <v>19</v>
      </c>
      <c r="F32" s="17">
        <v>11</v>
      </c>
      <c r="G32" s="76">
        <v>0</v>
      </c>
      <c r="H32" s="76">
        <f>4/F32</f>
        <v>0.36363636363636365</v>
      </c>
      <c r="K32" s="76">
        <v>0</v>
      </c>
      <c r="L32" s="76">
        <f>1/F32</f>
        <v>9.0909090909090912E-2</v>
      </c>
      <c r="M32" s="76">
        <f>2/F32</f>
        <v>0.18181818181818182</v>
      </c>
      <c r="N32" s="76">
        <f>4/F32</f>
        <v>0.36363636363636365</v>
      </c>
      <c r="O32" s="17">
        <v>2</v>
      </c>
      <c r="P32" s="22">
        <f t="shared" si="0"/>
        <v>2.1276595744680851</v>
      </c>
      <c r="Q32" s="22">
        <f t="shared" si="4"/>
        <v>11</v>
      </c>
      <c r="R32" s="87">
        <f t="shared" si="1"/>
        <v>72</v>
      </c>
      <c r="S32" s="87">
        <f t="shared" si="2"/>
        <v>38</v>
      </c>
      <c r="T32" s="87">
        <f t="shared" si="5"/>
        <v>1.1697806661251016</v>
      </c>
      <c r="U32" s="87">
        <f t="shared" si="6"/>
        <v>1.7941454202077429</v>
      </c>
      <c r="V32" s="88">
        <f t="shared" si="3"/>
        <v>451.54799999999994</v>
      </c>
    </row>
    <row r="33" spans="1:22" ht="213" customHeight="1">
      <c r="A33" s="17">
        <v>27</v>
      </c>
      <c r="B33" s="17" t="s">
        <v>166</v>
      </c>
      <c r="C33" s="77" t="e" vm="28">
        <v>#VALUE!</v>
      </c>
      <c r="D33" s="17">
        <f>60-21</f>
        <v>39</v>
      </c>
      <c r="E33" s="17">
        <v>21</v>
      </c>
      <c r="F33" s="17">
        <v>12</v>
      </c>
      <c r="G33" s="76">
        <v>0</v>
      </c>
      <c r="H33" s="76">
        <f>5/F33</f>
        <v>0.41666666666666669</v>
      </c>
      <c r="K33" s="76">
        <v>0</v>
      </c>
      <c r="L33" s="76">
        <f>0</f>
        <v>0</v>
      </c>
      <c r="M33" s="76">
        <f>2/F33</f>
        <v>0.16666666666666666</v>
      </c>
      <c r="N33" s="76">
        <f>5/F33</f>
        <v>0.41666666666666669</v>
      </c>
      <c r="O33" s="17">
        <v>0</v>
      </c>
      <c r="P33" s="22">
        <f t="shared" si="0"/>
        <v>0</v>
      </c>
      <c r="Q33" s="22">
        <f t="shared" si="4"/>
        <v>0</v>
      </c>
      <c r="R33" s="87">
        <f t="shared" si="1"/>
        <v>0</v>
      </c>
      <c r="S33" s="87">
        <f t="shared" si="2"/>
        <v>0</v>
      </c>
      <c r="T33" s="87">
        <f t="shared" si="5"/>
        <v>0</v>
      </c>
      <c r="U33" s="87">
        <f t="shared" si="6"/>
        <v>0</v>
      </c>
      <c r="V33" s="88">
        <f t="shared" si="3"/>
        <v>489.59699999999998</v>
      </c>
    </row>
    <row r="34" spans="1:22" ht="238" customHeight="1">
      <c r="A34" s="17">
        <v>28</v>
      </c>
      <c r="B34" s="17" t="s">
        <v>167</v>
      </c>
      <c r="C34" s="77" t="e" vm="29">
        <v>#VALUE!</v>
      </c>
      <c r="D34" s="17">
        <f>65-23</f>
        <v>42</v>
      </c>
      <c r="E34" s="17">
        <v>23</v>
      </c>
      <c r="F34" s="17">
        <v>13</v>
      </c>
      <c r="G34" s="76">
        <v>0</v>
      </c>
      <c r="H34" s="76">
        <f>6/F34</f>
        <v>0.46153846153846156</v>
      </c>
      <c r="K34" s="76">
        <v>0</v>
      </c>
      <c r="L34" s="76">
        <v>0</v>
      </c>
      <c r="M34" s="76">
        <v>0</v>
      </c>
      <c r="N34" s="76">
        <f t="shared" ref="N34:N39" si="7">7/F34</f>
        <v>0.53846153846153844</v>
      </c>
      <c r="O34" s="17">
        <v>0</v>
      </c>
      <c r="P34" s="22">
        <f t="shared" si="0"/>
        <v>0</v>
      </c>
      <c r="Q34" s="22">
        <f t="shared" si="4"/>
        <v>0</v>
      </c>
      <c r="R34" s="87">
        <f t="shared" si="1"/>
        <v>0</v>
      </c>
      <c r="S34" s="87">
        <f t="shared" si="2"/>
        <v>0</v>
      </c>
      <c r="T34" s="87">
        <f t="shared" si="5"/>
        <v>0</v>
      </c>
      <c r="U34" s="87">
        <f t="shared" si="6"/>
        <v>0</v>
      </c>
      <c r="V34" s="88">
        <f t="shared" si="3"/>
        <v>527.64599999999996</v>
      </c>
    </row>
    <row r="35" spans="1:22" ht="204" customHeight="1">
      <c r="A35" s="17">
        <v>29</v>
      </c>
      <c r="B35" s="17" t="s">
        <v>169</v>
      </c>
      <c r="C35" s="77" t="e" vm="30">
        <v>#VALUE!</v>
      </c>
      <c r="D35" s="17">
        <f>66-22</f>
        <v>44</v>
      </c>
      <c r="E35" s="17">
        <v>22</v>
      </c>
      <c r="F35" s="17">
        <v>14</v>
      </c>
      <c r="G35" s="76">
        <v>0</v>
      </c>
      <c r="H35" s="76">
        <f>4/F35</f>
        <v>0.2857142857142857</v>
      </c>
      <c r="K35" s="76">
        <v>0</v>
      </c>
      <c r="L35" s="76">
        <f>3/F35</f>
        <v>0.21428571428571427</v>
      </c>
      <c r="M35" s="76">
        <v>0</v>
      </c>
      <c r="N35" s="76">
        <f t="shared" si="7"/>
        <v>0.5</v>
      </c>
      <c r="O35" s="17">
        <v>0</v>
      </c>
      <c r="P35" s="22">
        <f t="shared" si="0"/>
        <v>0</v>
      </c>
      <c r="Q35" s="22">
        <f t="shared" si="4"/>
        <v>0</v>
      </c>
      <c r="R35" s="87">
        <f t="shared" si="1"/>
        <v>0</v>
      </c>
      <c r="S35" s="87">
        <f t="shared" si="2"/>
        <v>0</v>
      </c>
      <c r="T35" s="87">
        <f t="shared" si="5"/>
        <v>0</v>
      </c>
      <c r="U35" s="87">
        <f t="shared" si="6"/>
        <v>0</v>
      </c>
      <c r="V35" s="88">
        <f t="shared" si="3"/>
        <v>550.66</v>
      </c>
    </row>
    <row r="36" spans="1:22" ht="171" customHeight="1">
      <c r="A36" s="17">
        <v>30</v>
      </c>
      <c r="B36" s="17" t="s">
        <v>168</v>
      </c>
      <c r="C36" s="77" t="e" vm="31">
        <v>#VALUE!</v>
      </c>
      <c r="D36" s="17">
        <f>67-21</f>
        <v>46</v>
      </c>
      <c r="E36" s="17">
        <v>21</v>
      </c>
      <c r="F36" s="17">
        <v>15</v>
      </c>
      <c r="G36" s="76">
        <v>0</v>
      </c>
      <c r="H36" s="76">
        <f>3/F36</f>
        <v>0.2</v>
      </c>
      <c r="K36" s="76">
        <v>0</v>
      </c>
      <c r="L36" s="76">
        <f>4/F36</f>
        <v>0.26666666666666666</v>
      </c>
      <c r="M36" s="76">
        <f>1/F36</f>
        <v>6.6666666666666666E-2</v>
      </c>
      <c r="N36" s="76">
        <f t="shared" si="7"/>
        <v>0.46666666666666667</v>
      </c>
      <c r="O36" s="17">
        <v>0</v>
      </c>
      <c r="P36" s="22">
        <f t="shared" si="0"/>
        <v>0</v>
      </c>
      <c r="Q36" s="22">
        <f t="shared" si="4"/>
        <v>0</v>
      </c>
      <c r="R36" s="87">
        <f t="shared" si="1"/>
        <v>0</v>
      </c>
      <c r="S36" s="87">
        <f t="shared" si="2"/>
        <v>0</v>
      </c>
      <c r="T36" s="87">
        <f t="shared" si="5"/>
        <v>0</v>
      </c>
      <c r="U36" s="87">
        <f t="shared" si="6"/>
        <v>0</v>
      </c>
      <c r="V36" s="88">
        <f t="shared" si="3"/>
        <v>573.67399999999998</v>
      </c>
    </row>
    <row r="37" spans="1:22" ht="202" customHeight="1">
      <c r="A37" s="17">
        <v>31</v>
      </c>
      <c r="B37" s="17" t="s">
        <v>170</v>
      </c>
      <c r="C37" s="77" t="e" vm="32">
        <v>#VALUE!</v>
      </c>
      <c r="D37" s="17">
        <f>69-21</f>
        <v>48</v>
      </c>
      <c r="E37" s="17">
        <v>21</v>
      </c>
      <c r="F37" s="17">
        <v>16</v>
      </c>
      <c r="G37" s="76">
        <f>0</f>
        <v>0</v>
      </c>
      <c r="H37" s="76">
        <f>2/F37</f>
        <v>0.125</v>
      </c>
      <c r="K37" s="76">
        <v>0</v>
      </c>
      <c r="L37" s="76">
        <f>5/F37</f>
        <v>0.3125</v>
      </c>
      <c r="M37" s="76">
        <f>2/F37</f>
        <v>0.125</v>
      </c>
      <c r="N37" s="76">
        <f t="shared" si="7"/>
        <v>0.4375</v>
      </c>
      <c r="O37" s="17">
        <v>0</v>
      </c>
      <c r="P37" s="22">
        <f t="shared" si="0"/>
        <v>0</v>
      </c>
      <c r="Q37" s="22">
        <f t="shared" si="4"/>
        <v>0</v>
      </c>
      <c r="R37" s="87">
        <f t="shared" si="1"/>
        <v>0</v>
      </c>
      <c r="S37" s="87">
        <f t="shared" si="2"/>
        <v>0</v>
      </c>
      <c r="T37" s="87">
        <f t="shared" si="5"/>
        <v>0</v>
      </c>
      <c r="U37" s="87">
        <f t="shared" si="6"/>
        <v>0</v>
      </c>
      <c r="V37" s="88">
        <f t="shared" si="3"/>
        <v>597.69600000000003</v>
      </c>
    </row>
    <row r="38" spans="1:22" ht="198" customHeight="1">
      <c r="A38" s="17">
        <v>32</v>
      </c>
      <c r="B38" s="17" t="s">
        <v>171</v>
      </c>
      <c r="C38" s="77" t="e" vm="33">
        <v>#VALUE!</v>
      </c>
      <c r="D38" s="17">
        <f>69-19</f>
        <v>50</v>
      </c>
      <c r="E38" s="17">
        <v>19</v>
      </c>
      <c r="F38" s="17">
        <v>17</v>
      </c>
      <c r="G38" s="76">
        <v>0</v>
      </c>
      <c r="H38" s="76">
        <f>1/F38</f>
        <v>5.8823529411764705E-2</v>
      </c>
      <c r="K38" s="76">
        <v>0</v>
      </c>
      <c r="L38" s="76">
        <f>6/F38</f>
        <v>0.35294117647058826</v>
      </c>
      <c r="M38" s="76">
        <f>3/F38</f>
        <v>0.17647058823529413</v>
      </c>
      <c r="N38" s="76">
        <f t="shared" si="7"/>
        <v>0.41176470588235292</v>
      </c>
      <c r="O38" s="17">
        <v>2</v>
      </c>
      <c r="P38" s="22">
        <f t="shared" si="0"/>
        <v>2.1276595744680851</v>
      </c>
      <c r="Q38" s="22">
        <f t="shared" si="4"/>
        <v>17</v>
      </c>
      <c r="R38" s="87">
        <f>D38*O38</f>
        <v>100</v>
      </c>
      <c r="S38" s="87">
        <f t="shared" si="2"/>
        <v>38</v>
      </c>
      <c r="T38" s="87">
        <f t="shared" si="5"/>
        <v>1.6246953696181965</v>
      </c>
      <c r="U38" s="87">
        <f t="shared" si="6"/>
        <v>1.7941454202077429</v>
      </c>
      <c r="V38" s="88">
        <f t="shared" si="3"/>
        <v>619.702</v>
      </c>
    </row>
    <row r="39" spans="1:22" ht="202" customHeight="1">
      <c r="A39" s="17">
        <v>33</v>
      </c>
      <c r="B39" s="17" t="s">
        <v>172</v>
      </c>
      <c r="C39" s="77" t="e" vm="34">
        <v>#VALUE!</v>
      </c>
      <c r="D39" s="17">
        <f>70-18</f>
        <v>52</v>
      </c>
      <c r="E39" s="17">
        <v>18</v>
      </c>
      <c r="F39" s="17">
        <v>18</v>
      </c>
      <c r="G39" s="76">
        <v>0</v>
      </c>
      <c r="H39" s="76">
        <v>0</v>
      </c>
      <c r="K39" s="76">
        <v>0</v>
      </c>
      <c r="L39" s="76">
        <f>7/F39</f>
        <v>0.3888888888888889</v>
      </c>
      <c r="M39" s="76">
        <f>4/F39</f>
        <v>0.22222222222222221</v>
      </c>
      <c r="N39" s="76">
        <f t="shared" si="7"/>
        <v>0.3888888888888889</v>
      </c>
      <c r="O39" s="17">
        <v>0</v>
      </c>
      <c r="P39" s="22">
        <f t="shared" si="0"/>
        <v>0</v>
      </c>
      <c r="Q39" s="22">
        <f t="shared" si="4"/>
        <v>0</v>
      </c>
      <c r="R39" s="87">
        <f>D39*O39</f>
        <v>0</v>
      </c>
      <c r="S39" s="87">
        <f t="shared" si="2"/>
        <v>0</v>
      </c>
      <c r="T39" s="87">
        <f t="shared" si="5"/>
        <v>0</v>
      </c>
      <c r="U39" s="87">
        <f t="shared" si="6"/>
        <v>0</v>
      </c>
      <c r="V39" s="88">
        <f t="shared" si="3"/>
        <v>642.71600000000001</v>
      </c>
    </row>
    <row r="40" spans="1:22">
      <c r="B40" s="111"/>
      <c r="C40" s="77"/>
      <c r="D40" s="1"/>
      <c r="G40" s="76">
        <f>G6*$O$6+G11*$O$11+G12*$O$12+G7*$O$7+G8*$O$8+G9*$O9+G10*$O$10+G13*$O$13+G14*$O$14+G15*$O$15+G16*$O$16+G17*$O$17+G18*$O$18+G19*$O$19+G20*$O$20+G21*$O$21+G22*$O$22+G23*$O$23+G24*$O$24+G25*$O$25+G26*$O$26+G27*$O$27+G28*$O$28+G29*$O$29+G30*$O$30+G31*$O$31+G32*$O$32+G33*$O$33+G34*$O$34+G35*$O$35+G36*$O$36+G37*$O$37+G38*$O$38+G39*$O$39</f>
        <v>4</v>
      </c>
      <c r="H40" s="76">
        <f t="shared" ref="H40:N40" si="8">H6*$O$6+H11*$O$11+H12*$O$12+H7*$O$7+H8*$O$8+H9*$O9+H10*$O$10+H13*$O$13+H14*$O$14+H15*$O$15+H16*$O$16+H17*$O$17+H18*$O$18+H19*$O$19+H20*$O$20+H21*$O$21+H22*$O$22+H23*$O$23+H24*$O$24+H25*$O$25+H26*$O$26+H27*$O$27+H28*$O$28+H29*$O$29+H30*$O$30+H31*$O$31+H32*$O$32+H33*$O$33+H34*$O$34+H35*$O$35+H36*$O$36+H37*$O$37+H38*$O$38+H39*$O$39</f>
        <v>12.246586452762921</v>
      </c>
      <c r="I40" s="76">
        <f t="shared" si="8"/>
        <v>0</v>
      </c>
      <c r="J40" s="76">
        <f t="shared" si="8"/>
        <v>0</v>
      </c>
      <c r="K40" s="76">
        <f t="shared" si="8"/>
        <v>6</v>
      </c>
      <c r="L40" s="76">
        <f t="shared" si="8"/>
        <v>15.371384745285672</v>
      </c>
      <c r="M40" s="76">
        <f t="shared" si="8"/>
        <v>38.566928417299934</v>
      </c>
      <c r="N40" s="76">
        <f t="shared" si="8"/>
        <v>32.815100384651466</v>
      </c>
      <c r="O40" s="87">
        <f>SUM(O6:O39)</f>
        <v>109</v>
      </c>
      <c r="P40" s="22">
        <f>SUM(P6:P27)</f>
        <v>100</v>
      </c>
      <c r="Q40" s="22">
        <f>ROUND(AVERAGEIF(Q6:Q39,"&gt;0"),0)</f>
        <v>14</v>
      </c>
      <c r="R40" s="87">
        <f>SUM(R6:R39)</f>
        <v>6155</v>
      </c>
      <c r="S40" s="87">
        <f>SUM(S6:S39)</f>
        <v>2118</v>
      </c>
    </row>
    <row r="41" spans="1:22">
      <c r="C41" s="77"/>
      <c r="D41" s="1"/>
      <c r="F41" s="90" t="s">
        <v>141</v>
      </c>
      <c r="G41" s="159">
        <f>SUM(G40:N40)</f>
        <v>109</v>
      </c>
      <c r="H41" s="159"/>
      <c r="I41" s="159"/>
      <c r="J41" s="159"/>
      <c r="K41" s="159"/>
      <c r="L41" s="159"/>
      <c r="M41" s="159"/>
      <c r="N41" s="159"/>
      <c r="O41" s="76"/>
    </row>
    <row r="42" spans="1:22">
      <c r="C42" s="77"/>
      <c r="D42" s="1"/>
      <c r="F42" s="90"/>
      <c r="G42" s="84" t="s">
        <v>58</v>
      </c>
      <c r="H42" s="84" t="s">
        <v>18</v>
      </c>
      <c r="I42" s="84" t="s">
        <v>11</v>
      </c>
      <c r="J42" s="84" t="s">
        <v>60</v>
      </c>
      <c r="K42" s="84" t="s">
        <v>12</v>
      </c>
      <c r="L42" s="84" t="s">
        <v>19</v>
      </c>
      <c r="M42" s="84" t="s">
        <v>13</v>
      </c>
      <c r="N42" s="84" t="s">
        <v>14</v>
      </c>
      <c r="O42" s="76"/>
    </row>
    <row r="43" spans="1:22">
      <c r="C43" s="77"/>
      <c r="D43" s="1"/>
      <c r="F43" s="49" t="s">
        <v>142</v>
      </c>
      <c r="G43" s="91">
        <f>G40/$G$41</f>
        <v>3.669724770642202E-2</v>
      </c>
      <c r="H43" s="91">
        <f>H40/$G$41</f>
        <v>0.11235400415378827</v>
      </c>
      <c r="I43" s="91">
        <f t="shared" ref="I43:K43" si="9">I40/$G$41</f>
        <v>0</v>
      </c>
      <c r="J43" s="91">
        <f t="shared" si="9"/>
        <v>0</v>
      </c>
      <c r="K43" s="91">
        <f t="shared" si="9"/>
        <v>5.5045871559633031E-2</v>
      </c>
      <c r="L43" s="91">
        <f>L40/$G$41</f>
        <v>0.14102187839711625</v>
      </c>
      <c r="M43" s="91">
        <f>M40/$G$41</f>
        <v>0.35382503135137555</v>
      </c>
      <c r="N43" s="91">
        <f>N40/$G$41</f>
        <v>0.3010559668316648</v>
      </c>
      <c r="O43" s="76"/>
      <c r="P43" s="70"/>
      <c r="R43" s="113"/>
    </row>
    <row r="44" spans="1:22">
      <c r="C44" s="77"/>
      <c r="D44" s="1"/>
      <c r="E44" s="1"/>
      <c r="F44" s="92" t="s">
        <v>21</v>
      </c>
      <c r="G44" s="91">
        <f>BPCA_Experimental!F3</f>
        <v>3.6387734810022998E-2</v>
      </c>
      <c r="H44" s="93">
        <f>BPCA_Experimental!F4+BPCA_Experimental!F5</f>
        <v>0.11050796506756461</v>
      </c>
      <c r="I44" s="93"/>
      <c r="J44" s="93"/>
      <c r="K44" s="93">
        <f>BPCA_Experimental!F6</f>
        <v>5.7585518231114477E-2</v>
      </c>
      <c r="L44" s="93">
        <f>BPCA_Experimental!F7</f>
        <v>0.14211236193881485</v>
      </c>
      <c r="M44" s="93">
        <f>BPCA_Experimental!F8</f>
        <v>0.35258252683498492</v>
      </c>
      <c r="N44" s="93">
        <f>BPCA_Experimental!F9</f>
        <v>0.30082389311749813</v>
      </c>
      <c r="O44" s="76"/>
      <c r="R44" s="1"/>
      <c r="S44" s="1"/>
    </row>
    <row r="45" spans="1:22">
      <c r="C45" s="77"/>
      <c r="D45" s="1"/>
      <c r="E45" s="1"/>
      <c r="F45" s="92" t="s">
        <v>143</v>
      </c>
      <c r="G45" s="91">
        <f>BPCA_Experimental!F17</f>
        <v>7.3890280749442793E-4</v>
      </c>
      <c r="H45" s="93">
        <f>BPCA_Experimental!F18+BPCA_Experimental!F19</f>
        <v>6.0494836438689413E-3</v>
      </c>
      <c r="I45" s="93"/>
      <c r="J45" s="93"/>
      <c r="K45" s="93">
        <f>BPCA_Experimental!F20</f>
        <v>4.44949241933013E-4</v>
      </c>
      <c r="L45" s="93">
        <f>BPCA_Experimental!F21</f>
        <v>4.3619769626533174E-3</v>
      </c>
      <c r="M45" s="93">
        <f>BPCA_Experimental!F22</f>
        <v>5.1746708639145347E-3</v>
      </c>
      <c r="N45" s="93">
        <f>BPCA_Experimental!F23</f>
        <v>5.5307433081690401E-3</v>
      </c>
      <c r="O45" s="76"/>
      <c r="S45" s="1"/>
    </row>
    <row r="46" spans="1:22">
      <c r="D46" s="1"/>
      <c r="F46" s="94" t="s">
        <v>144</v>
      </c>
      <c r="G46" s="76">
        <f>ABS(G43-G44)/G44</f>
        <v>8.5059676843024339E-3</v>
      </c>
      <c r="H46" s="76">
        <f>ABS(H43-H44)/H44</f>
        <v>1.670503194131746E-2</v>
      </c>
      <c r="K46" s="76">
        <f>ABS(K43-K44)/K44</f>
        <v>4.4102176197994697E-2</v>
      </c>
      <c r="L46" s="76">
        <f>ABS(L43-L44)/L44</f>
        <v>7.6733897517522317E-3</v>
      </c>
      <c r="M46" s="76">
        <f>ABS(M43-M44)/M44</f>
        <v>3.5240104708085689E-3</v>
      </c>
      <c r="N46" s="76">
        <f>ABS(N43-N44)/N44</f>
        <v>7.7146037757055551E-4</v>
      </c>
      <c r="O46" s="76"/>
    </row>
    <row r="47" spans="1:22">
      <c r="D47" s="1"/>
      <c r="E47" s="95"/>
      <c r="F47" s="92"/>
      <c r="O47" s="76"/>
    </row>
    <row r="48" spans="1:22">
      <c r="D48" s="1"/>
      <c r="E48" s="77"/>
      <c r="F48" s="94" t="s">
        <v>159</v>
      </c>
      <c r="G48" s="87">
        <f>Q40</f>
        <v>14</v>
      </c>
      <c r="O48" s="76"/>
    </row>
    <row r="49" spans="1:24" ht="16" customHeight="1">
      <c r="D49" s="1"/>
      <c r="E49" s="96"/>
      <c r="F49" s="97" t="s">
        <v>145</v>
      </c>
      <c r="G49" s="76">
        <f>BPCA_Experimental!F29</f>
        <v>0.51179732492351981</v>
      </c>
      <c r="H49" s="156" t="s">
        <v>146</v>
      </c>
      <c r="I49" s="156"/>
      <c r="J49" s="156"/>
      <c r="K49" s="156"/>
      <c r="L49" s="156"/>
      <c r="M49" s="156"/>
      <c r="N49" s="156"/>
      <c r="O49" s="76"/>
    </row>
    <row r="50" spans="1:24">
      <c r="D50" s="1"/>
      <c r="E50" s="96"/>
      <c r="F50" s="97" t="s">
        <v>147</v>
      </c>
      <c r="G50" s="76">
        <f>G49*G55</f>
        <v>0.34461019878183669</v>
      </c>
      <c r="H50" s="156"/>
      <c r="I50" s="156"/>
      <c r="J50" s="156"/>
      <c r="K50" s="156"/>
      <c r="L50" s="156"/>
      <c r="M50" s="156"/>
      <c r="N50" s="156"/>
      <c r="O50" s="76"/>
    </row>
    <row r="51" spans="1:24" ht="13" customHeight="1">
      <c r="D51" s="1"/>
      <c r="F51" s="97" t="s">
        <v>148</v>
      </c>
      <c r="G51" s="76">
        <f>S40/R40</f>
        <v>0.34411047928513405</v>
      </c>
      <c r="H51" s="156"/>
      <c r="I51" s="156"/>
      <c r="J51" s="156"/>
      <c r="K51" s="156"/>
      <c r="L51" s="156"/>
      <c r="M51" s="156"/>
      <c r="N51" s="156"/>
      <c r="O51" s="76"/>
      <c r="R51" s="91"/>
    </row>
    <row r="52" spans="1:24">
      <c r="D52" s="1"/>
      <c r="F52" s="97" t="s">
        <v>144</v>
      </c>
      <c r="G52" s="76">
        <f>G50-G51</f>
        <v>4.9971949670263305E-4</v>
      </c>
      <c r="H52" s="156"/>
      <c r="I52" s="156"/>
      <c r="J52" s="156"/>
      <c r="K52" s="156"/>
      <c r="L52" s="156"/>
      <c r="M52" s="156"/>
      <c r="N52" s="156"/>
      <c r="O52" s="76"/>
    </row>
    <row r="53" spans="1:24">
      <c r="D53" s="1"/>
      <c r="F53" s="1"/>
      <c r="G53" s="1"/>
      <c r="O53" s="76"/>
    </row>
    <row r="54" spans="1:24">
      <c r="D54" s="1"/>
      <c r="F54" s="98" t="s">
        <v>149</v>
      </c>
      <c r="G54" s="99">
        <v>10000</v>
      </c>
      <c r="O54" s="76"/>
      <c r="U54" s="76"/>
    </row>
    <row r="55" spans="1:24" ht="16" customHeight="1">
      <c r="D55" s="1"/>
      <c r="F55" s="92" t="s">
        <v>150</v>
      </c>
      <c r="G55" s="91">
        <f>BPCA_Experimental!F25</f>
        <v>0.67333333333333334</v>
      </c>
      <c r="H55" s="156" t="s">
        <v>151</v>
      </c>
      <c r="I55" s="156"/>
      <c r="J55" s="156"/>
      <c r="K55" s="156"/>
      <c r="L55" s="156"/>
      <c r="M55" s="156"/>
      <c r="N55" s="156"/>
      <c r="O55" s="76"/>
      <c r="R55" s="91"/>
    </row>
    <row r="56" spans="1:24">
      <c r="D56" s="1"/>
      <c r="E56" s="77"/>
      <c r="F56" s="92" t="s">
        <v>152</v>
      </c>
      <c r="G56" s="91">
        <f>R40/(G54-S40)</f>
        <v>0.78089317432123828</v>
      </c>
      <c r="H56" s="156"/>
      <c r="I56" s="156"/>
      <c r="J56" s="156"/>
      <c r="K56" s="156"/>
      <c r="L56" s="156"/>
      <c r="M56" s="156"/>
      <c r="N56" s="156"/>
      <c r="O56" s="76"/>
      <c r="R56" s="91"/>
    </row>
    <row r="57" spans="1:24">
      <c r="D57" s="1"/>
      <c r="H57" s="50"/>
      <c r="I57" s="50"/>
      <c r="J57" s="50"/>
      <c r="K57" s="50"/>
      <c r="L57" s="50"/>
      <c r="M57" s="50"/>
      <c r="N57" s="50"/>
      <c r="O57" s="76"/>
      <c r="R57" s="91"/>
    </row>
    <row r="58" spans="1:24">
      <c r="D58" s="1"/>
      <c r="E58" s="1"/>
      <c r="G58" s="100"/>
      <c r="H58" s="100"/>
      <c r="I58" s="100"/>
      <c r="J58" s="100"/>
      <c r="K58" s="100"/>
      <c r="L58" s="100"/>
      <c r="M58" s="100"/>
      <c r="N58" s="100"/>
      <c r="O58" s="76"/>
      <c r="P58" s="101"/>
    </row>
    <row r="59" spans="1:24">
      <c r="A59" s="7"/>
      <c r="B59" s="7"/>
      <c r="C59" s="7"/>
      <c r="D59" s="1"/>
      <c r="E59" s="102"/>
      <c r="F59" s="102"/>
      <c r="O59" s="76"/>
      <c r="P59" s="103"/>
      <c r="R59" s="102"/>
      <c r="S59" s="102"/>
      <c r="T59" s="102"/>
      <c r="U59" s="102"/>
      <c r="V59" s="104"/>
    </row>
    <row r="60" spans="1:24">
      <c r="A60" s="7"/>
      <c r="B60" s="7"/>
      <c r="C60" s="105"/>
      <c r="D60" s="1"/>
      <c r="E60" s="7"/>
      <c r="F60" s="7"/>
      <c r="H60" s="93"/>
      <c r="I60" s="93"/>
      <c r="J60" s="93"/>
      <c r="K60" s="93"/>
      <c r="L60" s="93"/>
      <c r="M60" s="93"/>
      <c r="N60" s="93"/>
      <c r="O60" s="76"/>
      <c r="R60" s="106"/>
      <c r="S60" s="106"/>
      <c r="T60" s="106"/>
      <c r="U60" s="106"/>
      <c r="V60" s="86"/>
    </row>
    <row r="61" spans="1:24">
      <c r="D61" s="1"/>
      <c r="O61" s="76"/>
      <c r="P61" s="91"/>
      <c r="T61" s="17"/>
      <c r="U61" s="17"/>
      <c r="V61" s="17"/>
      <c r="W61" s="17"/>
      <c r="X61" s="17"/>
    </row>
    <row r="62" spans="1:24">
      <c r="D62" s="1"/>
      <c r="O62" s="76"/>
      <c r="P62" s="91"/>
      <c r="R62" s="107"/>
    </row>
    <row r="63" spans="1:24" s="22" customFormat="1">
      <c r="A63" s="17"/>
      <c r="B63" s="17"/>
      <c r="C63" s="78"/>
      <c r="D63" s="1"/>
      <c r="E63" s="17"/>
      <c r="F63" s="17"/>
      <c r="G63" s="76"/>
      <c r="H63" s="76"/>
      <c r="I63" s="76"/>
      <c r="J63" s="76"/>
      <c r="K63" s="76"/>
      <c r="L63" s="76"/>
      <c r="M63" s="76"/>
      <c r="N63" s="76"/>
      <c r="O63" s="76"/>
      <c r="R63" s="17"/>
      <c r="S63" s="17"/>
      <c r="T63" s="87"/>
      <c r="U63" s="87"/>
      <c r="V63" s="88"/>
      <c r="W63" s="1"/>
      <c r="X63" s="1"/>
    </row>
    <row r="64" spans="1:24" s="22" customFormat="1">
      <c r="A64" s="17"/>
      <c r="B64" s="17"/>
      <c r="C64" s="78"/>
      <c r="D64" s="1"/>
      <c r="E64" s="17"/>
      <c r="F64" s="17"/>
      <c r="G64" s="76"/>
      <c r="H64" s="76"/>
      <c r="I64" s="76"/>
      <c r="J64" s="76"/>
      <c r="K64" s="76"/>
      <c r="L64" s="76"/>
      <c r="M64" s="76"/>
      <c r="N64" s="76"/>
      <c r="O64" s="76"/>
      <c r="R64" s="17"/>
      <c r="S64" s="17"/>
      <c r="T64" s="87"/>
      <c r="U64" s="87"/>
      <c r="V64" s="88"/>
      <c r="W64" s="1"/>
      <c r="X64" s="1"/>
    </row>
    <row r="65" spans="1:24" s="22" customFormat="1">
      <c r="A65" s="17"/>
      <c r="B65" s="17"/>
      <c r="C65" s="78"/>
      <c r="D65" s="1"/>
      <c r="E65" s="17"/>
      <c r="F65" s="17"/>
      <c r="G65" s="76"/>
      <c r="H65" s="76"/>
      <c r="I65" s="76"/>
      <c r="J65" s="76"/>
      <c r="K65" s="76"/>
      <c r="L65" s="76"/>
      <c r="M65" s="76"/>
      <c r="N65" s="76"/>
      <c r="O65" s="76"/>
      <c r="R65" s="17"/>
      <c r="S65" s="17"/>
      <c r="T65" s="87"/>
      <c r="U65" s="87"/>
      <c r="V65" s="88"/>
      <c r="W65" s="1"/>
      <c r="X65" s="1"/>
    </row>
    <row r="66" spans="1:24" s="22" customFormat="1">
      <c r="A66" s="17"/>
      <c r="B66" s="17"/>
      <c r="C66" s="78"/>
      <c r="D66" s="1"/>
      <c r="E66" s="17"/>
      <c r="F66" s="17"/>
      <c r="G66" s="76"/>
      <c r="H66" s="50"/>
      <c r="I66" s="50"/>
      <c r="J66" s="50"/>
      <c r="K66" s="50"/>
      <c r="L66" s="50"/>
      <c r="M66" s="50"/>
      <c r="N66" s="50"/>
      <c r="O66" s="76"/>
      <c r="R66" s="17"/>
      <c r="S66" s="17"/>
      <c r="T66" s="87"/>
      <c r="U66" s="87"/>
      <c r="V66" s="88"/>
      <c r="W66" s="1"/>
      <c r="X66" s="1"/>
    </row>
    <row r="67" spans="1:24" s="22" customFormat="1">
      <c r="A67" s="17"/>
      <c r="B67" s="17"/>
      <c r="C67" s="78"/>
      <c r="D67" s="1"/>
      <c r="E67" s="17"/>
      <c r="F67" s="17"/>
      <c r="G67" s="76"/>
      <c r="H67" s="76"/>
      <c r="I67" s="76"/>
      <c r="J67" s="76"/>
      <c r="K67" s="76"/>
      <c r="L67" s="76"/>
      <c r="M67" s="76"/>
      <c r="N67" s="76"/>
      <c r="O67" s="76"/>
      <c r="R67" s="17"/>
      <c r="S67" s="17"/>
      <c r="T67" s="87"/>
      <c r="U67" s="87"/>
      <c r="V67" s="88"/>
      <c r="W67" s="1"/>
      <c r="X67" s="1"/>
    </row>
    <row r="68" spans="1:24">
      <c r="D68" s="1"/>
    </row>
    <row r="69" spans="1:24" s="22" customFormat="1">
      <c r="A69" s="17"/>
      <c r="B69" s="17"/>
      <c r="C69" s="78"/>
      <c r="D69" s="1"/>
      <c r="E69" s="17"/>
      <c r="F69" s="17"/>
      <c r="G69" s="76"/>
      <c r="H69" s="76"/>
      <c r="I69" s="76"/>
      <c r="J69" s="76"/>
      <c r="K69" s="76"/>
      <c r="L69" s="76"/>
      <c r="M69" s="76"/>
      <c r="N69" s="76"/>
      <c r="O69" s="76"/>
      <c r="R69" s="17"/>
      <c r="S69" s="17"/>
      <c r="T69" s="87"/>
      <c r="U69" s="87"/>
      <c r="V69" s="88"/>
      <c r="W69" s="1"/>
      <c r="X69" s="1"/>
    </row>
    <row r="70" spans="1:24" s="22" customFormat="1">
      <c r="A70" s="17"/>
      <c r="B70" s="17"/>
      <c r="C70" s="78"/>
      <c r="D70" s="1"/>
      <c r="E70" s="17"/>
      <c r="F70" s="17"/>
      <c r="G70" s="76"/>
      <c r="H70" s="76"/>
      <c r="I70" s="76"/>
      <c r="J70" s="76"/>
      <c r="K70" s="76"/>
      <c r="L70" s="76"/>
      <c r="M70" s="76"/>
      <c r="N70" s="76"/>
      <c r="O70" s="76"/>
      <c r="R70" s="17"/>
      <c r="S70" s="17"/>
      <c r="T70" s="87"/>
      <c r="U70" s="87"/>
      <c r="V70" s="88"/>
      <c r="W70" s="1"/>
      <c r="X70" s="1"/>
    </row>
    <row r="71" spans="1:24" s="22" customFormat="1">
      <c r="A71" s="17"/>
      <c r="B71" s="17"/>
      <c r="C71" s="78"/>
      <c r="D71" s="1"/>
      <c r="E71" s="17"/>
      <c r="F71" s="17"/>
      <c r="G71" s="76"/>
      <c r="H71" s="76"/>
      <c r="I71" s="76"/>
      <c r="J71" s="76"/>
      <c r="K71" s="76"/>
      <c r="L71" s="76"/>
      <c r="M71" s="76"/>
      <c r="N71" s="76"/>
      <c r="O71" s="76"/>
      <c r="R71" s="17"/>
      <c r="S71" s="17"/>
      <c r="T71" s="87"/>
      <c r="U71" s="87"/>
      <c r="V71" s="88"/>
      <c r="W71" s="1"/>
      <c r="X71" s="1"/>
    </row>
    <row r="72" spans="1:24" s="22" customFormat="1">
      <c r="A72" s="17"/>
      <c r="B72" s="17"/>
      <c r="C72" s="78"/>
      <c r="D72" s="17"/>
      <c r="E72" s="17"/>
      <c r="F72" s="17"/>
      <c r="G72" s="76"/>
      <c r="H72" s="76"/>
      <c r="I72" s="76"/>
      <c r="J72" s="76"/>
      <c r="K72" s="76"/>
      <c r="L72" s="76"/>
      <c r="M72" s="76"/>
      <c r="N72" s="76"/>
      <c r="O72" s="76"/>
      <c r="R72" s="17"/>
      <c r="S72" s="17"/>
      <c r="T72" s="87"/>
      <c r="U72" s="87"/>
      <c r="V72" s="88"/>
      <c r="W72" s="1"/>
      <c r="X72" s="1"/>
    </row>
    <row r="73" spans="1:24" s="22" customFormat="1">
      <c r="A73" s="17"/>
      <c r="B73" s="17"/>
      <c r="C73" s="78"/>
      <c r="D73" s="17"/>
      <c r="E73" s="17"/>
      <c r="F73" s="17"/>
      <c r="G73" s="76"/>
      <c r="H73" s="76"/>
      <c r="I73" s="76"/>
      <c r="J73" s="76"/>
      <c r="K73" s="76"/>
      <c r="L73" s="76"/>
      <c r="M73" s="76"/>
      <c r="N73" s="76"/>
      <c r="O73" s="76"/>
      <c r="R73" s="17"/>
      <c r="S73" s="17"/>
      <c r="T73" s="87"/>
      <c r="U73" s="87"/>
      <c r="V73" s="88"/>
      <c r="W73" s="1"/>
      <c r="X73" s="1"/>
    </row>
    <row r="74" spans="1:24" s="22" customFormat="1">
      <c r="A74" s="17"/>
      <c r="B74" s="17"/>
      <c r="C74" s="78"/>
      <c r="D74" s="17"/>
      <c r="E74" s="17"/>
      <c r="F74" s="17"/>
      <c r="G74" s="76"/>
      <c r="H74" s="76"/>
      <c r="I74" s="76"/>
      <c r="J74" s="76"/>
      <c r="K74" s="76"/>
      <c r="L74" s="76"/>
      <c r="M74" s="76"/>
      <c r="N74" s="76"/>
      <c r="O74" s="76"/>
      <c r="R74" s="17"/>
      <c r="S74" s="17"/>
      <c r="T74" s="87"/>
      <c r="U74" s="87"/>
      <c r="V74" s="88"/>
      <c r="W74" s="1"/>
      <c r="X74" s="1"/>
    </row>
    <row r="75" spans="1:24" s="22" customFormat="1">
      <c r="A75" s="17"/>
      <c r="B75" s="17"/>
      <c r="C75" s="78"/>
      <c r="D75" s="87"/>
      <c r="E75" s="87"/>
      <c r="F75" s="17"/>
      <c r="G75" s="76"/>
      <c r="H75" s="76"/>
      <c r="I75" s="76"/>
      <c r="J75" s="76"/>
      <c r="K75" s="76"/>
      <c r="L75" s="76"/>
      <c r="M75" s="76"/>
      <c r="N75" s="76"/>
      <c r="O75" s="76"/>
      <c r="R75" s="17"/>
      <c r="S75" s="17"/>
      <c r="T75" s="87"/>
      <c r="U75" s="87"/>
      <c r="V75" s="88"/>
      <c r="W75" s="1"/>
      <c r="X75" s="1"/>
    </row>
    <row r="76" spans="1:24" s="22" customFormat="1">
      <c r="A76" s="17"/>
      <c r="B76" s="17"/>
      <c r="C76" s="78"/>
      <c r="D76" s="87"/>
      <c r="E76" s="87"/>
      <c r="F76" s="17"/>
      <c r="G76" s="76"/>
      <c r="H76" s="76"/>
      <c r="I76" s="76"/>
      <c r="J76" s="76"/>
      <c r="K76" s="76"/>
      <c r="L76" s="76"/>
      <c r="M76" s="76"/>
      <c r="N76" s="76"/>
      <c r="O76" s="76"/>
      <c r="R76" s="17"/>
      <c r="S76" s="17"/>
      <c r="T76" s="87"/>
      <c r="U76" s="87"/>
      <c r="V76" s="88"/>
      <c r="W76" s="1"/>
      <c r="X76" s="1"/>
    </row>
    <row r="77" spans="1:24" s="22" customFormat="1">
      <c r="A77" s="17"/>
      <c r="B77" s="17"/>
      <c r="C77" s="78"/>
      <c r="D77" s="17"/>
      <c r="E77" s="17"/>
      <c r="F77" s="17"/>
      <c r="G77" s="76"/>
      <c r="H77" s="76"/>
      <c r="I77" s="76"/>
      <c r="J77" s="76"/>
      <c r="K77" s="76"/>
      <c r="L77" s="76"/>
      <c r="M77" s="76"/>
      <c r="N77" s="76"/>
      <c r="O77" s="76"/>
      <c r="R77" s="17"/>
      <c r="S77" s="17"/>
      <c r="T77" s="87"/>
      <c r="U77" s="87"/>
      <c r="V77" s="88"/>
      <c r="W77" s="1"/>
      <c r="X77" s="1"/>
    </row>
    <row r="78" spans="1:24" s="22" customFormat="1">
      <c r="A78" s="17"/>
      <c r="B78" s="17"/>
      <c r="C78" s="78"/>
      <c r="D78" s="17"/>
      <c r="E78" s="17"/>
      <c r="F78" s="17"/>
      <c r="G78" s="76"/>
      <c r="H78" s="76"/>
      <c r="I78" s="76"/>
      <c r="J78" s="76"/>
      <c r="K78" s="76"/>
      <c r="L78" s="76"/>
      <c r="M78" s="76"/>
      <c r="N78" s="76"/>
      <c r="O78" s="76"/>
      <c r="R78" s="17"/>
      <c r="S78" s="17"/>
      <c r="T78" s="87"/>
      <c r="U78" s="87"/>
      <c r="V78" s="88"/>
      <c r="W78" s="1"/>
      <c r="X78" s="1"/>
    </row>
    <row r="79" spans="1:24" s="22" customFormat="1">
      <c r="A79" s="17"/>
      <c r="B79" s="17"/>
      <c r="C79" s="78"/>
      <c r="D79" s="14"/>
      <c r="E79" s="108"/>
      <c r="F79" s="17"/>
      <c r="G79" s="76"/>
      <c r="H79" s="76"/>
      <c r="I79" s="76"/>
      <c r="J79" s="76"/>
      <c r="K79" s="76"/>
      <c r="L79" s="76"/>
      <c r="M79" s="76"/>
      <c r="N79" s="76"/>
      <c r="O79" s="76"/>
      <c r="R79" s="17"/>
      <c r="S79" s="17"/>
      <c r="T79" s="87"/>
      <c r="U79" s="87"/>
      <c r="V79" s="88"/>
      <c r="W79" s="1"/>
      <c r="X79" s="1"/>
    </row>
    <row r="80" spans="1:24" s="22" customFormat="1">
      <c r="A80" s="17"/>
      <c r="B80" s="17"/>
      <c r="C80" s="78"/>
      <c r="D80" s="14"/>
      <c r="E80" s="108"/>
      <c r="F80" s="17"/>
      <c r="G80" s="76"/>
      <c r="H80" s="76"/>
      <c r="I80" s="76"/>
      <c r="J80" s="76"/>
      <c r="K80" s="76"/>
      <c r="L80" s="76"/>
      <c r="M80" s="76"/>
      <c r="N80" s="76"/>
      <c r="O80" s="17"/>
      <c r="R80" s="17"/>
      <c r="S80" s="17"/>
      <c r="T80" s="87"/>
      <c r="U80" s="87"/>
      <c r="V80" s="88"/>
      <c r="W80" s="1"/>
      <c r="X80" s="1"/>
    </row>
    <row r="81" spans="1:24" s="22" customFormat="1">
      <c r="A81" s="17"/>
      <c r="B81" s="17"/>
      <c r="C81" s="78"/>
      <c r="D81" s="14"/>
      <c r="E81" s="108"/>
      <c r="F81" s="17"/>
      <c r="G81" s="76"/>
      <c r="H81" s="76"/>
      <c r="I81" s="76"/>
      <c r="J81" s="76"/>
      <c r="K81" s="76"/>
      <c r="L81" s="76"/>
      <c r="M81" s="76"/>
      <c r="N81" s="76"/>
      <c r="O81" s="17"/>
      <c r="R81" s="17"/>
      <c r="S81" s="17"/>
      <c r="T81" s="87"/>
      <c r="U81" s="87"/>
      <c r="V81" s="88"/>
      <c r="W81" s="1"/>
      <c r="X81" s="1"/>
    </row>
    <row r="82" spans="1:24" s="22" customFormat="1">
      <c r="A82" s="17"/>
      <c r="B82" s="17"/>
      <c r="C82" s="78"/>
      <c r="D82" s="14"/>
      <c r="E82" s="108"/>
      <c r="F82" s="17"/>
      <c r="G82" s="76"/>
      <c r="H82" s="76"/>
      <c r="I82" s="76"/>
      <c r="J82" s="76"/>
      <c r="K82" s="76"/>
      <c r="L82" s="76"/>
      <c r="M82" s="76"/>
      <c r="N82" s="76"/>
      <c r="O82" s="17"/>
      <c r="R82" s="17"/>
      <c r="S82" s="17"/>
      <c r="T82" s="87"/>
      <c r="U82" s="87"/>
      <c r="V82" s="88"/>
      <c r="W82" s="1"/>
      <c r="X82" s="1"/>
    </row>
    <row r="83" spans="1:24" s="22" customFormat="1">
      <c r="A83" s="17"/>
      <c r="B83" s="17"/>
      <c r="C83" s="78"/>
      <c r="D83" s="108"/>
      <c r="E83" s="108"/>
      <c r="F83" s="17"/>
      <c r="G83" s="76"/>
      <c r="H83" s="76"/>
      <c r="I83" s="76"/>
      <c r="J83" s="76"/>
      <c r="K83" s="76"/>
      <c r="L83" s="76"/>
      <c r="M83" s="76"/>
      <c r="N83" s="76"/>
      <c r="O83" s="17"/>
      <c r="R83" s="17"/>
      <c r="S83" s="17"/>
      <c r="T83" s="87"/>
      <c r="U83" s="87"/>
      <c r="V83" s="88"/>
      <c r="W83" s="1"/>
      <c r="X83" s="1"/>
    </row>
  </sheetData>
  <mergeCells count="5">
    <mergeCell ref="B2:V2"/>
    <mergeCell ref="A4:V4"/>
    <mergeCell ref="G41:N41"/>
    <mergeCell ref="H49:N52"/>
    <mergeCell ref="H55:N56"/>
  </mergeCells>
  <hyperlinks>
    <hyperlink ref="B7" r:id="rId1" display="dibenzofuran_Si" xr:uid="{4C426338-A5CA-7C44-B2A0-E48627D0947B}"/>
    <hyperlink ref="B8" r:id="rId2" display="phenalene" xr:uid="{94099E1F-DD08-604D-AF4F-2785C8A31EA5}"/>
    <hyperlink ref="B9" r:id="rId3" display="phenanthrene" xr:uid="{C20A9854-2F58-DE42-A34A-1555260C7A51}"/>
    <hyperlink ref="B10" r:id="rId4" display="anthracene" xr:uid="{8C817EF2-767B-1547-AE92-2BC676F78987}"/>
    <hyperlink ref="B13" r:id="rId5" display="pyrene" xr:uid="{12CB1CC5-F2D3-9445-87DE-C2E2D7D40C0C}"/>
    <hyperlink ref="B15" r:id="rId6" display="benzo[c]fluorene" xr:uid="{83032662-3A46-6145-A278-82901BCB74BB}"/>
    <hyperlink ref="B18" r:id="rId7" display="coronene" xr:uid="{9BC4D248-B9FB-0541-B06A-2B3E0E2819FB}"/>
    <hyperlink ref="B14" r:id="rId8" display="chrysene" xr:uid="{412456D4-2BB5-1840-96FE-7F1059760616}"/>
    <hyperlink ref="B16" r:id="rId9" display="Benz[e]acephenanthrylene" xr:uid="{16D71F9B-82EC-BA44-9310-760F76BA0371}"/>
    <hyperlink ref="B6" r:id="rId10" display="benzene" xr:uid="{3CED632E-D671-C646-95E7-908E5B4F2A00}"/>
    <hyperlink ref="B17" r:id="rId11" display="benzo_b_fluorene" xr:uid="{2D831D40-AAAB-1E4F-9758-D729D5DAB6C5}"/>
    <hyperlink ref="B19" r:id="rId12" xr:uid="{DB799001-9F53-F447-98E3-70E2020C7792}"/>
    <hyperlink ref="B20" r:id="rId13" display="Benzo_a_pyrene" xr:uid="{A39C4CF8-59DF-8241-B16B-8CDC1C7DEBF0}"/>
    <hyperlink ref="B21" r:id="rId14" xr:uid="{CB86D4E3-284F-4B41-A1E7-E557F979FDFA}"/>
    <hyperlink ref="B22" r:id="rId15" xr:uid="{9009C941-D516-FF4A-9D88-5E2F0D13DF2A}"/>
    <hyperlink ref="B23" r:id="rId16" xr:uid="{CE769679-7658-7949-9F14-C521B8C9761C}"/>
    <hyperlink ref="B25" r:id="rId17" xr:uid="{AAB85CEA-5838-A74C-95D6-261135E5207A}"/>
    <hyperlink ref="B26" r:id="rId18" location="section=InChIKey" xr:uid="{F18DE4F7-2B91-F143-B492-1A768D2956A2}"/>
    <hyperlink ref="B27" r:id="rId19" xr:uid="{B096B64C-696D-AA4C-8EAA-32FB59DFF83F}"/>
  </hyperlinks>
  <pageMargins left="0.7" right="0.7" top="0.75" bottom="0.75" header="0.3" footer="0.3"/>
  <pageSetup orientation="portrait" horizontalDpi="0" verticalDpi="0"/>
  <drawing r:id="rId2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8AF4A-2556-E44D-BD8A-72E1532A4D20}">
  <dimension ref="A2:X83"/>
  <sheetViews>
    <sheetView topLeftCell="A42" zoomScaleNormal="100" workbookViewId="0">
      <selection activeCell="O67" sqref="O67"/>
    </sheetView>
  </sheetViews>
  <sheetFormatPr baseColWidth="10" defaultColWidth="10.83203125" defaultRowHeight="16"/>
  <cols>
    <col min="1" max="1" width="8.6640625" style="17" customWidth="1"/>
    <col min="2" max="2" width="20.33203125" style="17" bestFit="1" customWidth="1"/>
    <col min="3" max="3" width="33.6640625" style="78" customWidth="1"/>
    <col min="4" max="4" width="31.83203125" style="17" bestFit="1" customWidth="1"/>
    <col min="5" max="5" width="10.83203125" style="17" customWidth="1"/>
    <col min="6" max="6" width="20.5" style="17" bestFit="1" customWidth="1"/>
    <col min="7" max="7" width="9.6640625" style="76" bestFit="1" customWidth="1"/>
    <col min="8" max="8" width="8.6640625" style="76" bestFit="1" customWidth="1"/>
    <col min="9" max="10" width="8.6640625" style="76" hidden="1" customWidth="1"/>
    <col min="11" max="11" width="10.1640625" style="76" customWidth="1"/>
    <col min="12" max="12" width="10.5" style="76" customWidth="1"/>
    <col min="13" max="13" width="9.83203125" style="76" customWidth="1"/>
    <col min="14" max="14" width="9.6640625" style="76" customWidth="1"/>
    <col min="15" max="15" width="17.33203125" style="17" customWidth="1"/>
    <col min="16" max="17" width="16.33203125" style="22" customWidth="1"/>
    <col min="18" max="18" width="8.1640625" style="17" bestFit="1" customWidth="1"/>
    <col min="19" max="19" width="8.33203125" style="17" bestFit="1" customWidth="1"/>
    <col min="20" max="20" width="12.1640625" style="87" bestFit="1" customWidth="1"/>
    <col min="21" max="21" width="14.5" style="87" bestFit="1" customWidth="1"/>
    <col min="22" max="22" width="10.83203125" style="88"/>
    <col min="23" max="16384" width="10.83203125" style="1"/>
  </cols>
  <sheetData>
    <row r="2" spans="1:23">
      <c r="B2" s="157" t="s">
        <v>112</v>
      </c>
      <c r="C2" s="157"/>
      <c r="D2" s="157"/>
      <c r="E2" s="157"/>
      <c r="F2" s="157"/>
      <c r="G2" s="157"/>
      <c r="H2" s="157"/>
      <c r="I2" s="157"/>
      <c r="J2" s="157"/>
      <c r="K2" s="157"/>
      <c r="L2" s="157"/>
      <c r="M2" s="157"/>
      <c r="N2" s="157"/>
      <c r="O2" s="157"/>
      <c r="P2" s="157"/>
      <c r="Q2" s="157"/>
      <c r="R2" s="157"/>
      <c r="S2" s="157"/>
      <c r="T2" s="157"/>
      <c r="U2" s="157"/>
      <c r="V2" s="157"/>
    </row>
    <row r="4" spans="1:23" s="79" customFormat="1" ht="26" customHeight="1">
      <c r="A4" s="158" t="s">
        <v>113</v>
      </c>
      <c r="B4" s="158"/>
      <c r="C4" s="158"/>
      <c r="D4" s="158"/>
      <c r="E4" s="158"/>
      <c r="F4" s="158"/>
      <c r="G4" s="158"/>
      <c r="H4" s="158"/>
      <c r="I4" s="158"/>
      <c r="J4" s="158"/>
      <c r="K4" s="158"/>
      <c r="L4" s="158"/>
      <c r="M4" s="158"/>
      <c r="N4" s="158"/>
      <c r="O4" s="158"/>
      <c r="P4" s="158"/>
      <c r="Q4" s="158"/>
      <c r="R4" s="158"/>
      <c r="S4" s="158"/>
      <c r="T4" s="158"/>
      <c r="U4" s="158"/>
      <c r="V4" s="158"/>
    </row>
    <row r="5" spans="1:23" s="7" customFormat="1" ht="51">
      <c r="A5" s="15" t="s">
        <v>4</v>
      </c>
      <c r="B5" s="15" t="s">
        <v>114</v>
      </c>
      <c r="C5" s="15" t="s">
        <v>5</v>
      </c>
      <c r="D5" s="15" t="s">
        <v>95</v>
      </c>
      <c r="E5" s="15" t="s">
        <v>115</v>
      </c>
      <c r="F5" s="15" t="s">
        <v>116</v>
      </c>
      <c r="G5" s="80" t="str">
        <f>BPCA!C5</f>
        <v xml:space="preserve">B2CA-1 </v>
      </c>
      <c r="H5" s="80" t="str">
        <f>BPCA!G5</f>
        <v>B3CA-2</v>
      </c>
      <c r="I5" s="80" t="str">
        <f>BPCA!H5</f>
        <v>B3CA-3</v>
      </c>
      <c r="J5" s="80" t="str">
        <f>BPCA!I5</f>
        <v xml:space="preserve">B4CA-1 </v>
      </c>
      <c r="K5" s="80" t="str">
        <f>BPCA!J5</f>
        <v>B4CA-2</v>
      </c>
      <c r="L5" s="80" t="str">
        <f>BPCA!K5</f>
        <v>B4CA-3</v>
      </c>
      <c r="M5" s="80" t="str">
        <f>BPCA!L5</f>
        <v>B5CA</v>
      </c>
      <c r="N5" s="81" t="s">
        <v>14</v>
      </c>
      <c r="O5" s="82" t="s">
        <v>117</v>
      </c>
      <c r="P5" s="83" t="s">
        <v>118</v>
      </c>
      <c r="Q5" s="83" t="s">
        <v>160</v>
      </c>
      <c r="R5" s="84" t="s">
        <v>119</v>
      </c>
      <c r="S5" s="84" t="s">
        <v>120</v>
      </c>
      <c r="T5" s="84" t="s">
        <v>121</v>
      </c>
      <c r="U5" s="84" t="s">
        <v>122</v>
      </c>
      <c r="V5" s="85" t="s">
        <v>123</v>
      </c>
      <c r="W5" s="86"/>
    </row>
    <row r="6" spans="1:23" ht="66" customHeight="1">
      <c r="A6" s="17">
        <v>0</v>
      </c>
      <c r="B6" s="109" t="s">
        <v>124</v>
      </c>
      <c r="C6" s="77" t="e" vm="1">
        <v>#VALUE!</v>
      </c>
      <c r="D6" s="17">
        <v>6</v>
      </c>
      <c r="E6" s="17">
        <v>6</v>
      </c>
      <c r="F6" s="17">
        <v>1</v>
      </c>
      <c r="G6" s="76">
        <v>0</v>
      </c>
      <c r="H6" s="76">
        <v>0</v>
      </c>
      <c r="I6" s="76">
        <v>0</v>
      </c>
      <c r="J6" s="76">
        <v>0</v>
      </c>
      <c r="K6" s="76">
        <v>0</v>
      </c>
      <c r="L6" s="76">
        <v>0</v>
      </c>
      <c r="M6" s="76">
        <v>0</v>
      </c>
      <c r="N6" s="76">
        <v>0</v>
      </c>
      <c r="O6" s="87">
        <v>0</v>
      </c>
      <c r="P6" s="22">
        <f t="shared" ref="P6:P39" si="0">(O6/SUM(O$6:O$27)*100)</f>
        <v>0</v>
      </c>
      <c r="Q6" s="22">
        <f>IF(O6=0,0,F6*O6/O6)</f>
        <v>0</v>
      </c>
      <c r="R6" s="87">
        <f t="shared" ref="R6:R37" si="1">D6*O6</f>
        <v>0</v>
      </c>
      <c r="S6" s="87">
        <f t="shared" ref="S6:S39" si="2">E6*O6</f>
        <v>0</v>
      </c>
      <c r="T6" s="87">
        <f>(R6/$R$40*100)</f>
        <v>0</v>
      </c>
      <c r="U6" s="87">
        <f>(S6/$S$40*100)</f>
        <v>0</v>
      </c>
      <c r="V6" s="88">
        <f t="shared" ref="V6:V39" si="3">(12.011*D6)+(1.008*E6)</f>
        <v>78.114000000000004</v>
      </c>
    </row>
    <row r="7" spans="1:23" ht="82" customHeight="1">
      <c r="A7" s="17">
        <v>1</v>
      </c>
      <c r="B7" s="109" t="s">
        <v>125</v>
      </c>
      <c r="C7" s="77" t="e" vm="2">
        <v>#VALUE!</v>
      </c>
      <c r="D7" s="17">
        <v>13</v>
      </c>
      <c r="E7" s="17">
        <v>10</v>
      </c>
      <c r="F7" s="17">
        <v>2</v>
      </c>
      <c r="G7" s="76">
        <f>1</f>
        <v>1</v>
      </c>
      <c r="H7" s="76">
        <v>0</v>
      </c>
      <c r="I7" s="76">
        <v>0</v>
      </c>
      <c r="J7" s="76">
        <v>0</v>
      </c>
      <c r="K7" s="76">
        <v>0</v>
      </c>
      <c r="L7" s="76">
        <v>0</v>
      </c>
      <c r="M7" s="76">
        <v>0</v>
      </c>
      <c r="N7" s="76">
        <v>0</v>
      </c>
      <c r="O7" s="17">
        <v>0</v>
      </c>
      <c r="P7" s="22">
        <f t="shared" si="0"/>
        <v>0</v>
      </c>
      <c r="Q7" s="22">
        <f t="shared" ref="Q7:Q39" si="4">IF(O7=0,0,F7*O7/O7)</f>
        <v>0</v>
      </c>
      <c r="R7" s="87">
        <f t="shared" si="1"/>
        <v>0</v>
      </c>
      <c r="S7" s="87">
        <f t="shared" si="2"/>
        <v>0</v>
      </c>
      <c r="T7" s="87">
        <f t="shared" ref="T7:T39" si="5">(R7/$R$40*100)</f>
        <v>0</v>
      </c>
      <c r="U7" s="87">
        <f t="shared" ref="U7:U39" si="6">(S7/$S$40*100)</f>
        <v>0</v>
      </c>
      <c r="V7" s="88">
        <f t="shared" si="3"/>
        <v>166.22300000000001</v>
      </c>
    </row>
    <row r="8" spans="1:23" ht="100" customHeight="1">
      <c r="A8" s="17">
        <v>2</v>
      </c>
      <c r="B8" s="109" t="s">
        <v>126</v>
      </c>
      <c r="C8" s="77" t="e" vm="3">
        <v>#VALUE!</v>
      </c>
      <c r="D8" s="17">
        <v>13</v>
      </c>
      <c r="E8" s="17">
        <v>10</v>
      </c>
      <c r="F8" s="17">
        <v>3</v>
      </c>
      <c r="G8" s="76">
        <v>0</v>
      </c>
      <c r="H8" s="76">
        <v>1</v>
      </c>
      <c r="I8" s="76">
        <v>0</v>
      </c>
      <c r="J8" s="76">
        <v>0</v>
      </c>
      <c r="K8" s="76">
        <v>0</v>
      </c>
      <c r="L8" s="76">
        <v>0</v>
      </c>
      <c r="M8" s="76">
        <v>0</v>
      </c>
      <c r="N8" s="76">
        <v>0</v>
      </c>
      <c r="O8" s="17">
        <v>0</v>
      </c>
      <c r="P8" s="22">
        <f t="shared" si="0"/>
        <v>0</v>
      </c>
      <c r="Q8" s="22">
        <f t="shared" si="4"/>
        <v>0</v>
      </c>
      <c r="R8" s="87">
        <f t="shared" si="1"/>
        <v>0</v>
      </c>
      <c r="S8" s="87">
        <f t="shared" si="2"/>
        <v>0</v>
      </c>
      <c r="T8" s="87">
        <f t="shared" si="5"/>
        <v>0</v>
      </c>
      <c r="U8" s="87">
        <f t="shared" si="6"/>
        <v>0</v>
      </c>
      <c r="V8" s="88">
        <f t="shared" si="3"/>
        <v>166.22300000000001</v>
      </c>
    </row>
    <row r="9" spans="1:23" ht="79" customHeight="1">
      <c r="A9" s="114">
        <v>3</v>
      </c>
      <c r="B9" s="109" t="s">
        <v>127</v>
      </c>
      <c r="C9" s="77" t="e" vm="4">
        <v>#VALUE!</v>
      </c>
      <c r="D9" s="17">
        <v>14</v>
      </c>
      <c r="E9" s="17">
        <v>10</v>
      </c>
      <c r="F9" s="17">
        <v>3</v>
      </c>
      <c r="G9" s="89">
        <f>2/3</f>
        <v>0.66666666666666663</v>
      </c>
      <c r="H9" s="76">
        <v>0</v>
      </c>
      <c r="I9" s="76">
        <v>0</v>
      </c>
      <c r="J9" s="76">
        <v>0</v>
      </c>
      <c r="K9" s="76">
        <v>0</v>
      </c>
      <c r="L9" s="76">
        <f>1/3</f>
        <v>0.33333333333333331</v>
      </c>
      <c r="M9" s="76">
        <v>0</v>
      </c>
      <c r="N9" s="76">
        <v>0</v>
      </c>
      <c r="O9" s="17">
        <v>0</v>
      </c>
      <c r="P9" s="22">
        <f t="shared" si="0"/>
        <v>0</v>
      </c>
      <c r="Q9" s="22">
        <f t="shared" si="4"/>
        <v>0</v>
      </c>
      <c r="R9" s="87">
        <f t="shared" si="1"/>
        <v>0</v>
      </c>
      <c r="S9" s="87">
        <f t="shared" si="2"/>
        <v>0</v>
      </c>
      <c r="T9" s="87">
        <f t="shared" si="5"/>
        <v>0</v>
      </c>
      <c r="U9" s="87">
        <f t="shared" si="6"/>
        <v>0</v>
      </c>
      <c r="V9" s="88">
        <f t="shared" si="3"/>
        <v>178.23400000000001</v>
      </c>
    </row>
    <row r="10" spans="1:23" ht="83" customHeight="1">
      <c r="A10" s="114">
        <v>4</v>
      </c>
      <c r="B10" s="109" t="s">
        <v>20</v>
      </c>
      <c r="C10" s="77" t="e" vm="5">
        <v>#VALUE!</v>
      </c>
      <c r="D10" s="17">
        <v>14</v>
      </c>
      <c r="E10" s="17">
        <v>10</v>
      </c>
      <c r="F10" s="17">
        <v>3</v>
      </c>
      <c r="G10" s="76">
        <f>1</f>
        <v>1</v>
      </c>
      <c r="H10" s="76">
        <v>0</v>
      </c>
      <c r="I10" s="76">
        <v>0</v>
      </c>
      <c r="J10" s="76">
        <v>0</v>
      </c>
      <c r="K10" s="76">
        <v>0</v>
      </c>
      <c r="L10" s="76">
        <v>0</v>
      </c>
      <c r="M10" s="76">
        <v>0</v>
      </c>
      <c r="N10" s="76">
        <v>0</v>
      </c>
      <c r="O10" s="17">
        <v>0</v>
      </c>
      <c r="P10" s="22">
        <f t="shared" si="0"/>
        <v>0</v>
      </c>
      <c r="Q10" s="22">
        <f t="shared" si="4"/>
        <v>0</v>
      </c>
      <c r="R10" s="87">
        <f t="shared" si="1"/>
        <v>0</v>
      </c>
      <c r="S10" s="87">
        <f t="shared" si="2"/>
        <v>0</v>
      </c>
      <c r="T10" s="87">
        <f t="shared" si="5"/>
        <v>0</v>
      </c>
      <c r="U10" s="87">
        <f t="shared" si="6"/>
        <v>0</v>
      </c>
      <c r="V10" s="88">
        <f t="shared" si="3"/>
        <v>178.23400000000001</v>
      </c>
    </row>
    <row r="11" spans="1:23" ht="83" customHeight="1">
      <c r="A11" s="17">
        <v>5</v>
      </c>
      <c r="B11" s="109" t="s">
        <v>128</v>
      </c>
      <c r="C11" s="77" t="e" vm="6">
        <v>#VALUE!</v>
      </c>
      <c r="D11" s="17">
        <v>18</v>
      </c>
      <c r="E11" s="17">
        <v>12</v>
      </c>
      <c r="F11" s="17">
        <v>4</v>
      </c>
      <c r="G11" s="76">
        <f>2/4</f>
        <v>0.5</v>
      </c>
      <c r="H11" s="76">
        <v>0</v>
      </c>
      <c r="I11" s="76">
        <v>0</v>
      </c>
      <c r="J11" s="76">
        <v>0</v>
      </c>
      <c r="K11" s="76">
        <f>2/4</f>
        <v>0.5</v>
      </c>
      <c r="L11" s="76">
        <v>0</v>
      </c>
      <c r="M11" s="76">
        <v>0</v>
      </c>
      <c r="N11" s="76">
        <v>0</v>
      </c>
      <c r="O11" s="17">
        <v>0</v>
      </c>
      <c r="P11" s="22">
        <f t="shared" si="0"/>
        <v>0</v>
      </c>
      <c r="Q11" s="22">
        <f t="shared" si="4"/>
        <v>0</v>
      </c>
      <c r="R11" s="87">
        <f t="shared" si="1"/>
        <v>0</v>
      </c>
      <c r="S11" s="87">
        <f t="shared" si="2"/>
        <v>0</v>
      </c>
      <c r="T11" s="87">
        <f>(R11/$R$40*100)</f>
        <v>0</v>
      </c>
      <c r="U11" s="87">
        <f>(S11/$S$40*100)</f>
        <v>0</v>
      </c>
      <c r="V11" s="88">
        <f t="shared" si="3"/>
        <v>228.29399999999998</v>
      </c>
    </row>
    <row r="12" spans="1:23" ht="83" customHeight="1">
      <c r="A12" s="17">
        <v>6</v>
      </c>
      <c r="B12" s="109" t="s">
        <v>129</v>
      </c>
      <c r="C12" s="77" t="e" vm="7">
        <v>#VALUE!</v>
      </c>
      <c r="D12" s="17">
        <v>22</v>
      </c>
      <c r="E12" s="17">
        <v>14</v>
      </c>
      <c r="F12" s="17">
        <v>5</v>
      </c>
      <c r="G12" s="76">
        <f>2/5</f>
        <v>0.4</v>
      </c>
      <c r="H12" s="76">
        <v>0</v>
      </c>
      <c r="I12" s="76">
        <v>0</v>
      </c>
      <c r="J12" s="76">
        <v>0</v>
      </c>
      <c r="K12" s="76">
        <v>0.6</v>
      </c>
      <c r="L12" s="76">
        <v>0</v>
      </c>
      <c r="M12" s="76">
        <v>0</v>
      </c>
      <c r="N12" s="76">
        <v>0</v>
      </c>
      <c r="O12" s="17">
        <v>5</v>
      </c>
      <c r="P12" s="22">
        <f t="shared" si="0"/>
        <v>5.5555555555555554</v>
      </c>
      <c r="Q12" s="22">
        <f t="shared" si="4"/>
        <v>5</v>
      </c>
      <c r="R12" s="87">
        <f t="shared" si="1"/>
        <v>110</v>
      </c>
      <c r="S12" s="87">
        <f t="shared" si="2"/>
        <v>70</v>
      </c>
      <c r="T12" s="87">
        <f t="shared" si="5"/>
        <v>1.5918958031837915</v>
      </c>
      <c r="U12" s="87">
        <f t="shared" si="6"/>
        <v>3.2558139534883721</v>
      </c>
      <c r="V12" s="88">
        <f t="shared" si="3"/>
        <v>278.35399999999998</v>
      </c>
    </row>
    <row r="13" spans="1:23" ht="91" customHeight="1">
      <c r="A13" s="114">
        <v>7</v>
      </c>
      <c r="B13" s="109" t="s">
        <v>26</v>
      </c>
      <c r="C13" s="77" t="e" vm="8">
        <v>#VALUE!</v>
      </c>
      <c r="D13" s="17">
        <v>16</v>
      </c>
      <c r="E13" s="17">
        <v>10</v>
      </c>
      <c r="F13" s="17">
        <v>4</v>
      </c>
      <c r="G13" s="76">
        <v>0</v>
      </c>
      <c r="H13" s="76">
        <f>2/4</f>
        <v>0.5</v>
      </c>
      <c r="I13" s="76">
        <v>0</v>
      </c>
      <c r="J13" s="76">
        <v>0</v>
      </c>
      <c r="K13" s="76">
        <v>0</v>
      </c>
      <c r="L13" s="76">
        <f>2/4</f>
        <v>0.5</v>
      </c>
      <c r="M13" s="76">
        <v>0</v>
      </c>
      <c r="N13" s="76">
        <v>0</v>
      </c>
      <c r="O13" s="17">
        <v>0</v>
      </c>
      <c r="P13" s="22">
        <f t="shared" si="0"/>
        <v>0</v>
      </c>
      <c r="Q13" s="22">
        <f t="shared" si="4"/>
        <v>0</v>
      </c>
      <c r="R13" s="87">
        <f t="shared" si="1"/>
        <v>0</v>
      </c>
      <c r="S13" s="87">
        <f t="shared" si="2"/>
        <v>0</v>
      </c>
      <c r="T13" s="87">
        <f t="shared" si="5"/>
        <v>0</v>
      </c>
      <c r="U13" s="87">
        <f t="shared" si="6"/>
        <v>0</v>
      </c>
      <c r="V13" s="88">
        <f t="shared" si="3"/>
        <v>202.256</v>
      </c>
    </row>
    <row r="14" spans="1:23" ht="91" customHeight="1">
      <c r="A14" s="114">
        <v>8</v>
      </c>
      <c r="B14" s="109" t="s">
        <v>25</v>
      </c>
      <c r="C14" s="77" t="e" vm="9">
        <v>#VALUE!</v>
      </c>
      <c r="D14" s="17">
        <v>18</v>
      </c>
      <c r="E14" s="17">
        <v>12</v>
      </c>
      <c r="F14" s="17">
        <v>4</v>
      </c>
      <c r="G14" s="76">
        <v>0.5</v>
      </c>
      <c r="H14" s="76">
        <v>0</v>
      </c>
      <c r="I14" s="76">
        <v>0</v>
      </c>
      <c r="J14" s="76">
        <v>0</v>
      </c>
      <c r="K14" s="76">
        <v>0</v>
      </c>
      <c r="L14" s="76">
        <v>0.5</v>
      </c>
      <c r="M14" s="76">
        <v>0</v>
      </c>
      <c r="N14" s="76">
        <v>0</v>
      </c>
      <c r="O14" s="17">
        <v>0</v>
      </c>
      <c r="P14" s="22">
        <f t="shared" si="0"/>
        <v>0</v>
      </c>
      <c r="Q14" s="22">
        <f t="shared" si="4"/>
        <v>0</v>
      </c>
      <c r="R14" s="87">
        <f t="shared" si="1"/>
        <v>0</v>
      </c>
      <c r="S14" s="87">
        <f t="shared" si="2"/>
        <v>0</v>
      </c>
      <c r="T14" s="87">
        <f t="shared" si="5"/>
        <v>0</v>
      </c>
      <c r="U14" s="87">
        <f t="shared" si="6"/>
        <v>0</v>
      </c>
      <c r="V14" s="88">
        <f t="shared" si="3"/>
        <v>228.29399999999998</v>
      </c>
    </row>
    <row r="15" spans="1:23" ht="69" customHeight="1">
      <c r="A15" s="17">
        <v>9</v>
      </c>
      <c r="B15" s="109" t="s">
        <v>130</v>
      </c>
      <c r="C15" s="77" t="e" vm="10">
        <v>#VALUE!</v>
      </c>
      <c r="D15" s="17">
        <v>17</v>
      </c>
      <c r="E15" s="17">
        <v>12</v>
      </c>
      <c r="F15" s="17">
        <v>3</v>
      </c>
      <c r="G15" s="76">
        <f>2/3</f>
        <v>0.66666666666666663</v>
      </c>
      <c r="H15" s="76">
        <v>0</v>
      </c>
      <c r="I15" s="76">
        <v>0</v>
      </c>
      <c r="J15" s="76">
        <v>0</v>
      </c>
      <c r="K15" s="76">
        <v>0</v>
      </c>
      <c r="L15" s="76">
        <f>1/3</f>
        <v>0.33333333333333331</v>
      </c>
      <c r="M15" s="76">
        <v>0</v>
      </c>
      <c r="N15" s="76">
        <v>0</v>
      </c>
      <c r="O15" s="17">
        <v>0</v>
      </c>
      <c r="P15" s="22">
        <f t="shared" si="0"/>
        <v>0</v>
      </c>
      <c r="Q15" s="22">
        <f t="shared" si="4"/>
        <v>0</v>
      </c>
      <c r="R15" s="87">
        <f t="shared" si="1"/>
        <v>0</v>
      </c>
      <c r="S15" s="87">
        <f t="shared" si="2"/>
        <v>0</v>
      </c>
      <c r="T15" s="87">
        <f t="shared" si="5"/>
        <v>0</v>
      </c>
      <c r="U15" s="87">
        <f t="shared" si="6"/>
        <v>0</v>
      </c>
      <c r="V15" s="88">
        <f t="shared" si="3"/>
        <v>216.28299999999999</v>
      </c>
    </row>
    <row r="16" spans="1:23" ht="102" customHeight="1">
      <c r="A16" s="17">
        <v>10</v>
      </c>
      <c r="B16" s="109" t="s">
        <v>131</v>
      </c>
      <c r="C16" s="77" t="e" vm="11">
        <v>#VALUE!</v>
      </c>
      <c r="D16" s="17">
        <v>20</v>
      </c>
      <c r="E16" s="17">
        <v>12</v>
      </c>
      <c r="F16" s="17">
        <v>4</v>
      </c>
      <c r="G16" s="76">
        <f>2/4</f>
        <v>0.5</v>
      </c>
      <c r="H16" s="76">
        <f>1/4</f>
        <v>0.25</v>
      </c>
      <c r="I16" s="76">
        <v>0</v>
      </c>
      <c r="J16" s="76">
        <v>0</v>
      </c>
      <c r="K16" s="76">
        <v>0</v>
      </c>
      <c r="L16" s="76">
        <v>0</v>
      </c>
      <c r="M16" s="76">
        <v>0.25</v>
      </c>
      <c r="N16" s="76">
        <v>0</v>
      </c>
      <c r="O16" s="17">
        <v>0</v>
      </c>
      <c r="P16" s="22">
        <f t="shared" si="0"/>
        <v>0</v>
      </c>
      <c r="Q16" s="22">
        <f t="shared" si="4"/>
        <v>0</v>
      </c>
      <c r="R16" s="87">
        <f t="shared" si="1"/>
        <v>0</v>
      </c>
      <c r="S16" s="87">
        <f t="shared" si="2"/>
        <v>0</v>
      </c>
      <c r="T16" s="87">
        <f t="shared" si="5"/>
        <v>0</v>
      </c>
      <c r="U16" s="87">
        <f t="shared" si="6"/>
        <v>0</v>
      </c>
      <c r="V16" s="88">
        <f t="shared" si="3"/>
        <v>252.31599999999997</v>
      </c>
    </row>
    <row r="17" spans="1:22" ht="71" customHeight="1">
      <c r="A17" s="17">
        <v>11</v>
      </c>
      <c r="B17" s="109" t="s">
        <v>132</v>
      </c>
      <c r="C17" s="77" t="e" vm="12">
        <v>#VALUE!</v>
      </c>
      <c r="D17" s="17">
        <v>17</v>
      </c>
      <c r="E17" s="17">
        <v>12</v>
      </c>
      <c r="F17" s="17">
        <v>3</v>
      </c>
      <c r="G17" s="76">
        <f>G15</f>
        <v>0.66666666666666663</v>
      </c>
      <c r="H17" s="76">
        <v>0</v>
      </c>
      <c r="I17" s="76">
        <v>0</v>
      </c>
      <c r="J17" s="76">
        <v>0</v>
      </c>
      <c r="K17" s="76">
        <v>0</v>
      </c>
      <c r="L17" s="76">
        <f>L15</f>
        <v>0.33333333333333331</v>
      </c>
      <c r="M17" s="76">
        <v>0</v>
      </c>
      <c r="N17" s="76">
        <v>0</v>
      </c>
      <c r="O17" s="17">
        <v>0</v>
      </c>
      <c r="P17" s="22">
        <f t="shared" si="0"/>
        <v>0</v>
      </c>
      <c r="Q17" s="22">
        <f t="shared" si="4"/>
        <v>0</v>
      </c>
      <c r="R17" s="87">
        <f t="shared" si="1"/>
        <v>0</v>
      </c>
      <c r="S17" s="87">
        <f t="shared" si="2"/>
        <v>0</v>
      </c>
      <c r="T17" s="87">
        <f t="shared" si="5"/>
        <v>0</v>
      </c>
      <c r="U17" s="87">
        <f t="shared" si="6"/>
        <v>0</v>
      </c>
      <c r="V17" s="88">
        <f t="shared" si="3"/>
        <v>216.28299999999999</v>
      </c>
    </row>
    <row r="18" spans="1:22" ht="117" customHeight="1">
      <c r="A18" s="114">
        <v>12</v>
      </c>
      <c r="B18" s="109" t="s">
        <v>30</v>
      </c>
      <c r="C18" s="77" t="e" vm="13">
        <v>#VALUE!</v>
      </c>
      <c r="D18" s="17">
        <v>24</v>
      </c>
      <c r="E18" s="17">
        <v>12</v>
      </c>
      <c r="F18" s="17">
        <v>7</v>
      </c>
      <c r="G18" s="76">
        <v>0</v>
      </c>
      <c r="H18" s="76">
        <v>0</v>
      </c>
      <c r="I18" s="76">
        <v>0</v>
      </c>
      <c r="J18" s="76">
        <v>0</v>
      </c>
      <c r="K18" s="76">
        <v>0</v>
      </c>
      <c r="L18" s="76">
        <f>6/7</f>
        <v>0.8571428571428571</v>
      </c>
      <c r="M18" s="76">
        <v>0</v>
      </c>
      <c r="N18" s="76">
        <f>1/7</f>
        <v>0.14285714285714285</v>
      </c>
      <c r="O18" s="17">
        <v>0</v>
      </c>
      <c r="P18" s="22">
        <f t="shared" si="0"/>
        <v>0</v>
      </c>
      <c r="Q18" s="22">
        <f t="shared" si="4"/>
        <v>0</v>
      </c>
      <c r="R18" s="87">
        <f t="shared" si="1"/>
        <v>0</v>
      </c>
      <c r="S18" s="87">
        <f t="shared" si="2"/>
        <v>0</v>
      </c>
      <c r="T18" s="87">
        <f t="shared" si="5"/>
        <v>0</v>
      </c>
      <c r="U18" s="87">
        <f t="shared" si="6"/>
        <v>0</v>
      </c>
      <c r="V18" s="88">
        <f t="shared" si="3"/>
        <v>300.36</v>
      </c>
    </row>
    <row r="19" spans="1:22" ht="93" customHeight="1">
      <c r="A19" s="114">
        <v>13</v>
      </c>
      <c r="B19" s="109" t="s">
        <v>28</v>
      </c>
      <c r="C19" s="78" t="e" vm="14">
        <v>#VALUE!</v>
      </c>
      <c r="D19" s="17">
        <v>20</v>
      </c>
      <c r="E19" s="17">
        <v>12</v>
      </c>
      <c r="F19" s="17">
        <v>5</v>
      </c>
      <c r="G19" s="76">
        <v>0</v>
      </c>
      <c r="H19" s="76">
        <f>4/5</f>
        <v>0.8</v>
      </c>
      <c r="I19" s="76">
        <v>0</v>
      </c>
      <c r="J19" s="76">
        <v>0</v>
      </c>
      <c r="K19" s="76">
        <v>0</v>
      </c>
      <c r="L19" s="76">
        <v>0</v>
      </c>
      <c r="M19" s="76">
        <v>0</v>
      </c>
      <c r="N19" s="76">
        <f>1/5</f>
        <v>0.2</v>
      </c>
      <c r="O19" s="17">
        <v>0</v>
      </c>
      <c r="P19" s="22">
        <f t="shared" si="0"/>
        <v>0</v>
      </c>
      <c r="Q19" s="22">
        <f t="shared" si="4"/>
        <v>0</v>
      </c>
      <c r="R19" s="87">
        <f t="shared" si="1"/>
        <v>0</v>
      </c>
      <c r="S19" s="87">
        <f t="shared" si="2"/>
        <v>0</v>
      </c>
      <c r="T19" s="87">
        <f t="shared" si="5"/>
        <v>0</v>
      </c>
      <c r="U19" s="87">
        <f t="shared" si="6"/>
        <v>0</v>
      </c>
      <c r="V19" s="88">
        <f t="shared" si="3"/>
        <v>252.31599999999997</v>
      </c>
    </row>
    <row r="20" spans="1:22" ht="95" customHeight="1">
      <c r="A20" s="17">
        <v>14</v>
      </c>
      <c r="B20" s="109" t="s">
        <v>133</v>
      </c>
      <c r="C20" s="78" t="e" vm="15">
        <v>#VALUE!</v>
      </c>
      <c r="D20" s="17">
        <v>20</v>
      </c>
      <c r="E20" s="17">
        <v>12</v>
      </c>
      <c r="F20" s="17">
        <v>5</v>
      </c>
      <c r="G20" s="76">
        <f>1/5</f>
        <v>0.2</v>
      </c>
      <c r="H20" s="76">
        <f>1/5</f>
        <v>0.2</v>
      </c>
      <c r="I20" s="76">
        <v>0</v>
      </c>
      <c r="J20" s="76">
        <v>0</v>
      </c>
      <c r="K20" s="76">
        <v>0</v>
      </c>
      <c r="L20" s="76">
        <v>0.4</v>
      </c>
      <c r="M20" s="76">
        <v>0.2</v>
      </c>
      <c r="N20" s="76">
        <v>0</v>
      </c>
      <c r="O20" s="17">
        <v>0</v>
      </c>
      <c r="P20" s="22">
        <f t="shared" si="0"/>
        <v>0</v>
      </c>
      <c r="Q20" s="22">
        <f t="shared" si="4"/>
        <v>0</v>
      </c>
      <c r="R20" s="87">
        <f t="shared" si="1"/>
        <v>0</v>
      </c>
      <c r="S20" s="87">
        <f t="shared" si="2"/>
        <v>0</v>
      </c>
      <c r="T20" s="87">
        <f t="shared" si="5"/>
        <v>0</v>
      </c>
      <c r="U20" s="87">
        <f t="shared" si="6"/>
        <v>0</v>
      </c>
      <c r="V20" s="88">
        <f t="shared" si="3"/>
        <v>252.31599999999997</v>
      </c>
    </row>
    <row r="21" spans="1:22" ht="102" customHeight="1">
      <c r="A21" s="114">
        <v>15</v>
      </c>
      <c r="B21" s="109" t="s">
        <v>134</v>
      </c>
      <c r="C21" s="78" t="e" vm="16">
        <v>#VALUE!</v>
      </c>
      <c r="D21" s="17">
        <v>22</v>
      </c>
      <c r="E21" s="17">
        <v>12</v>
      </c>
      <c r="F21" s="17">
        <v>6</v>
      </c>
      <c r="G21" s="76">
        <v>0</v>
      </c>
      <c r="H21" s="76">
        <f>2/6</f>
        <v>0.33333333333333331</v>
      </c>
      <c r="I21" s="76">
        <v>0</v>
      </c>
      <c r="J21" s="76">
        <v>0</v>
      </c>
      <c r="K21" s="76">
        <v>0</v>
      </c>
      <c r="L21" s="76">
        <f>3/6</f>
        <v>0.5</v>
      </c>
      <c r="M21" s="76">
        <v>0</v>
      </c>
      <c r="N21" s="76">
        <f>1/6</f>
        <v>0.16666666666666666</v>
      </c>
      <c r="O21" s="17">
        <v>0</v>
      </c>
      <c r="P21" s="22">
        <f t="shared" si="0"/>
        <v>0</v>
      </c>
      <c r="Q21" s="22">
        <f t="shared" si="4"/>
        <v>0</v>
      </c>
      <c r="R21" s="87">
        <f t="shared" si="1"/>
        <v>0</v>
      </c>
      <c r="S21" s="87">
        <f t="shared" si="2"/>
        <v>0</v>
      </c>
      <c r="T21" s="87">
        <f t="shared" si="5"/>
        <v>0</v>
      </c>
      <c r="U21" s="87">
        <f t="shared" si="6"/>
        <v>0</v>
      </c>
      <c r="V21" s="88">
        <f t="shared" si="3"/>
        <v>276.33799999999997</v>
      </c>
    </row>
    <row r="22" spans="1:22" ht="137" customHeight="1">
      <c r="A22" s="17">
        <v>16</v>
      </c>
      <c r="B22" s="109" t="s">
        <v>135</v>
      </c>
      <c r="C22" s="77" t="e" vm="17">
        <v>#VALUE!</v>
      </c>
      <c r="D22" s="17">
        <v>42</v>
      </c>
      <c r="E22" s="17">
        <v>16</v>
      </c>
      <c r="F22" s="17">
        <v>14</v>
      </c>
      <c r="G22" s="76">
        <v>0</v>
      </c>
      <c r="H22" s="76">
        <v>0</v>
      </c>
      <c r="I22" s="76">
        <v>0</v>
      </c>
      <c r="J22" s="76">
        <v>0</v>
      </c>
      <c r="K22" s="76">
        <v>0</v>
      </c>
      <c r="L22" s="76">
        <f>6/14</f>
        <v>0.42857142857142855</v>
      </c>
      <c r="M22" s="76">
        <f>4/14</f>
        <v>0.2857142857142857</v>
      </c>
      <c r="N22" s="76">
        <f>4/14</f>
        <v>0.2857142857142857</v>
      </c>
      <c r="O22" s="17">
        <v>0</v>
      </c>
      <c r="P22" s="22">
        <f t="shared" si="0"/>
        <v>0</v>
      </c>
      <c r="Q22" s="22">
        <f t="shared" si="4"/>
        <v>0</v>
      </c>
      <c r="R22" s="87">
        <f t="shared" si="1"/>
        <v>0</v>
      </c>
      <c r="S22" s="87">
        <f t="shared" si="2"/>
        <v>0</v>
      </c>
      <c r="T22" s="87">
        <f t="shared" si="5"/>
        <v>0</v>
      </c>
      <c r="U22" s="87">
        <f t="shared" si="6"/>
        <v>0</v>
      </c>
      <c r="V22" s="88">
        <f t="shared" si="3"/>
        <v>520.59</v>
      </c>
    </row>
    <row r="23" spans="1:22" ht="167" customHeight="1">
      <c r="A23" s="17">
        <v>17</v>
      </c>
      <c r="B23" s="109" t="s">
        <v>136</v>
      </c>
      <c r="C23" s="77" t="e" vm="18">
        <v>#VALUE!</v>
      </c>
      <c r="D23" s="17">
        <v>54</v>
      </c>
      <c r="E23" s="17">
        <v>18</v>
      </c>
      <c r="F23" s="17">
        <v>19</v>
      </c>
      <c r="G23" s="76">
        <v>0</v>
      </c>
      <c r="H23" s="76">
        <v>0</v>
      </c>
      <c r="I23" s="76">
        <v>0</v>
      </c>
      <c r="J23" s="76">
        <v>0</v>
      </c>
      <c r="K23" s="76">
        <v>0</v>
      </c>
      <c r="L23" s="76">
        <f>6/19</f>
        <v>0.31578947368421051</v>
      </c>
      <c r="M23" s="76">
        <f>6/19</f>
        <v>0.31578947368421051</v>
      </c>
      <c r="N23" s="76">
        <f>7/19</f>
        <v>0.36842105263157893</v>
      </c>
      <c r="O23" s="17">
        <v>0</v>
      </c>
      <c r="P23" s="22">
        <f t="shared" si="0"/>
        <v>0</v>
      </c>
      <c r="Q23" s="22">
        <f t="shared" si="4"/>
        <v>0</v>
      </c>
      <c r="R23" s="87">
        <f t="shared" si="1"/>
        <v>0</v>
      </c>
      <c r="S23" s="87">
        <f t="shared" si="2"/>
        <v>0</v>
      </c>
      <c r="T23" s="87">
        <f t="shared" si="5"/>
        <v>0</v>
      </c>
      <c r="U23" s="87">
        <f t="shared" si="6"/>
        <v>0</v>
      </c>
      <c r="V23" s="88">
        <f t="shared" si="3"/>
        <v>666.73799999999994</v>
      </c>
    </row>
    <row r="24" spans="1:22" ht="151" customHeight="1">
      <c r="A24" s="17">
        <v>18</v>
      </c>
      <c r="B24" s="109" t="s">
        <v>137</v>
      </c>
      <c r="C24" s="77" t="e" vm="19">
        <v>#VALUE!</v>
      </c>
      <c r="D24" s="17">
        <v>66</v>
      </c>
      <c r="E24" s="17">
        <v>20</v>
      </c>
      <c r="F24" s="17">
        <v>24</v>
      </c>
      <c r="G24" s="76">
        <v>0</v>
      </c>
      <c r="H24" s="76">
        <v>0</v>
      </c>
      <c r="I24" s="76">
        <v>0</v>
      </c>
      <c r="J24" s="76">
        <v>0</v>
      </c>
      <c r="K24" s="76">
        <v>0</v>
      </c>
      <c r="L24" s="76">
        <f>6/24</f>
        <v>0.25</v>
      </c>
      <c r="M24" s="76">
        <f>8/24</f>
        <v>0.33333333333333331</v>
      </c>
      <c r="N24" s="76">
        <f>10/24</f>
        <v>0.41666666666666669</v>
      </c>
      <c r="O24" s="17">
        <v>10</v>
      </c>
      <c r="P24" s="22">
        <f t="shared" si="0"/>
        <v>11.111111111111111</v>
      </c>
      <c r="Q24" s="22">
        <f t="shared" si="4"/>
        <v>24</v>
      </c>
      <c r="R24" s="87">
        <f t="shared" si="1"/>
        <v>660</v>
      </c>
      <c r="S24" s="87">
        <f t="shared" si="2"/>
        <v>200</v>
      </c>
      <c r="T24" s="87">
        <f t="shared" si="5"/>
        <v>9.5513748191027492</v>
      </c>
      <c r="U24" s="87">
        <f t="shared" si="6"/>
        <v>9.3023255813953494</v>
      </c>
      <c r="V24" s="88">
        <f t="shared" si="3"/>
        <v>812.88599999999997</v>
      </c>
    </row>
    <row r="25" spans="1:22" ht="151" customHeight="1">
      <c r="A25" s="17">
        <v>19</v>
      </c>
      <c r="B25" s="109" t="s">
        <v>138</v>
      </c>
      <c r="C25" s="77" t="e" vm="20">
        <v>#VALUE!</v>
      </c>
      <c r="D25" s="17">
        <v>70</v>
      </c>
      <c r="E25" s="17">
        <v>22</v>
      </c>
      <c r="F25" s="17">
        <v>25</v>
      </c>
      <c r="G25" s="76">
        <v>0</v>
      </c>
      <c r="H25" s="76">
        <f>2/25</f>
        <v>0.08</v>
      </c>
      <c r="I25" s="76">
        <v>0</v>
      </c>
      <c r="J25" s="76">
        <v>0</v>
      </c>
      <c r="K25" s="76">
        <v>0</v>
      </c>
      <c r="L25" s="76">
        <v>0.08</v>
      </c>
      <c r="M25" s="76">
        <f>12/25</f>
        <v>0.48</v>
      </c>
      <c r="N25" s="76">
        <f>9/25</f>
        <v>0.36</v>
      </c>
      <c r="O25" s="17">
        <v>28</v>
      </c>
      <c r="P25" s="22">
        <f t="shared" si="0"/>
        <v>31.111111111111111</v>
      </c>
      <c r="Q25" s="22">
        <f t="shared" si="4"/>
        <v>25</v>
      </c>
      <c r="R25" s="87">
        <f t="shared" si="1"/>
        <v>1960</v>
      </c>
      <c r="S25" s="87">
        <f t="shared" si="2"/>
        <v>616</v>
      </c>
      <c r="T25" s="87">
        <f t="shared" si="5"/>
        <v>28.364688856729376</v>
      </c>
      <c r="U25" s="87">
        <f t="shared" si="6"/>
        <v>28.651162790697676</v>
      </c>
      <c r="V25" s="88">
        <f t="shared" si="3"/>
        <v>862.94600000000003</v>
      </c>
    </row>
    <row r="26" spans="1:22" ht="151" customHeight="1">
      <c r="A26" s="17">
        <v>20</v>
      </c>
      <c r="B26" s="109" t="s">
        <v>139</v>
      </c>
      <c r="C26" s="77" t="e" vm="21">
        <v>#VALUE!</v>
      </c>
      <c r="D26" s="17">
        <v>80</v>
      </c>
      <c r="E26" s="17">
        <f>22</f>
        <v>22</v>
      </c>
      <c r="F26" s="17">
        <v>30</v>
      </c>
      <c r="G26" s="76">
        <v>0</v>
      </c>
      <c r="H26" s="76">
        <v>0</v>
      </c>
      <c r="I26" s="76">
        <v>0</v>
      </c>
      <c r="J26" s="76">
        <v>0</v>
      </c>
      <c r="K26" s="76">
        <v>0</v>
      </c>
      <c r="L26" s="76">
        <f>6/30</f>
        <v>0.2</v>
      </c>
      <c r="M26" s="76">
        <f>10/30</f>
        <v>0.33333333333333331</v>
      </c>
      <c r="N26" s="76">
        <f>14/30</f>
        <v>0.46666666666666667</v>
      </c>
      <c r="O26" s="17">
        <v>47</v>
      </c>
      <c r="P26" s="22">
        <f t="shared" si="0"/>
        <v>52.222222222222229</v>
      </c>
      <c r="Q26" s="22">
        <f t="shared" si="4"/>
        <v>30</v>
      </c>
      <c r="R26" s="87">
        <f t="shared" si="1"/>
        <v>3760</v>
      </c>
      <c r="S26" s="87">
        <f t="shared" si="2"/>
        <v>1034</v>
      </c>
      <c r="T26" s="87">
        <f t="shared" si="5"/>
        <v>54.413892908827791</v>
      </c>
      <c r="U26" s="87">
        <f t="shared" si="6"/>
        <v>48.093023255813954</v>
      </c>
      <c r="V26" s="88">
        <f t="shared" si="3"/>
        <v>983.05599999999993</v>
      </c>
    </row>
    <row r="27" spans="1:22" ht="173" customHeight="1">
      <c r="A27" s="17">
        <v>21</v>
      </c>
      <c r="B27" s="110" t="s">
        <v>140</v>
      </c>
      <c r="C27" s="77" t="e" vm="22">
        <v>#VALUE!</v>
      </c>
      <c r="D27" s="17">
        <v>84</v>
      </c>
      <c r="E27" s="17">
        <v>24</v>
      </c>
      <c r="F27" s="17">
        <v>31</v>
      </c>
      <c r="G27" s="76">
        <v>0</v>
      </c>
      <c r="H27" s="76">
        <v>0</v>
      </c>
      <c r="I27" s="76">
        <v>0</v>
      </c>
      <c r="J27" s="76">
        <v>0</v>
      </c>
      <c r="K27" s="76">
        <v>0</v>
      </c>
      <c r="L27" s="76">
        <f>(31-18)/31</f>
        <v>0.41935483870967744</v>
      </c>
      <c r="M27" s="76">
        <v>0</v>
      </c>
      <c r="N27" s="76">
        <f>18/31</f>
        <v>0.58064516129032262</v>
      </c>
      <c r="O27" s="17">
        <v>0</v>
      </c>
      <c r="P27" s="22">
        <f t="shared" si="0"/>
        <v>0</v>
      </c>
      <c r="Q27" s="22">
        <f t="shared" si="4"/>
        <v>0</v>
      </c>
      <c r="R27" s="87">
        <f t="shared" si="1"/>
        <v>0</v>
      </c>
      <c r="S27" s="87">
        <f t="shared" si="2"/>
        <v>0</v>
      </c>
      <c r="T27" s="87">
        <f t="shared" si="5"/>
        <v>0</v>
      </c>
      <c r="U27" s="87">
        <f t="shared" si="6"/>
        <v>0</v>
      </c>
      <c r="V27" s="88">
        <f t="shared" si="3"/>
        <v>1033.116</v>
      </c>
    </row>
    <row r="28" spans="1:22" ht="136" customHeight="1">
      <c r="A28" s="17">
        <v>22</v>
      </c>
      <c r="B28" s="17" t="s">
        <v>161</v>
      </c>
      <c r="C28" s="77" t="e" vm="23">
        <v>#VALUE!</v>
      </c>
      <c r="D28" s="17">
        <f>30-11</f>
        <v>19</v>
      </c>
      <c r="E28" s="17">
        <v>11</v>
      </c>
      <c r="F28" s="17">
        <v>5</v>
      </c>
      <c r="G28" s="76">
        <v>0</v>
      </c>
      <c r="H28" s="76">
        <f>2/F28</f>
        <v>0.4</v>
      </c>
      <c r="K28" s="76">
        <v>0</v>
      </c>
      <c r="L28" s="76">
        <f>2/F28</f>
        <v>0.4</v>
      </c>
      <c r="M28" s="76">
        <f>1/F28</f>
        <v>0.2</v>
      </c>
      <c r="N28" s="76">
        <v>0</v>
      </c>
      <c r="O28" s="17">
        <v>0</v>
      </c>
      <c r="P28" s="22">
        <f t="shared" si="0"/>
        <v>0</v>
      </c>
      <c r="Q28" s="22">
        <f t="shared" si="4"/>
        <v>0</v>
      </c>
      <c r="R28" s="87">
        <f t="shared" si="1"/>
        <v>0</v>
      </c>
      <c r="S28" s="87">
        <f t="shared" si="2"/>
        <v>0</v>
      </c>
      <c r="T28" s="87">
        <f t="shared" si="5"/>
        <v>0</v>
      </c>
      <c r="U28" s="87">
        <f t="shared" si="6"/>
        <v>0</v>
      </c>
      <c r="V28" s="88">
        <f t="shared" si="3"/>
        <v>239.29699999999997</v>
      </c>
    </row>
    <row r="29" spans="1:22" ht="119" customHeight="1">
      <c r="A29" s="17">
        <v>23</v>
      </c>
      <c r="B29" s="17" t="s">
        <v>162</v>
      </c>
      <c r="C29" s="77" t="e" vm="24">
        <v>#VALUE!</v>
      </c>
      <c r="D29" s="17">
        <f>41-14</f>
        <v>27</v>
      </c>
      <c r="E29" s="17">
        <v>14</v>
      </c>
      <c r="F29" s="17">
        <v>8</v>
      </c>
      <c r="G29" s="76">
        <v>0</v>
      </c>
      <c r="H29" s="76">
        <f>1/F29</f>
        <v>0.125</v>
      </c>
      <c r="K29" s="76">
        <v>0</v>
      </c>
      <c r="L29" s="76">
        <f>4/F29</f>
        <v>0.5</v>
      </c>
      <c r="M29" s="76">
        <f>2/F29</f>
        <v>0.25</v>
      </c>
      <c r="N29" s="76">
        <f>1/F29</f>
        <v>0.125</v>
      </c>
      <c r="O29" s="17">
        <v>0</v>
      </c>
      <c r="P29" s="22">
        <f t="shared" si="0"/>
        <v>0</v>
      </c>
      <c r="Q29" s="22">
        <f t="shared" si="4"/>
        <v>0</v>
      </c>
      <c r="R29" s="87">
        <f t="shared" si="1"/>
        <v>0</v>
      </c>
      <c r="S29" s="87">
        <f t="shared" si="2"/>
        <v>0</v>
      </c>
      <c r="T29" s="87">
        <f t="shared" si="5"/>
        <v>0</v>
      </c>
      <c r="U29" s="87">
        <f t="shared" si="6"/>
        <v>0</v>
      </c>
      <c r="V29" s="88">
        <f t="shared" si="3"/>
        <v>338.40899999999999</v>
      </c>
    </row>
    <row r="30" spans="1:22" ht="114" customHeight="1">
      <c r="A30" s="17">
        <v>24</v>
      </c>
      <c r="B30" s="17" t="s">
        <v>163</v>
      </c>
      <c r="C30" s="77" t="e" vm="25">
        <v>#VALUE!</v>
      </c>
      <c r="D30" s="17">
        <f>45-15</f>
        <v>30</v>
      </c>
      <c r="E30" s="17">
        <v>15</v>
      </c>
      <c r="F30" s="17">
        <v>9</v>
      </c>
      <c r="G30" s="76">
        <v>0</v>
      </c>
      <c r="H30" s="76">
        <f>2/F30</f>
        <v>0.22222222222222221</v>
      </c>
      <c r="K30" s="76">
        <v>0</v>
      </c>
      <c r="L30" s="76">
        <f>3/F30</f>
        <v>0.33333333333333331</v>
      </c>
      <c r="M30" s="76">
        <f>2/F30</f>
        <v>0.22222222222222221</v>
      </c>
      <c r="N30" s="76">
        <f>2/F30</f>
        <v>0.22222222222222221</v>
      </c>
      <c r="O30" s="17">
        <v>0</v>
      </c>
      <c r="P30" s="22">
        <f t="shared" si="0"/>
        <v>0</v>
      </c>
      <c r="Q30" s="22">
        <f t="shared" si="4"/>
        <v>0</v>
      </c>
      <c r="R30" s="87">
        <f t="shared" si="1"/>
        <v>0</v>
      </c>
      <c r="S30" s="87">
        <f t="shared" si="2"/>
        <v>0</v>
      </c>
      <c r="T30" s="87">
        <f t="shared" si="5"/>
        <v>0</v>
      </c>
      <c r="U30" s="87">
        <f t="shared" si="6"/>
        <v>0</v>
      </c>
      <c r="V30" s="88">
        <f t="shared" si="3"/>
        <v>375.45</v>
      </c>
    </row>
    <row r="31" spans="1:22" ht="151" customHeight="1">
      <c r="A31" s="17">
        <v>25</v>
      </c>
      <c r="B31" s="17" t="s">
        <v>164</v>
      </c>
      <c r="C31" s="77" t="e" vm="26">
        <v>#VALUE!</v>
      </c>
      <c r="D31" s="17">
        <f>50-17</f>
        <v>33</v>
      </c>
      <c r="E31" s="17">
        <v>17</v>
      </c>
      <c r="F31" s="17">
        <v>10</v>
      </c>
      <c r="G31" s="76">
        <v>0</v>
      </c>
      <c r="H31" s="76">
        <f>3/F31</f>
        <v>0.3</v>
      </c>
      <c r="K31" s="76">
        <v>0</v>
      </c>
      <c r="L31" s="76">
        <f>2/F31</f>
        <v>0.2</v>
      </c>
      <c r="M31" s="76">
        <f>2/F31</f>
        <v>0.2</v>
      </c>
      <c r="N31" s="76">
        <f>3/F31</f>
        <v>0.3</v>
      </c>
      <c r="O31" s="17">
        <v>0</v>
      </c>
      <c r="P31" s="22">
        <f t="shared" si="0"/>
        <v>0</v>
      </c>
      <c r="Q31" s="22">
        <f t="shared" si="4"/>
        <v>0</v>
      </c>
      <c r="R31" s="87">
        <f t="shared" si="1"/>
        <v>0</v>
      </c>
      <c r="S31" s="87">
        <f t="shared" si="2"/>
        <v>0</v>
      </c>
      <c r="T31" s="87">
        <f t="shared" si="5"/>
        <v>0</v>
      </c>
      <c r="U31" s="87">
        <f t="shared" si="6"/>
        <v>0</v>
      </c>
      <c r="V31" s="88">
        <f t="shared" si="3"/>
        <v>413.49900000000002</v>
      </c>
    </row>
    <row r="32" spans="1:22" ht="173" customHeight="1">
      <c r="A32" s="17">
        <v>26</v>
      </c>
      <c r="B32" s="17" t="s">
        <v>165</v>
      </c>
      <c r="C32" s="77" t="e" vm="27">
        <v>#VALUE!</v>
      </c>
      <c r="D32" s="17">
        <f>55-19</f>
        <v>36</v>
      </c>
      <c r="E32" s="17">
        <v>19</v>
      </c>
      <c r="F32" s="17">
        <v>11</v>
      </c>
      <c r="G32" s="76">
        <v>0</v>
      </c>
      <c r="H32" s="76">
        <f>4/F32</f>
        <v>0.36363636363636365</v>
      </c>
      <c r="K32" s="76">
        <v>0</v>
      </c>
      <c r="L32" s="76">
        <f>1/F32</f>
        <v>9.0909090909090912E-2</v>
      </c>
      <c r="M32" s="76">
        <f>2/F32</f>
        <v>0.18181818181818182</v>
      </c>
      <c r="N32" s="76">
        <f>4/F32</f>
        <v>0.36363636363636365</v>
      </c>
      <c r="O32" s="17">
        <v>0</v>
      </c>
      <c r="P32" s="22">
        <f t="shared" si="0"/>
        <v>0</v>
      </c>
      <c r="Q32" s="22">
        <f t="shared" si="4"/>
        <v>0</v>
      </c>
      <c r="R32" s="87">
        <f t="shared" si="1"/>
        <v>0</v>
      </c>
      <c r="S32" s="87">
        <f t="shared" si="2"/>
        <v>0</v>
      </c>
      <c r="T32" s="87">
        <f t="shared" si="5"/>
        <v>0</v>
      </c>
      <c r="U32" s="87">
        <f t="shared" si="6"/>
        <v>0</v>
      </c>
      <c r="V32" s="88">
        <f t="shared" si="3"/>
        <v>451.54799999999994</v>
      </c>
    </row>
    <row r="33" spans="1:22" ht="213" customHeight="1">
      <c r="A33" s="17">
        <v>27</v>
      </c>
      <c r="B33" s="17" t="s">
        <v>166</v>
      </c>
      <c r="C33" s="77" t="e" vm="28">
        <v>#VALUE!</v>
      </c>
      <c r="D33" s="17">
        <f>60-21</f>
        <v>39</v>
      </c>
      <c r="E33" s="17">
        <v>21</v>
      </c>
      <c r="F33" s="17">
        <v>12</v>
      </c>
      <c r="G33" s="76">
        <v>0</v>
      </c>
      <c r="H33" s="76">
        <f>5/F33</f>
        <v>0.41666666666666669</v>
      </c>
      <c r="K33" s="76">
        <v>0</v>
      </c>
      <c r="L33" s="76">
        <f>0</f>
        <v>0</v>
      </c>
      <c r="M33" s="76">
        <f>2/F33</f>
        <v>0.16666666666666666</v>
      </c>
      <c r="N33" s="76">
        <f>5/F33</f>
        <v>0.41666666666666669</v>
      </c>
      <c r="O33" s="17">
        <v>0</v>
      </c>
      <c r="P33" s="22">
        <f t="shared" si="0"/>
        <v>0</v>
      </c>
      <c r="Q33" s="22">
        <f t="shared" si="4"/>
        <v>0</v>
      </c>
      <c r="R33" s="87">
        <f t="shared" si="1"/>
        <v>0</v>
      </c>
      <c r="S33" s="87">
        <f t="shared" si="2"/>
        <v>0</v>
      </c>
      <c r="T33" s="87">
        <f t="shared" si="5"/>
        <v>0</v>
      </c>
      <c r="U33" s="87">
        <f t="shared" si="6"/>
        <v>0</v>
      </c>
      <c r="V33" s="88">
        <f t="shared" si="3"/>
        <v>489.59699999999998</v>
      </c>
    </row>
    <row r="34" spans="1:22" ht="238" customHeight="1">
      <c r="A34" s="17">
        <v>28</v>
      </c>
      <c r="B34" s="17" t="s">
        <v>167</v>
      </c>
      <c r="C34" s="77" t="e" vm="29">
        <v>#VALUE!</v>
      </c>
      <c r="D34" s="17">
        <f>65-23</f>
        <v>42</v>
      </c>
      <c r="E34" s="17">
        <v>23</v>
      </c>
      <c r="F34" s="17">
        <v>13</v>
      </c>
      <c r="G34" s="76">
        <v>0</v>
      </c>
      <c r="H34" s="76">
        <f>6/F34</f>
        <v>0.46153846153846156</v>
      </c>
      <c r="K34" s="76">
        <v>0</v>
      </c>
      <c r="L34" s="76">
        <v>0</v>
      </c>
      <c r="M34" s="76">
        <v>0</v>
      </c>
      <c r="N34" s="76">
        <f t="shared" ref="N34:N39" si="7">7/F34</f>
        <v>0.53846153846153844</v>
      </c>
      <c r="O34" s="17">
        <v>10</v>
      </c>
      <c r="P34" s="22">
        <f t="shared" si="0"/>
        <v>11.111111111111111</v>
      </c>
      <c r="Q34" s="22">
        <f t="shared" si="4"/>
        <v>13</v>
      </c>
      <c r="R34" s="87">
        <f t="shared" si="1"/>
        <v>420</v>
      </c>
      <c r="S34" s="87">
        <f t="shared" si="2"/>
        <v>230</v>
      </c>
      <c r="T34" s="87">
        <f t="shared" si="5"/>
        <v>6.0781476121562958</v>
      </c>
      <c r="U34" s="87">
        <f t="shared" si="6"/>
        <v>10.697674418604651</v>
      </c>
      <c r="V34" s="88">
        <f t="shared" si="3"/>
        <v>527.64599999999996</v>
      </c>
    </row>
    <row r="35" spans="1:22" ht="204" customHeight="1">
      <c r="A35" s="17">
        <v>29</v>
      </c>
      <c r="B35" s="17" t="s">
        <v>169</v>
      </c>
      <c r="C35" s="77" t="e" vm="30">
        <v>#VALUE!</v>
      </c>
      <c r="D35" s="17">
        <f>66-22</f>
        <v>44</v>
      </c>
      <c r="E35" s="17">
        <v>22</v>
      </c>
      <c r="F35" s="17">
        <v>14</v>
      </c>
      <c r="G35" s="76">
        <v>0</v>
      </c>
      <c r="H35" s="76">
        <f>4/F35</f>
        <v>0.2857142857142857</v>
      </c>
      <c r="K35" s="76">
        <v>0</v>
      </c>
      <c r="L35" s="76">
        <f>3/F35</f>
        <v>0.21428571428571427</v>
      </c>
      <c r="M35" s="76">
        <v>0</v>
      </c>
      <c r="N35" s="76">
        <f t="shared" si="7"/>
        <v>0.5</v>
      </c>
      <c r="O35" s="17">
        <v>0</v>
      </c>
      <c r="P35" s="22">
        <f t="shared" si="0"/>
        <v>0</v>
      </c>
      <c r="Q35" s="22">
        <f t="shared" si="4"/>
        <v>0</v>
      </c>
      <c r="R35" s="87">
        <f t="shared" si="1"/>
        <v>0</v>
      </c>
      <c r="S35" s="87">
        <f t="shared" si="2"/>
        <v>0</v>
      </c>
      <c r="T35" s="87">
        <f t="shared" si="5"/>
        <v>0</v>
      </c>
      <c r="U35" s="87">
        <f t="shared" si="6"/>
        <v>0</v>
      </c>
      <c r="V35" s="88">
        <f t="shared" si="3"/>
        <v>550.66</v>
      </c>
    </row>
    <row r="36" spans="1:22" ht="171" customHeight="1">
      <c r="A36" s="17">
        <v>30</v>
      </c>
      <c r="B36" s="17" t="s">
        <v>168</v>
      </c>
      <c r="C36" s="77" t="e" vm="31">
        <v>#VALUE!</v>
      </c>
      <c r="D36" s="17">
        <f>67-21</f>
        <v>46</v>
      </c>
      <c r="E36" s="17">
        <v>21</v>
      </c>
      <c r="F36" s="17">
        <v>15</v>
      </c>
      <c r="G36" s="76">
        <v>0</v>
      </c>
      <c r="H36" s="76">
        <f>3/F36</f>
        <v>0.2</v>
      </c>
      <c r="K36" s="76">
        <v>0</v>
      </c>
      <c r="L36" s="76">
        <f>4/F36</f>
        <v>0.26666666666666666</v>
      </c>
      <c r="M36" s="76">
        <f>1/F36</f>
        <v>6.6666666666666666E-2</v>
      </c>
      <c r="N36" s="76">
        <f t="shared" si="7"/>
        <v>0.46666666666666667</v>
      </c>
      <c r="O36" s="17">
        <v>0</v>
      </c>
      <c r="P36" s="22">
        <f t="shared" si="0"/>
        <v>0</v>
      </c>
      <c r="Q36" s="22">
        <f t="shared" si="4"/>
        <v>0</v>
      </c>
      <c r="R36" s="87">
        <f t="shared" si="1"/>
        <v>0</v>
      </c>
      <c r="S36" s="87">
        <f t="shared" si="2"/>
        <v>0</v>
      </c>
      <c r="T36" s="87">
        <f t="shared" si="5"/>
        <v>0</v>
      </c>
      <c r="U36" s="87">
        <f t="shared" si="6"/>
        <v>0</v>
      </c>
      <c r="V36" s="88">
        <f t="shared" si="3"/>
        <v>573.67399999999998</v>
      </c>
    </row>
    <row r="37" spans="1:22" ht="202" customHeight="1">
      <c r="A37" s="17">
        <v>31</v>
      </c>
      <c r="B37" s="17" t="s">
        <v>170</v>
      </c>
      <c r="C37" s="77" t="e" vm="32">
        <v>#VALUE!</v>
      </c>
      <c r="D37" s="17">
        <f>69-21</f>
        <v>48</v>
      </c>
      <c r="E37" s="17">
        <v>21</v>
      </c>
      <c r="F37" s="17">
        <v>16</v>
      </c>
      <c r="G37" s="76">
        <f>0</f>
        <v>0</v>
      </c>
      <c r="H37" s="76">
        <f>2/F37</f>
        <v>0.125</v>
      </c>
      <c r="K37" s="76">
        <v>0</v>
      </c>
      <c r="L37" s="76">
        <f>5/F37</f>
        <v>0.3125</v>
      </c>
      <c r="M37" s="76">
        <f>2/F37</f>
        <v>0.125</v>
      </c>
      <c r="N37" s="76">
        <f t="shared" si="7"/>
        <v>0.4375</v>
      </c>
      <c r="O37" s="17">
        <v>0</v>
      </c>
      <c r="P37" s="22">
        <f t="shared" si="0"/>
        <v>0</v>
      </c>
      <c r="Q37" s="22">
        <f t="shared" si="4"/>
        <v>0</v>
      </c>
      <c r="R37" s="87">
        <f t="shared" si="1"/>
        <v>0</v>
      </c>
      <c r="S37" s="87">
        <f t="shared" si="2"/>
        <v>0</v>
      </c>
      <c r="T37" s="87">
        <f t="shared" si="5"/>
        <v>0</v>
      </c>
      <c r="U37" s="87">
        <f t="shared" si="6"/>
        <v>0</v>
      </c>
      <c r="V37" s="88">
        <f t="shared" si="3"/>
        <v>597.69600000000003</v>
      </c>
    </row>
    <row r="38" spans="1:22" ht="198" customHeight="1">
      <c r="A38" s="17">
        <v>32</v>
      </c>
      <c r="B38" s="17" t="s">
        <v>171</v>
      </c>
      <c r="C38" s="77" t="e" vm="33">
        <v>#VALUE!</v>
      </c>
      <c r="D38" s="17">
        <f>69-19</f>
        <v>50</v>
      </c>
      <c r="E38" s="17">
        <v>19</v>
      </c>
      <c r="F38" s="17">
        <v>17</v>
      </c>
      <c r="G38" s="76">
        <v>0</v>
      </c>
      <c r="H38" s="76">
        <f>1/F38</f>
        <v>5.8823529411764705E-2</v>
      </c>
      <c r="K38" s="76">
        <v>0</v>
      </c>
      <c r="L38" s="76">
        <f>6/F38</f>
        <v>0.35294117647058826</v>
      </c>
      <c r="M38" s="76">
        <f>3/F38</f>
        <v>0.17647058823529413</v>
      </c>
      <c r="N38" s="76">
        <f t="shared" si="7"/>
        <v>0.41176470588235292</v>
      </c>
      <c r="O38" s="17">
        <v>0</v>
      </c>
      <c r="P38" s="22">
        <f t="shared" si="0"/>
        <v>0</v>
      </c>
      <c r="Q38" s="22">
        <f t="shared" si="4"/>
        <v>0</v>
      </c>
      <c r="R38" s="87">
        <f>D38*O38</f>
        <v>0</v>
      </c>
      <c r="S38" s="87">
        <f t="shared" si="2"/>
        <v>0</v>
      </c>
      <c r="T38" s="87">
        <f t="shared" si="5"/>
        <v>0</v>
      </c>
      <c r="U38" s="87">
        <f t="shared" si="6"/>
        <v>0</v>
      </c>
      <c r="V38" s="88">
        <f t="shared" si="3"/>
        <v>619.702</v>
      </c>
    </row>
    <row r="39" spans="1:22" ht="202" customHeight="1">
      <c r="A39" s="17">
        <v>33</v>
      </c>
      <c r="B39" s="17" t="s">
        <v>172</v>
      </c>
      <c r="C39" s="77" t="e" vm="34">
        <v>#VALUE!</v>
      </c>
      <c r="D39" s="17">
        <f>70-18</f>
        <v>52</v>
      </c>
      <c r="E39" s="17">
        <v>18</v>
      </c>
      <c r="F39" s="17">
        <v>18</v>
      </c>
      <c r="G39" s="76">
        <v>0</v>
      </c>
      <c r="H39" s="76">
        <v>0</v>
      </c>
      <c r="K39" s="76">
        <v>0</v>
      </c>
      <c r="L39" s="76">
        <f>7/F39</f>
        <v>0.3888888888888889</v>
      </c>
      <c r="M39" s="76">
        <f>4/F39</f>
        <v>0.22222222222222221</v>
      </c>
      <c r="N39" s="76">
        <f t="shared" si="7"/>
        <v>0.3888888888888889</v>
      </c>
      <c r="O39" s="17">
        <v>0</v>
      </c>
      <c r="P39" s="22">
        <f t="shared" si="0"/>
        <v>0</v>
      </c>
      <c r="Q39" s="22">
        <f t="shared" si="4"/>
        <v>0</v>
      </c>
      <c r="R39" s="87">
        <f>D39*O39</f>
        <v>0</v>
      </c>
      <c r="S39" s="87">
        <f t="shared" si="2"/>
        <v>0</v>
      </c>
      <c r="T39" s="87">
        <f t="shared" si="5"/>
        <v>0</v>
      </c>
      <c r="U39" s="87">
        <f t="shared" si="6"/>
        <v>0</v>
      </c>
      <c r="V39" s="88">
        <f t="shared" si="3"/>
        <v>642.71600000000001</v>
      </c>
    </row>
    <row r="40" spans="1:22">
      <c r="B40" s="111"/>
      <c r="C40" s="77"/>
      <c r="D40" s="1"/>
      <c r="G40" s="76">
        <f>G6*$O$6+G11*$O$11+G12*$O$12+G7*$O$7+G8*$O$8+G9*$O9+G10*$O$10+G13*$O$13+G14*$O$14+G15*$O$15+G16*$O$16+G17*$O$17+G18*$O$18+G19*$O$19+G20*$O$20+G21*$O$21+G22*$O$22+G23*$O$23+G24*$O$24+G25*$O$25+G26*$O$26+G27*$O$27+G28*$O$28+G29*$O$29+G30*$O$30+G31*$O$31+G32*$O$32+G33*$O$33+G34*$O$34+G35*$O$35+G36*$O$36+G37*$O$37+G38*$O$38+G39*$O$39</f>
        <v>2</v>
      </c>
      <c r="H40" s="76">
        <f t="shared" ref="H40:N40" si="8">H6*$O$6+H11*$O$11+H12*$O$12+H7*$O$7+H8*$O$8+H9*$O9+H10*$O$10+H13*$O$13+H14*$O$14+H15*$O$15+H16*$O$16+H17*$O$17+H18*$O$18+H19*$O$19+H20*$O$20+H21*$O$21+H22*$O$22+H23*$O$23+H24*$O$24+H25*$O$25+H26*$O$26+H27*$O$27+H28*$O$28+H29*$O$29+H30*$O$30+H31*$O$31+H32*$O$32+H33*$O$33+H34*$O$34+H35*$O$35+H36*$O$36+H37*$O$37+H38*$O$38+H39*$O$39</f>
        <v>6.8553846153846161</v>
      </c>
      <c r="I40" s="76">
        <f t="shared" si="8"/>
        <v>0</v>
      </c>
      <c r="J40" s="76">
        <f t="shared" si="8"/>
        <v>0</v>
      </c>
      <c r="K40" s="76">
        <f t="shared" si="8"/>
        <v>3</v>
      </c>
      <c r="L40" s="76">
        <f t="shared" si="8"/>
        <v>14.14</v>
      </c>
      <c r="M40" s="76">
        <f t="shared" si="8"/>
        <v>32.44</v>
      </c>
      <c r="N40" s="76">
        <f t="shared" si="8"/>
        <v>41.564615384615387</v>
      </c>
      <c r="O40" s="87">
        <f>SUM(O6:O39)</f>
        <v>100</v>
      </c>
      <c r="P40" s="22">
        <f>SUM(P6:P27)</f>
        <v>100</v>
      </c>
      <c r="Q40" s="22">
        <f>ROUND(AVERAGEIF(Q6:Q39,"&gt;0"),0)</f>
        <v>19</v>
      </c>
      <c r="R40" s="87">
        <f>SUM(R6:R39)</f>
        <v>6910</v>
      </c>
      <c r="S40" s="87">
        <f>SUM(S6:S39)</f>
        <v>2150</v>
      </c>
    </row>
    <row r="41" spans="1:22">
      <c r="C41" s="77"/>
      <c r="D41" s="1"/>
      <c r="F41" s="90" t="s">
        <v>141</v>
      </c>
      <c r="G41" s="159">
        <f>SUM(G40:N40)</f>
        <v>100</v>
      </c>
      <c r="H41" s="159"/>
      <c r="I41" s="159"/>
      <c r="J41" s="159"/>
      <c r="K41" s="159"/>
      <c r="L41" s="159"/>
      <c r="M41" s="159"/>
      <c r="N41" s="159"/>
      <c r="O41" s="76"/>
    </row>
    <row r="42" spans="1:22">
      <c r="C42" s="77"/>
      <c r="D42" s="1"/>
      <c r="F42" s="90"/>
      <c r="G42" s="84" t="s">
        <v>58</v>
      </c>
      <c r="H42" s="84" t="s">
        <v>18</v>
      </c>
      <c r="I42" s="84" t="s">
        <v>11</v>
      </c>
      <c r="J42" s="84" t="s">
        <v>60</v>
      </c>
      <c r="K42" s="84" t="s">
        <v>12</v>
      </c>
      <c r="L42" s="84" t="s">
        <v>19</v>
      </c>
      <c r="M42" s="84" t="s">
        <v>13</v>
      </c>
      <c r="N42" s="84" t="s">
        <v>14</v>
      </c>
      <c r="O42" s="76"/>
    </row>
    <row r="43" spans="1:22">
      <c r="C43" s="77"/>
      <c r="D43" s="1"/>
      <c r="F43" s="49" t="s">
        <v>142</v>
      </c>
      <c r="G43" s="91">
        <f>G40/$G$41</f>
        <v>0.02</v>
      </c>
      <c r="H43" s="91">
        <f>H40/$G$41</f>
        <v>6.855384615384616E-2</v>
      </c>
      <c r="I43" s="91">
        <f t="shared" ref="I43:K43" si="9">I40/$G$41</f>
        <v>0</v>
      </c>
      <c r="J43" s="91">
        <f t="shared" si="9"/>
        <v>0</v>
      </c>
      <c r="K43" s="91">
        <f t="shared" si="9"/>
        <v>0.03</v>
      </c>
      <c r="L43" s="91">
        <f>L40/$G$41</f>
        <v>0.1414</v>
      </c>
      <c r="M43" s="91">
        <f>M40/$G$41</f>
        <v>0.32439999999999997</v>
      </c>
      <c r="N43" s="91">
        <f>N40/$G$41</f>
        <v>0.41564615384615389</v>
      </c>
      <c r="O43" s="76"/>
      <c r="P43" s="70"/>
      <c r="R43" s="113"/>
    </row>
    <row r="44" spans="1:22">
      <c r="C44" s="77"/>
      <c r="D44" s="1"/>
      <c r="E44" s="1"/>
      <c r="F44" s="92" t="s">
        <v>21</v>
      </c>
      <c r="G44" s="91">
        <f>BPCA_Experimental!G3</f>
        <v>2.0070599778316559E-2</v>
      </c>
      <c r="H44" s="93">
        <f>BPCA_Experimental!G4+BPCA_Experimental!G5</f>
        <v>6.7155269359706268E-2</v>
      </c>
      <c r="I44" s="93"/>
      <c r="J44" s="93"/>
      <c r="K44" s="93">
        <f>BPCA_Experimental!G6</f>
        <v>3.4547196647557121E-2</v>
      </c>
      <c r="L44" s="93">
        <f>BPCA_Experimental!G7</f>
        <v>0.1300441334632115</v>
      </c>
      <c r="M44" s="93">
        <f>BPCA_Experimental!G8</f>
        <v>0.3249240329328747</v>
      </c>
      <c r="N44" s="93">
        <f>BPCA_Experimental!G9</f>
        <v>0.42325876781833377</v>
      </c>
      <c r="O44" s="76"/>
      <c r="R44" s="1"/>
      <c r="S44" s="1"/>
    </row>
    <row r="45" spans="1:22">
      <c r="C45" s="77"/>
      <c r="D45" s="1"/>
      <c r="E45" s="1"/>
      <c r="F45" s="92" t="s">
        <v>143</v>
      </c>
      <c r="G45" s="91">
        <f>BPCA_Experimental!G17</f>
        <v>8.1329800487500909E-4</v>
      </c>
      <c r="H45" s="93">
        <f>BPCA_Experimental!G18+BPCA_Experimental!G19</f>
        <v>6.6581794382708677E-3</v>
      </c>
      <c r="I45" s="93"/>
      <c r="J45" s="93"/>
      <c r="K45" s="93">
        <f>BPCA_Experimental!G20</f>
        <v>1.4903963010309616E-3</v>
      </c>
      <c r="L45" s="93">
        <f>BPCA_Experimental!G21</f>
        <v>4.8679067158982174E-3</v>
      </c>
      <c r="M45" s="93">
        <f>BPCA_Experimental!G22</f>
        <v>7.3795602804227027E-3</v>
      </c>
      <c r="N45" s="93">
        <f>BPCA_Experimental!G23</f>
        <v>5.8422164928758347E-3</v>
      </c>
      <c r="O45" s="76"/>
      <c r="S45" s="1"/>
    </row>
    <row r="46" spans="1:22">
      <c r="D46" s="1"/>
      <c r="F46" s="94" t="s">
        <v>144</v>
      </c>
      <c r="G46" s="76">
        <f>ABS(G43-G44)/G44</f>
        <v>3.5175719259187836E-3</v>
      </c>
      <c r="H46" s="76">
        <f>ABS(H43-H44)/H44</f>
        <v>2.082601719082746E-2</v>
      </c>
      <c r="K46" s="76">
        <f>ABS(K43-K44)/K44</f>
        <v>0.13162273900098523</v>
      </c>
      <c r="L46" s="76">
        <f>ABS(L43-L44)/L44</f>
        <v>8.7323174328359718E-2</v>
      </c>
      <c r="M46" s="76">
        <f>ABS(M43-M44)/M44</f>
        <v>1.6127860046073854E-3</v>
      </c>
      <c r="N46" s="76">
        <f>ABS(N43-N44)/N44</f>
        <v>1.7985720677255481E-2</v>
      </c>
      <c r="O46" s="76"/>
    </row>
    <row r="47" spans="1:22">
      <c r="D47" s="1"/>
      <c r="E47" s="95"/>
      <c r="F47" s="92"/>
      <c r="O47" s="76"/>
    </row>
    <row r="48" spans="1:22">
      <c r="D48" s="1"/>
      <c r="E48" s="77"/>
      <c r="F48" s="94" t="s">
        <v>159</v>
      </c>
      <c r="G48" s="87">
        <f>Q40</f>
        <v>19</v>
      </c>
      <c r="O48" s="76"/>
    </row>
    <row r="49" spans="1:24" ht="16" customHeight="1">
      <c r="D49" s="1"/>
      <c r="E49" s="96"/>
      <c r="F49" s="97" t="s">
        <v>145</v>
      </c>
      <c r="G49" s="76">
        <f>BPCA_Experimental!G29</f>
        <v>0.3664855234279874</v>
      </c>
      <c r="H49" s="156" t="s">
        <v>146</v>
      </c>
      <c r="I49" s="156"/>
      <c r="J49" s="156"/>
      <c r="K49" s="156"/>
      <c r="L49" s="156"/>
      <c r="M49" s="156"/>
      <c r="N49" s="156"/>
      <c r="O49" s="76"/>
    </row>
    <row r="50" spans="1:24">
      <c r="D50" s="1"/>
      <c r="E50" s="96"/>
      <c r="F50" s="97" t="s">
        <v>147</v>
      </c>
      <c r="G50" s="76">
        <f>G49*G55</f>
        <v>0.30051812921094967</v>
      </c>
      <c r="H50" s="156"/>
      <c r="I50" s="156"/>
      <c r="J50" s="156"/>
      <c r="K50" s="156"/>
      <c r="L50" s="156"/>
      <c r="M50" s="156"/>
      <c r="N50" s="156"/>
      <c r="O50" s="76"/>
    </row>
    <row r="51" spans="1:24" ht="13" customHeight="1">
      <c r="D51" s="1"/>
      <c r="F51" s="97" t="s">
        <v>148</v>
      </c>
      <c r="G51" s="76">
        <f>S40/R40</f>
        <v>0.31114327062228653</v>
      </c>
      <c r="H51" s="156"/>
      <c r="I51" s="156"/>
      <c r="J51" s="156"/>
      <c r="K51" s="156"/>
      <c r="L51" s="156"/>
      <c r="M51" s="156"/>
      <c r="N51" s="156"/>
      <c r="O51" s="76"/>
      <c r="R51" s="91"/>
    </row>
    <row r="52" spans="1:24">
      <c r="D52" s="1"/>
      <c r="F52" s="97" t="s">
        <v>144</v>
      </c>
      <c r="G52" s="76">
        <f>G50-G51</f>
        <v>-1.0625141411336858E-2</v>
      </c>
      <c r="H52" s="156"/>
      <c r="I52" s="156"/>
      <c r="J52" s="156"/>
      <c r="K52" s="156"/>
      <c r="L52" s="156"/>
      <c r="M52" s="156"/>
      <c r="N52" s="156"/>
      <c r="O52" s="76"/>
      <c r="P52" s="91"/>
      <c r="Q52" s="91"/>
      <c r="R52" s="91"/>
      <c r="S52" s="91"/>
      <c r="T52" s="91"/>
      <c r="U52" s="91"/>
      <c r="V52" s="115"/>
      <c r="W52" s="50"/>
    </row>
    <row r="53" spans="1:24">
      <c r="D53" s="1"/>
      <c r="F53" s="1"/>
      <c r="G53" s="1"/>
      <c r="O53" s="76"/>
      <c r="P53" s="91"/>
      <c r="Q53" s="91"/>
      <c r="R53" s="91"/>
      <c r="S53" s="91"/>
      <c r="T53" s="91"/>
      <c r="U53" s="91"/>
      <c r="V53" s="115"/>
      <c r="W53" s="50"/>
    </row>
    <row r="54" spans="1:24">
      <c r="D54" s="1"/>
      <c r="F54" s="98" t="s">
        <v>149</v>
      </c>
      <c r="G54" s="99">
        <v>10000</v>
      </c>
      <c r="O54" s="76"/>
      <c r="U54" s="76"/>
    </row>
    <row r="55" spans="1:24" ht="16" customHeight="1">
      <c r="D55" s="1"/>
      <c r="F55" s="92" t="s">
        <v>150</v>
      </c>
      <c r="G55" s="91">
        <f>BPCA_Experimental!G25</f>
        <v>0.82</v>
      </c>
      <c r="H55" s="156" t="s">
        <v>151</v>
      </c>
      <c r="I55" s="156"/>
      <c r="J55" s="156"/>
      <c r="K55" s="156"/>
      <c r="L55" s="156"/>
      <c r="M55" s="156"/>
      <c r="N55" s="156"/>
      <c r="O55" s="76"/>
      <c r="R55" s="91"/>
    </row>
    <row r="56" spans="1:24">
      <c r="D56" s="1"/>
      <c r="E56" s="77"/>
      <c r="F56" s="92" t="s">
        <v>152</v>
      </c>
      <c r="G56" s="91">
        <f>R40/(G54-S40)</f>
        <v>0.88025477707006372</v>
      </c>
      <c r="H56" s="156"/>
      <c r="I56" s="156"/>
      <c r="J56" s="156"/>
      <c r="K56" s="156"/>
      <c r="L56" s="156"/>
      <c r="M56" s="156"/>
      <c r="N56" s="156"/>
      <c r="O56" s="76"/>
      <c r="R56" s="91"/>
    </row>
    <row r="57" spans="1:24">
      <c r="D57" s="1"/>
      <c r="H57" s="50"/>
      <c r="I57" s="50"/>
      <c r="J57" s="50"/>
      <c r="K57" s="50"/>
      <c r="L57" s="50"/>
      <c r="M57" s="50"/>
      <c r="N57" s="50"/>
      <c r="O57" s="76"/>
      <c r="R57" s="91"/>
    </row>
    <row r="58" spans="1:24">
      <c r="D58" s="1"/>
      <c r="E58" s="1"/>
      <c r="G58" s="100"/>
      <c r="H58" s="100"/>
      <c r="I58" s="100"/>
      <c r="J58" s="100"/>
      <c r="K58" s="100"/>
      <c r="L58" s="100"/>
      <c r="M58" s="100"/>
      <c r="N58" s="100"/>
      <c r="O58" s="76"/>
      <c r="P58" s="101"/>
    </row>
    <row r="59" spans="1:24">
      <c r="A59" s="7"/>
      <c r="B59" s="7"/>
      <c r="C59" s="7"/>
      <c r="D59" s="1"/>
      <c r="E59" s="102"/>
      <c r="F59" s="102"/>
      <c r="O59" s="76"/>
      <c r="P59" s="103"/>
      <c r="R59" s="102"/>
      <c r="S59" s="102"/>
      <c r="T59" s="102"/>
      <c r="U59" s="102"/>
      <c r="V59" s="104"/>
    </row>
    <row r="60" spans="1:24">
      <c r="A60" s="7"/>
      <c r="B60" s="7"/>
      <c r="C60" s="105"/>
      <c r="D60" s="1"/>
      <c r="E60" s="7"/>
      <c r="F60" s="7"/>
      <c r="H60" s="93"/>
      <c r="I60" s="93"/>
      <c r="J60" s="93"/>
      <c r="K60" s="93"/>
      <c r="L60" s="93"/>
      <c r="M60" s="93"/>
      <c r="N60" s="93"/>
      <c r="O60" s="76"/>
      <c r="R60" s="106"/>
      <c r="S60" s="106"/>
      <c r="T60" s="106"/>
      <c r="U60" s="106"/>
      <c r="V60" s="86"/>
    </row>
    <row r="61" spans="1:24">
      <c r="D61" s="1"/>
      <c r="O61" s="76"/>
      <c r="P61" s="91"/>
      <c r="T61" s="17"/>
      <c r="U61" s="17"/>
      <c r="V61" s="17"/>
      <c r="W61" s="17"/>
      <c r="X61" s="17"/>
    </row>
    <row r="62" spans="1:24">
      <c r="D62" s="1"/>
      <c r="O62" s="76"/>
      <c r="P62" s="91"/>
      <c r="R62" s="107"/>
    </row>
    <row r="63" spans="1:24" s="22" customFormat="1">
      <c r="A63" s="17"/>
      <c r="B63" s="17"/>
      <c r="C63" s="78"/>
      <c r="D63" s="1"/>
      <c r="E63" s="17"/>
      <c r="F63" s="17"/>
      <c r="G63" s="76"/>
      <c r="H63" s="76"/>
      <c r="I63" s="76"/>
      <c r="J63" s="76"/>
      <c r="K63" s="76"/>
      <c r="L63" s="76"/>
      <c r="M63" s="76"/>
      <c r="N63" s="76"/>
      <c r="O63" s="76"/>
      <c r="R63" s="17"/>
      <c r="S63" s="17"/>
      <c r="T63" s="87"/>
      <c r="U63" s="87"/>
      <c r="V63" s="88"/>
      <c r="W63" s="1"/>
      <c r="X63" s="1"/>
    </row>
    <row r="64" spans="1:24" s="22" customFormat="1">
      <c r="A64" s="17"/>
      <c r="B64" s="17"/>
      <c r="C64" s="78"/>
      <c r="D64" s="1"/>
      <c r="E64" s="17"/>
      <c r="F64" s="17"/>
      <c r="G64" s="76"/>
      <c r="H64" s="76"/>
      <c r="I64" s="76"/>
      <c r="J64" s="76"/>
      <c r="K64" s="76"/>
      <c r="L64" s="76"/>
      <c r="M64" s="76"/>
      <c r="N64" s="76"/>
      <c r="O64" s="76"/>
      <c r="R64" s="17"/>
      <c r="S64" s="17"/>
      <c r="T64" s="87"/>
      <c r="U64" s="87"/>
      <c r="V64" s="88"/>
      <c r="W64" s="1"/>
      <c r="X64" s="1"/>
    </row>
    <row r="65" spans="1:24" s="22" customFormat="1">
      <c r="A65" s="17"/>
      <c r="B65" s="17"/>
      <c r="C65" s="78"/>
      <c r="D65" s="1"/>
      <c r="E65" s="17"/>
      <c r="F65" s="17"/>
      <c r="G65" s="76"/>
      <c r="H65" s="76"/>
      <c r="I65" s="76"/>
      <c r="J65" s="76"/>
      <c r="K65" s="76"/>
      <c r="L65" s="76"/>
      <c r="M65" s="76"/>
      <c r="N65" s="76"/>
      <c r="O65" s="76"/>
      <c r="R65" s="17"/>
      <c r="S65" s="17"/>
      <c r="T65" s="87"/>
      <c r="U65" s="87"/>
      <c r="V65" s="88"/>
      <c r="W65" s="1"/>
      <c r="X65" s="1"/>
    </row>
    <row r="66" spans="1:24" s="22" customFormat="1">
      <c r="A66" s="17"/>
      <c r="B66" s="17"/>
      <c r="C66" s="78"/>
      <c r="D66" s="1"/>
      <c r="E66" s="17"/>
      <c r="F66" s="17"/>
      <c r="G66" s="76"/>
      <c r="H66" s="50"/>
      <c r="I66" s="50"/>
      <c r="J66" s="50"/>
      <c r="K66" s="50"/>
      <c r="L66" s="50"/>
      <c r="M66" s="50"/>
      <c r="N66" s="50"/>
      <c r="O66" s="76"/>
      <c r="R66" s="17"/>
      <c r="S66" s="17"/>
      <c r="T66" s="87"/>
      <c r="U66" s="87"/>
      <c r="V66" s="88"/>
      <c r="W66" s="1"/>
      <c r="X66" s="1"/>
    </row>
    <row r="67" spans="1:24" s="22" customFormat="1">
      <c r="A67" s="17"/>
      <c r="B67" s="17"/>
      <c r="C67" s="78"/>
      <c r="D67" s="1"/>
      <c r="E67" s="17"/>
      <c r="F67" s="17"/>
      <c r="G67" s="76"/>
      <c r="H67" s="76"/>
      <c r="I67" s="76"/>
      <c r="J67" s="76"/>
      <c r="K67" s="76"/>
      <c r="L67" s="76"/>
      <c r="M67" s="76"/>
      <c r="N67" s="76"/>
      <c r="O67" s="76"/>
      <c r="R67" s="17"/>
      <c r="S67" s="17"/>
      <c r="T67" s="87"/>
      <c r="U67" s="87"/>
      <c r="V67" s="88"/>
      <c r="W67" s="1"/>
      <c r="X67" s="1"/>
    </row>
    <row r="68" spans="1:24">
      <c r="D68" s="1"/>
    </row>
    <row r="69" spans="1:24" s="22" customFormat="1">
      <c r="A69" s="17"/>
      <c r="B69" s="17"/>
      <c r="C69" s="78"/>
      <c r="D69" s="1"/>
      <c r="E69" s="17"/>
      <c r="F69" s="17"/>
      <c r="G69" s="76"/>
      <c r="H69" s="76"/>
      <c r="I69" s="76"/>
      <c r="J69" s="76"/>
      <c r="K69" s="76"/>
      <c r="L69" s="76"/>
      <c r="M69" s="76"/>
      <c r="N69" s="76"/>
      <c r="O69" s="76"/>
      <c r="R69" s="17"/>
      <c r="S69" s="17"/>
      <c r="T69" s="87"/>
      <c r="U69" s="87"/>
      <c r="V69" s="88"/>
      <c r="W69" s="1"/>
      <c r="X69" s="1"/>
    </row>
    <row r="70" spans="1:24" s="22" customFormat="1">
      <c r="A70" s="17"/>
      <c r="B70" s="17"/>
      <c r="C70" s="78"/>
      <c r="D70" s="1"/>
      <c r="E70" s="17"/>
      <c r="F70" s="17"/>
      <c r="G70" s="76"/>
      <c r="H70" s="76"/>
      <c r="I70" s="76"/>
      <c r="J70" s="76"/>
      <c r="K70" s="76"/>
      <c r="L70" s="76"/>
      <c r="M70" s="76"/>
      <c r="N70" s="76"/>
      <c r="O70" s="76"/>
      <c r="R70" s="17"/>
      <c r="S70" s="17"/>
      <c r="T70" s="87"/>
      <c r="U70" s="87"/>
      <c r="V70" s="88"/>
      <c r="W70" s="1"/>
      <c r="X70" s="1"/>
    </row>
    <row r="71" spans="1:24" s="22" customFormat="1">
      <c r="A71" s="17"/>
      <c r="B71" s="17"/>
      <c r="C71" s="78"/>
      <c r="D71" s="1"/>
      <c r="E71" s="17"/>
      <c r="F71" s="17"/>
      <c r="G71" s="76"/>
      <c r="H71" s="76"/>
      <c r="I71" s="76"/>
      <c r="J71" s="76"/>
      <c r="K71" s="76"/>
      <c r="L71" s="76"/>
      <c r="M71" s="76"/>
      <c r="N71" s="76"/>
      <c r="O71" s="76"/>
      <c r="R71" s="17"/>
      <c r="S71" s="17"/>
      <c r="T71" s="87"/>
      <c r="U71" s="87"/>
      <c r="V71" s="88"/>
      <c r="W71" s="1"/>
      <c r="X71" s="1"/>
    </row>
    <row r="72" spans="1:24" s="22" customFormat="1">
      <c r="A72" s="17"/>
      <c r="B72" s="17"/>
      <c r="C72" s="78"/>
      <c r="D72" s="17"/>
      <c r="E72" s="17"/>
      <c r="F72" s="17"/>
      <c r="G72" s="76"/>
      <c r="H72" s="76"/>
      <c r="I72" s="76"/>
      <c r="J72" s="76"/>
      <c r="K72" s="76"/>
      <c r="L72" s="76"/>
      <c r="M72" s="76"/>
      <c r="N72" s="76"/>
      <c r="O72" s="76"/>
      <c r="R72" s="17"/>
      <c r="S72" s="17"/>
      <c r="T72" s="87"/>
      <c r="U72" s="87"/>
      <c r="V72" s="88"/>
      <c r="W72" s="1"/>
      <c r="X72" s="1"/>
    </row>
    <row r="73" spans="1:24" s="22" customFormat="1">
      <c r="A73" s="17"/>
      <c r="B73" s="17"/>
      <c r="C73" s="78"/>
      <c r="D73" s="17"/>
      <c r="E73" s="17"/>
      <c r="F73" s="17"/>
      <c r="G73" s="76"/>
      <c r="H73" s="76"/>
      <c r="I73" s="76"/>
      <c r="J73" s="76"/>
      <c r="K73" s="76"/>
      <c r="L73" s="76"/>
      <c r="M73" s="76"/>
      <c r="N73" s="76"/>
      <c r="O73" s="76"/>
      <c r="R73" s="17"/>
      <c r="S73" s="17"/>
      <c r="T73" s="87"/>
      <c r="U73" s="87"/>
      <c r="V73" s="88"/>
      <c r="W73" s="1"/>
      <c r="X73" s="1"/>
    </row>
    <row r="74" spans="1:24" s="22" customFormat="1">
      <c r="A74" s="17"/>
      <c r="B74" s="17"/>
      <c r="C74" s="78"/>
      <c r="D74" s="17"/>
      <c r="E74" s="17"/>
      <c r="F74" s="17"/>
      <c r="G74" s="76"/>
      <c r="H74" s="76"/>
      <c r="I74" s="76"/>
      <c r="J74" s="76"/>
      <c r="K74" s="76"/>
      <c r="L74" s="76"/>
      <c r="M74" s="76"/>
      <c r="N74" s="76"/>
      <c r="O74" s="76"/>
      <c r="R74" s="17"/>
      <c r="S74" s="17"/>
      <c r="T74" s="87"/>
      <c r="U74" s="87"/>
      <c r="V74" s="88"/>
      <c r="W74" s="1"/>
      <c r="X74" s="1"/>
    </row>
    <row r="75" spans="1:24" s="22" customFormat="1">
      <c r="A75" s="17"/>
      <c r="B75" s="17"/>
      <c r="C75" s="78"/>
      <c r="D75" s="87"/>
      <c r="E75" s="87"/>
      <c r="F75" s="17"/>
      <c r="G75" s="76"/>
      <c r="H75" s="76"/>
      <c r="I75" s="76"/>
      <c r="J75" s="76"/>
      <c r="K75" s="76"/>
      <c r="L75" s="76"/>
      <c r="M75" s="76"/>
      <c r="N75" s="76"/>
      <c r="O75" s="76"/>
      <c r="R75" s="17"/>
      <c r="S75" s="17"/>
      <c r="T75" s="87"/>
      <c r="U75" s="87"/>
      <c r="V75" s="88"/>
      <c r="W75" s="1"/>
      <c r="X75" s="1"/>
    </row>
    <row r="76" spans="1:24" s="22" customFormat="1">
      <c r="A76" s="17"/>
      <c r="B76" s="17"/>
      <c r="C76" s="78"/>
      <c r="D76" s="87"/>
      <c r="E76" s="87"/>
      <c r="F76" s="17"/>
      <c r="G76" s="76"/>
      <c r="H76" s="76"/>
      <c r="I76" s="76"/>
      <c r="J76" s="76"/>
      <c r="K76" s="76"/>
      <c r="L76" s="76"/>
      <c r="M76" s="76"/>
      <c r="N76" s="76"/>
      <c r="O76" s="76"/>
      <c r="R76" s="17"/>
      <c r="S76" s="17"/>
      <c r="T76" s="87"/>
      <c r="U76" s="87"/>
      <c r="V76" s="88"/>
      <c r="W76" s="1"/>
      <c r="X76" s="1"/>
    </row>
    <row r="77" spans="1:24" s="22" customFormat="1">
      <c r="A77" s="17"/>
      <c r="B77" s="17"/>
      <c r="C77" s="78"/>
      <c r="D77" s="17"/>
      <c r="E77" s="17"/>
      <c r="F77" s="17"/>
      <c r="G77" s="76"/>
      <c r="H77" s="76"/>
      <c r="I77" s="76"/>
      <c r="J77" s="76"/>
      <c r="K77" s="76"/>
      <c r="L77" s="76"/>
      <c r="M77" s="76"/>
      <c r="N77" s="76"/>
      <c r="O77" s="76"/>
      <c r="R77" s="17"/>
      <c r="S77" s="17"/>
      <c r="T77" s="87"/>
      <c r="U77" s="87"/>
      <c r="V77" s="88"/>
      <c r="W77" s="1"/>
      <c r="X77" s="1"/>
    </row>
    <row r="78" spans="1:24" s="22" customFormat="1">
      <c r="A78" s="17"/>
      <c r="B78" s="17"/>
      <c r="C78" s="78"/>
      <c r="D78" s="17"/>
      <c r="E78" s="17"/>
      <c r="F78" s="17"/>
      <c r="G78" s="76"/>
      <c r="H78" s="76"/>
      <c r="I78" s="76"/>
      <c r="J78" s="76"/>
      <c r="K78" s="76"/>
      <c r="L78" s="76"/>
      <c r="M78" s="76"/>
      <c r="N78" s="76"/>
      <c r="O78" s="76"/>
      <c r="R78" s="17"/>
      <c r="S78" s="17"/>
      <c r="T78" s="87"/>
      <c r="U78" s="87"/>
      <c r="V78" s="88"/>
      <c r="W78" s="1"/>
      <c r="X78" s="1"/>
    </row>
    <row r="79" spans="1:24" s="22" customFormat="1">
      <c r="A79" s="17"/>
      <c r="B79" s="17"/>
      <c r="C79" s="78"/>
      <c r="D79" s="14"/>
      <c r="E79" s="108"/>
      <c r="F79" s="17"/>
      <c r="G79" s="76"/>
      <c r="H79" s="76"/>
      <c r="I79" s="76"/>
      <c r="J79" s="76"/>
      <c r="K79" s="76"/>
      <c r="L79" s="76"/>
      <c r="M79" s="76"/>
      <c r="N79" s="76"/>
      <c r="O79" s="76"/>
      <c r="R79" s="17"/>
      <c r="S79" s="17"/>
      <c r="T79" s="87"/>
      <c r="U79" s="87"/>
      <c r="V79" s="88"/>
      <c r="W79" s="1"/>
      <c r="X79" s="1"/>
    </row>
    <row r="80" spans="1:24" s="22" customFormat="1">
      <c r="A80" s="17"/>
      <c r="B80" s="17"/>
      <c r="C80" s="78"/>
      <c r="D80" s="14"/>
      <c r="E80" s="108"/>
      <c r="F80" s="17"/>
      <c r="G80" s="76"/>
      <c r="H80" s="76"/>
      <c r="I80" s="76"/>
      <c r="J80" s="76"/>
      <c r="K80" s="76"/>
      <c r="L80" s="76"/>
      <c r="M80" s="76"/>
      <c r="N80" s="76"/>
      <c r="O80" s="17"/>
      <c r="R80" s="17"/>
      <c r="S80" s="17"/>
      <c r="T80" s="87"/>
      <c r="U80" s="87"/>
      <c r="V80" s="88"/>
      <c r="W80" s="1"/>
      <c r="X80" s="1"/>
    </row>
    <row r="81" spans="1:24" s="22" customFormat="1">
      <c r="A81" s="17"/>
      <c r="B81" s="17"/>
      <c r="C81" s="78"/>
      <c r="D81" s="14"/>
      <c r="E81" s="108"/>
      <c r="F81" s="17"/>
      <c r="G81" s="76"/>
      <c r="H81" s="76"/>
      <c r="I81" s="76"/>
      <c r="J81" s="76"/>
      <c r="K81" s="76"/>
      <c r="L81" s="76"/>
      <c r="M81" s="76"/>
      <c r="N81" s="76"/>
      <c r="O81" s="17"/>
      <c r="R81" s="17"/>
      <c r="S81" s="17"/>
      <c r="T81" s="87"/>
      <c r="U81" s="87"/>
      <c r="V81" s="88"/>
      <c r="W81" s="1"/>
      <c r="X81" s="1"/>
    </row>
    <row r="82" spans="1:24" s="22" customFormat="1">
      <c r="A82" s="17"/>
      <c r="B82" s="17"/>
      <c r="C82" s="78"/>
      <c r="D82" s="14"/>
      <c r="E82" s="108"/>
      <c r="F82" s="17"/>
      <c r="G82" s="76"/>
      <c r="H82" s="76"/>
      <c r="I82" s="76"/>
      <c r="J82" s="76"/>
      <c r="K82" s="76"/>
      <c r="L82" s="76"/>
      <c r="M82" s="76"/>
      <c r="N82" s="76"/>
      <c r="O82" s="17"/>
      <c r="R82" s="17"/>
      <c r="S82" s="17"/>
      <c r="T82" s="87"/>
      <c r="U82" s="87"/>
      <c r="V82" s="88"/>
      <c r="W82" s="1"/>
      <c r="X82" s="1"/>
    </row>
    <row r="83" spans="1:24" s="22" customFormat="1">
      <c r="A83" s="17"/>
      <c r="B83" s="17"/>
      <c r="C83" s="78"/>
      <c r="D83" s="108"/>
      <c r="E83" s="108"/>
      <c r="F83" s="17"/>
      <c r="G83" s="76"/>
      <c r="H83" s="76"/>
      <c r="I83" s="76"/>
      <c r="J83" s="76"/>
      <c r="K83" s="76"/>
      <c r="L83" s="76"/>
      <c r="M83" s="76"/>
      <c r="N83" s="76"/>
      <c r="O83" s="17"/>
      <c r="R83" s="17"/>
      <c r="S83" s="17"/>
      <c r="T83" s="87"/>
      <c r="U83" s="87"/>
      <c r="V83" s="88"/>
      <c r="W83" s="1"/>
      <c r="X83" s="1"/>
    </row>
  </sheetData>
  <mergeCells count="5">
    <mergeCell ref="B2:V2"/>
    <mergeCell ref="A4:V4"/>
    <mergeCell ref="G41:N41"/>
    <mergeCell ref="H49:N52"/>
    <mergeCell ref="H55:N56"/>
  </mergeCells>
  <hyperlinks>
    <hyperlink ref="B7" r:id="rId1" display="dibenzofuran_Si" xr:uid="{F851127D-1EDA-7341-9CA3-8299F898BE5A}"/>
    <hyperlink ref="B8" r:id="rId2" display="phenalene" xr:uid="{2E749E5E-889D-8940-9E21-098F0C8D230F}"/>
    <hyperlink ref="B9" r:id="rId3" display="phenanthrene" xr:uid="{C4720225-24DF-7F40-ADCF-E7610652724E}"/>
    <hyperlink ref="B10" r:id="rId4" display="anthracene" xr:uid="{EA95BABB-A7F1-5043-843F-FABBF90D54F6}"/>
    <hyperlink ref="B13" r:id="rId5" display="pyrene" xr:uid="{23F74FA7-E964-1042-AFA1-F2FE4FE873DD}"/>
    <hyperlink ref="B15" r:id="rId6" display="benzo[c]fluorene" xr:uid="{96285827-15A5-C34E-88CF-A525D5FBDCDC}"/>
    <hyperlink ref="B18" r:id="rId7" display="coronene" xr:uid="{D7440209-7C4D-9642-8313-74C7A28EA4A9}"/>
    <hyperlink ref="B14" r:id="rId8" display="chrysene" xr:uid="{013807B5-1EAE-F146-AEED-3C1F5AF079CA}"/>
    <hyperlink ref="B16" r:id="rId9" display="Benz[e]acephenanthrylene" xr:uid="{EFA7F0E4-BB81-7B40-84B0-668DD15330E9}"/>
    <hyperlink ref="B6" r:id="rId10" display="benzene" xr:uid="{21235509-97EA-C54E-A5FD-4394A0A137B3}"/>
    <hyperlink ref="B17" r:id="rId11" display="benzo_b_fluorene" xr:uid="{30C1218B-63DA-0F49-A088-360DB1A29A46}"/>
    <hyperlink ref="B19" r:id="rId12" xr:uid="{6E87184B-92F5-9F4F-B001-A7A774EB5382}"/>
    <hyperlink ref="B20" r:id="rId13" display="Benzo_a_pyrene" xr:uid="{D9035FEE-A3BC-514F-A93C-EF43C2E619AA}"/>
    <hyperlink ref="B21" r:id="rId14" xr:uid="{834B9A47-310D-2F4F-AB39-D99831361E17}"/>
    <hyperlink ref="B22" r:id="rId15" xr:uid="{BFBACC3E-0286-5E44-BA26-E1F7E770F019}"/>
    <hyperlink ref="B23" r:id="rId16" xr:uid="{41B83A66-EF74-DE4C-86DD-5510CA23F02A}"/>
    <hyperlink ref="B25" r:id="rId17" xr:uid="{40D0ED52-CEE9-BC43-A7C1-F7DAD3FC32DB}"/>
    <hyperlink ref="B26" r:id="rId18" location="section=InChIKey" xr:uid="{41DE6E82-AC82-A643-9F35-3D87FC2F1FD1}"/>
    <hyperlink ref="B27" r:id="rId19" xr:uid="{692B3415-F041-534A-92DF-6013D392CDEA}"/>
  </hyperlinks>
  <pageMargins left="0.7" right="0.7" top="0.75" bottom="0.75" header="0.3" footer="0.3"/>
  <pageSetup orientation="portrait" horizontalDpi="0" verticalDpi="0"/>
  <drawing r:id="rId2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82B00-30F4-764B-9FB9-162B0A78B6BF}">
  <dimension ref="A2:X83"/>
  <sheetViews>
    <sheetView topLeftCell="B46" zoomScaleNormal="100" workbookViewId="0">
      <selection activeCell="O57" sqref="O57"/>
    </sheetView>
  </sheetViews>
  <sheetFormatPr baseColWidth="10" defaultColWidth="10.83203125" defaultRowHeight="16"/>
  <cols>
    <col min="1" max="1" width="8.6640625" style="17" customWidth="1"/>
    <col min="2" max="2" width="20.33203125" style="17" bestFit="1" customWidth="1"/>
    <col min="3" max="3" width="33.6640625" style="78" customWidth="1"/>
    <col min="4" max="4" width="31.83203125" style="17" bestFit="1" customWidth="1"/>
    <col min="5" max="5" width="10.83203125" style="17" customWidth="1"/>
    <col min="6" max="6" width="20.5" style="17" bestFit="1" customWidth="1"/>
    <col min="7" max="7" width="9.6640625" style="76" bestFit="1" customWidth="1"/>
    <col min="8" max="8" width="8.6640625" style="76" bestFit="1" customWidth="1"/>
    <col min="9" max="10" width="8.6640625" style="76" hidden="1" customWidth="1"/>
    <col min="11" max="11" width="10.1640625" style="76" customWidth="1"/>
    <col min="12" max="12" width="10.5" style="76" customWidth="1"/>
    <col min="13" max="13" width="9.83203125" style="76" customWidth="1"/>
    <col min="14" max="14" width="9.6640625" style="76" customWidth="1"/>
    <col min="15" max="15" width="17.33203125" style="17" customWidth="1"/>
    <col min="16" max="17" width="16.33203125" style="22" customWidth="1"/>
    <col min="18" max="18" width="8.1640625" style="17" bestFit="1" customWidth="1"/>
    <col min="19" max="19" width="8.33203125" style="17" bestFit="1" customWidth="1"/>
    <col min="20" max="20" width="12.1640625" style="87" bestFit="1" customWidth="1"/>
    <col min="21" max="21" width="14.5" style="87" bestFit="1" customWidth="1"/>
    <col min="22" max="22" width="10.83203125" style="88"/>
    <col min="23" max="16384" width="10.83203125" style="1"/>
  </cols>
  <sheetData>
    <row r="2" spans="1:23">
      <c r="B2" s="157" t="s">
        <v>112</v>
      </c>
      <c r="C2" s="157"/>
      <c r="D2" s="157"/>
      <c r="E2" s="157"/>
      <c r="F2" s="157"/>
      <c r="G2" s="157"/>
      <c r="H2" s="157"/>
      <c r="I2" s="157"/>
      <c r="J2" s="157"/>
      <c r="K2" s="157"/>
      <c r="L2" s="157"/>
      <c r="M2" s="157"/>
      <c r="N2" s="157"/>
      <c r="O2" s="157"/>
      <c r="P2" s="157"/>
      <c r="Q2" s="157"/>
      <c r="R2" s="157"/>
      <c r="S2" s="157"/>
      <c r="T2" s="157"/>
      <c r="U2" s="157"/>
      <c r="V2" s="157"/>
    </row>
    <row r="4" spans="1:23" s="79" customFormat="1" ht="26" customHeight="1">
      <c r="A4" s="158" t="s">
        <v>113</v>
      </c>
      <c r="B4" s="158"/>
      <c r="C4" s="158"/>
      <c r="D4" s="158"/>
      <c r="E4" s="158"/>
      <c r="F4" s="158"/>
      <c r="G4" s="158"/>
      <c r="H4" s="158"/>
      <c r="I4" s="158"/>
      <c r="J4" s="158"/>
      <c r="K4" s="158"/>
      <c r="L4" s="158"/>
      <c r="M4" s="158"/>
      <c r="N4" s="158"/>
      <c r="O4" s="158"/>
      <c r="P4" s="158"/>
      <c r="Q4" s="158"/>
      <c r="R4" s="158"/>
      <c r="S4" s="158"/>
      <c r="T4" s="158"/>
      <c r="U4" s="158"/>
      <c r="V4" s="158"/>
    </row>
    <row r="5" spans="1:23" s="7" customFormat="1" ht="51">
      <c r="A5" s="15" t="s">
        <v>4</v>
      </c>
      <c r="B5" s="15" t="s">
        <v>114</v>
      </c>
      <c r="C5" s="15" t="s">
        <v>5</v>
      </c>
      <c r="D5" s="15" t="s">
        <v>95</v>
      </c>
      <c r="E5" s="15" t="s">
        <v>115</v>
      </c>
      <c r="F5" s="15" t="s">
        <v>116</v>
      </c>
      <c r="G5" s="80" t="str">
        <f>BPCA!C5</f>
        <v xml:space="preserve">B2CA-1 </v>
      </c>
      <c r="H5" s="80" t="str">
        <f>BPCA!G5</f>
        <v>B3CA-2</v>
      </c>
      <c r="I5" s="80" t="str">
        <f>BPCA!H5</f>
        <v>B3CA-3</v>
      </c>
      <c r="J5" s="80" t="str">
        <f>BPCA!I5</f>
        <v xml:space="preserve">B4CA-1 </v>
      </c>
      <c r="K5" s="80" t="str">
        <f>BPCA!J5</f>
        <v>B4CA-2</v>
      </c>
      <c r="L5" s="80" t="str">
        <f>BPCA!K5</f>
        <v>B4CA-3</v>
      </c>
      <c r="M5" s="80" t="str">
        <f>BPCA!L5</f>
        <v>B5CA</v>
      </c>
      <c r="N5" s="81" t="s">
        <v>14</v>
      </c>
      <c r="O5" s="82" t="s">
        <v>117</v>
      </c>
      <c r="P5" s="83" t="s">
        <v>118</v>
      </c>
      <c r="Q5" s="83" t="s">
        <v>160</v>
      </c>
      <c r="R5" s="84" t="s">
        <v>119</v>
      </c>
      <c r="S5" s="84" t="s">
        <v>120</v>
      </c>
      <c r="T5" s="84" t="s">
        <v>121</v>
      </c>
      <c r="U5" s="84" t="s">
        <v>122</v>
      </c>
      <c r="V5" s="85" t="s">
        <v>123</v>
      </c>
      <c r="W5" s="86"/>
    </row>
    <row r="6" spans="1:23" ht="66" customHeight="1">
      <c r="A6" s="17">
        <v>0</v>
      </c>
      <c r="B6" s="109" t="s">
        <v>124</v>
      </c>
      <c r="C6" s="77" t="e" vm="1">
        <v>#VALUE!</v>
      </c>
      <c r="D6" s="17">
        <v>6</v>
      </c>
      <c r="E6" s="17">
        <v>6</v>
      </c>
      <c r="F6" s="17">
        <v>1</v>
      </c>
      <c r="G6" s="76">
        <v>0</v>
      </c>
      <c r="H6" s="76">
        <v>0</v>
      </c>
      <c r="I6" s="76">
        <v>0</v>
      </c>
      <c r="J6" s="76">
        <v>0</v>
      </c>
      <c r="K6" s="76">
        <v>0</v>
      </c>
      <c r="L6" s="76">
        <v>0</v>
      </c>
      <c r="M6" s="76">
        <v>0</v>
      </c>
      <c r="N6" s="76">
        <v>0</v>
      </c>
      <c r="O6" s="87">
        <v>0</v>
      </c>
      <c r="P6" s="22">
        <f t="shared" ref="P6:P39" si="0">(O6/SUM(O$6:O$27)*100)</f>
        <v>0</v>
      </c>
      <c r="Q6" s="22">
        <f>IF(O6=0,0,F6*O6/O6)</f>
        <v>0</v>
      </c>
      <c r="R6" s="87">
        <f t="shared" ref="R6:R37" si="1">D6*O6</f>
        <v>0</v>
      </c>
      <c r="S6" s="87">
        <f t="shared" ref="S6:S39" si="2">E6*O6</f>
        <v>0</v>
      </c>
      <c r="T6" s="87">
        <f>(R6/$R$40*100)</f>
        <v>0</v>
      </c>
      <c r="U6" s="87">
        <f>(S6/$S$40*100)</f>
        <v>0</v>
      </c>
      <c r="V6" s="88">
        <f t="shared" ref="V6:V39" si="3">(12.011*D6)+(1.008*E6)</f>
        <v>78.114000000000004</v>
      </c>
    </row>
    <row r="7" spans="1:23" ht="82" customHeight="1">
      <c r="A7" s="17">
        <v>1</v>
      </c>
      <c r="B7" s="109" t="s">
        <v>125</v>
      </c>
      <c r="C7" s="77" t="e" vm="2">
        <v>#VALUE!</v>
      </c>
      <c r="D7" s="17">
        <v>13</v>
      </c>
      <c r="E7" s="17">
        <v>10</v>
      </c>
      <c r="F7" s="17">
        <v>2</v>
      </c>
      <c r="G7" s="76">
        <f>1</f>
        <v>1</v>
      </c>
      <c r="H7" s="76">
        <v>0</v>
      </c>
      <c r="I7" s="76">
        <v>0</v>
      </c>
      <c r="J7" s="76">
        <v>0</v>
      </c>
      <c r="K7" s="76">
        <v>0</v>
      </c>
      <c r="L7" s="76">
        <v>0</v>
      </c>
      <c r="M7" s="76">
        <v>0</v>
      </c>
      <c r="N7" s="76">
        <v>0</v>
      </c>
      <c r="O7" s="17">
        <v>1</v>
      </c>
      <c r="P7" s="22">
        <f t="shared" si="0"/>
        <v>1.1764705882352942</v>
      </c>
      <c r="Q7" s="22">
        <f t="shared" ref="Q7:Q39" si="4">IF(O7=0,0,F7*O7/O7)</f>
        <v>2</v>
      </c>
      <c r="R7" s="87">
        <f t="shared" si="1"/>
        <v>13</v>
      </c>
      <c r="S7" s="87">
        <f t="shared" si="2"/>
        <v>10</v>
      </c>
      <c r="T7" s="87">
        <f t="shared" ref="T7:T39" si="5">(R7/$R$40*100)</f>
        <v>0.19353878219443205</v>
      </c>
      <c r="U7" s="87">
        <f t="shared" ref="U7:U39" si="6">(S7/$S$40*100)</f>
        <v>0.51894135962636223</v>
      </c>
      <c r="V7" s="88">
        <f t="shared" si="3"/>
        <v>166.22300000000001</v>
      </c>
    </row>
    <row r="8" spans="1:23" ht="100" customHeight="1">
      <c r="A8" s="17">
        <v>2</v>
      </c>
      <c r="B8" s="109" t="s">
        <v>126</v>
      </c>
      <c r="C8" s="77" t="e" vm="3">
        <v>#VALUE!</v>
      </c>
      <c r="D8" s="17">
        <v>13</v>
      </c>
      <c r="E8" s="17">
        <v>10</v>
      </c>
      <c r="F8" s="17">
        <v>3</v>
      </c>
      <c r="G8" s="76">
        <v>0</v>
      </c>
      <c r="H8" s="76">
        <v>1</v>
      </c>
      <c r="I8" s="76">
        <v>0</v>
      </c>
      <c r="J8" s="76">
        <v>0</v>
      </c>
      <c r="K8" s="76">
        <v>0</v>
      </c>
      <c r="L8" s="76">
        <v>0</v>
      </c>
      <c r="M8" s="76">
        <v>0</v>
      </c>
      <c r="N8" s="76">
        <v>0</v>
      </c>
      <c r="O8" s="17">
        <v>0</v>
      </c>
      <c r="P8" s="22">
        <f t="shared" si="0"/>
        <v>0</v>
      </c>
      <c r="Q8" s="22">
        <f t="shared" si="4"/>
        <v>0</v>
      </c>
      <c r="R8" s="87">
        <f t="shared" si="1"/>
        <v>0</v>
      </c>
      <c r="S8" s="87">
        <f t="shared" si="2"/>
        <v>0</v>
      </c>
      <c r="T8" s="87">
        <f t="shared" si="5"/>
        <v>0</v>
      </c>
      <c r="U8" s="87">
        <f t="shared" si="6"/>
        <v>0</v>
      </c>
      <c r="V8" s="88">
        <f t="shared" si="3"/>
        <v>166.22300000000001</v>
      </c>
    </row>
    <row r="9" spans="1:23" ht="79" customHeight="1">
      <c r="A9" s="114">
        <v>3</v>
      </c>
      <c r="B9" s="109" t="s">
        <v>127</v>
      </c>
      <c r="C9" s="77" t="e" vm="4">
        <v>#VALUE!</v>
      </c>
      <c r="D9" s="17">
        <v>14</v>
      </c>
      <c r="E9" s="17">
        <v>10</v>
      </c>
      <c r="F9" s="17">
        <v>3</v>
      </c>
      <c r="G9" s="89">
        <f>2/3</f>
        <v>0.66666666666666663</v>
      </c>
      <c r="H9" s="76">
        <v>0</v>
      </c>
      <c r="I9" s="76">
        <v>0</v>
      </c>
      <c r="J9" s="76">
        <v>0</v>
      </c>
      <c r="K9" s="76">
        <v>0</v>
      </c>
      <c r="L9" s="76">
        <f>1/3</f>
        <v>0.33333333333333331</v>
      </c>
      <c r="M9" s="76">
        <v>0</v>
      </c>
      <c r="N9" s="76">
        <v>0</v>
      </c>
      <c r="O9" s="17">
        <v>0</v>
      </c>
      <c r="P9" s="22">
        <f t="shared" si="0"/>
        <v>0</v>
      </c>
      <c r="Q9" s="22">
        <f t="shared" si="4"/>
        <v>0</v>
      </c>
      <c r="R9" s="87">
        <f t="shared" si="1"/>
        <v>0</v>
      </c>
      <c r="S9" s="87">
        <f t="shared" si="2"/>
        <v>0</v>
      </c>
      <c r="T9" s="87">
        <f t="shared" si="5"/>
        <v>0</v>
      </c>
      <c r="U9" s="87">
        <f t="shared" si="6"/>
        <v>0</v>
      </c>
      <c r="V9" s="88">
        <f t="shared" si="3"/>
        <v>178.23400000000001</v>
      </c>
    </row>
    <row r="10" spans="1:23" ht="83" customHeight="1">
      <c r="A10" s="114">
        <v>4</v>
      </c>
      <c r="B10" s="109" t="s">
        <v>20</v>
      </c>
      <c r="C10" s="77" t="e" vm="5">
        <v>#VALUE!</v>
      </c>
      <c r="D10" s="17">
        <v>14</v>
      </c>
      <c r="E10" s="17">
        <v>10</v>
      </c>
      <c r="F10" s="17">
        <v>3</v>
      </c>
      <c r="G10" s="76">
        <f>1</f>
        <v>1</v>
      </c>
      <c r="H10" s="76">
        <v>0</v>
      </c>
      <c r="I10" s="76">
        <v>0</v>
      </c>
      <c r="J10" s="76">
        <v>0</v>
      </c>
      <c r="K10" s="76">
        <v>0</v>
      </c>
      <c r="L10" s="76">
        <v>0</v>
      </c>
      <c r="M10" s="76">
        <v>0</v>
      </c>
      <c r="N10" s="76">
        <v>0</v>
      </c>
      <c r="O10" s="17">
        <v>0</v>
      </c>
      <c r="P10" s="22">
        <f t="shared" si="0"/>
        <v>0</v>
      </c>
      <c r="Q10" s="22">
        <f t="shared" si="4"/>
        <v>0</v>
      </c>
      <c r="R10" s="87">
        <f t="shared" si="1"/>
        <v>0</v>
      </c>
      <c r="S10" s="87">
        <f t="shared" si="2"/>
        <v>0</v>
      </c>
      <c r="T10" s="87">
        <f t="shared" si="5"/>
        <v>0</v>
      </c>
      <c r="U10" s="87">
        <f t="shared" si="6"/>
        <v>0</v>
      </c>
      <c r="V10" s="88">
        <f t="shared" si="3"/>
        <v>178.23400000000001</v>
      </c>
    </row>
    <row r="11" spans="1:23" ht="83" customHeight="1">
      <c r="A11" s="17">
        <v>5</v>
      </c>
      <c r="B11" s="109" t="s">
        <v>128</v>
      </c>
      <c r="C11" s="77" t="e" vm="6">
        <v>#VALUE!</v>
      </c>
      <c r="D11" s="17">
        <v>18</v>
      </c>
      <c r="E11" s="17">
        <v>12</v>
      </c>
      <c r="F11" s="17">
        <v>4</v>
      </c>
      <c r="G11" s="76">
        <f>2/4</f>
        <v>0.5</v>
      </c>
      <c r="H11" s="76">
        <v>0</v>
      </c>
      <c r="I11" s="76">
        <v>0</v>
      </c>
      <c r="J11" s="76">
        <v>0</v>
      </c>
      <c r="K11" s="76">
        <f>2/4</f>
        <v>0.5</v>
      </c>
      <c r="L11" s="76">
        <v>0</v>
      </c>
      <c r="M11" s="76">
        <v>0</v>
      </c>
      <c r="N11" s="76">
        <v>0</v>
      </c>
      <c r="O11" s="17">
        <v>1</v>
      </c>
      <c r="P11" s="22">
        <f t="shared" si="0"/>
        <v>1.1764705882352942</v>
      </c>
      <c r="Q11" s="22">
        <f t="shared" si="4"/>
        <v>4</v>
      </c>
      <c r="R11" s="87">
        <f t="shared" si="1"/>
        <v>18</v>
      </c>
      <c r="S11" s="87">
        <f t="shared" si="2"/>
        <v>12</v>
      </c>
      <c r="T11" s="87">
        <f>(R11/$R$40*100)</f>
        <v>0.26797677534613668</v>
      </c>
      <c r="U11" s="87">
        <f>(S11/$S$40*100)</f>
        <v>0.62272963155163463</v>
      </c>
      <c r="V11" s="88">
        <f t="shared" si="3"/>
        <v>228.29399999999998</v>
      </c>
    </row>
    <row r="12" spans="1:23" ht="83" customHeight="1">
      <c r="A12" s="17">
        <v>6</v>
      </c>
      <c r="B12" s="109" t="s">
        <v>129</v>
      </c>
      <c r="C12" s="77" t="e" vm="7">
        <v>#VALUE!</v>
      </c>
      <c r="D12" s="17">
        <v>22</v>
      </c>
      <c r="E12" s="17">
        <v>14</v>
      </c>
      <c r="F12" s="17">
        <v>5</v>
      </c>
      <c r="G12" s="76">
        <f>2/5</f>
        <v>0.4</v>
      </c>
      <c r="H12" s="76">
        <v>0</v>
      </c>
      <c r="I12" s="76">
        <v>0</v>
      </c>
      <c r="J12" s="76">
        <v>0</v>
      </c>
      <c r="K12" s="76">
        <v>0.6</v>
      </c>
      <c r="L12" s="76">
        <v>0</v>
      </c>
      <c r="M12" s="76">
        <v>0</v>
      </c>
      <c r="N12" s="76">
        <v>0</v>
      </c>
      <c r="O12" s="17">
        <v>0</v>
      </c>
      <c r="P12" s="22">
        <f t="shared" si="0"/>
        <v>0</v>
      </c>
      <c r="Q12" s="22">
        <f t="shared" si="4"/>
        <v>0</v>
      </c>
      <c r="R12" s="87">
        <f t="shared" si="1"/>
        <v>0</v>
      </c>
      <c r="S12" s="87">
        <f t="shared" si="2"/>
        <v>0</v>
      </c>
      <c r="T12" s="87">
        <f t="shared" si="5"/>
        <v>0</v>
      </c>
      <c r="U12" s="87">
        <f t="shared" si="6"/>
        <v>0</v>
      </c>
      <c r="V12" s="88">
        <f t="shared" si="3"/>
        <v>278.35399999999998</v>
      </c>
    </row>
    <row r="13" spans="1:23" ht="91" customHeight="1">
      <c r="A13" s="114">
        <v>7</v>
      </c>
      <c r="B13" s="109" t="s">
        <v>26</v>
      </c>
      <c r="C13" s="77" t="e" vm="8">
        <v>#VALUE!</v>
      </c>
      <c r="D13" s="17">
        <v>16</v>
      </c>
      <c r="E13" s="17">
        <v>10</v>
      </c>
      <c r="F13" s="17">
        <v>4</v>
      </c>
      <c r="G13" s="76">
        <v>0</v>
      </c>
      <c r="H13" s="76">
        <f>2/4</f>
        <v>0.5</v>
      </c>
      <c r="I13" s="76">
        <v>0</v>
      </c>
      <c r="J13" s="76">
        <v>0</v>
      </c>
      <c r="K13" s="76">
        <v>0</v>
      </c>
      <c r="L13" s="76">
        <f>2/4</f>
        <v>0.5</v>
      </c>
      <c r="M13" s="76">
        <v>0</v>
      </c>
      <c r="N13" s="76">
        <v>0</v>
      </c>
      <c r="O13" s="17">
        <v>0</v>
      </c>
      <c r="P13" s="22">
        <f t="shared" si="0"/>
        <v>0</v>
      </c>
      <c r="Q13" s="22">
        <f t="shared" si="4"/>
        <v>0</v>
      </c>
      <c r="R13" s="87">
        <f t="shared" si="1"/>
        <v>0</v>
      </c>
      <c r="S13" s="87">
        <f t="shared" si="2"/>
        <v>0</v>
      </c>
      <c r="T13" s="87">
        <f t="shared" si="5"/>
        <v>0</v>
      </c>
      <c r="U13" s="87">
        <f t="shared" si="6"/>
        <v>0</v>
      </c>
      <c r="V13" s="88">
        <f t="shared" si="3"/>
        <v>202.256</v>
      </c>
    </row>
    <row r="14" spans="1:23" ht="91" customHeight="1">
      <c r="A14" s="114">
        <v>8</v>
      </c>
      <c r="B14" s="109" t="s">
        <v>25</v>
      </c>
      <c r="C14" s="77" t="e" vm="9">
        <v>#VALUE!</v>
      </c>
      <c r="D14" s="17">
        <v>18</v>
      </c>
      <c r="E14" s="17">
        <v>12</v>
      </c>
      <c r="F14" s="17">
        <v>4</v>
      </c>
      <c r="G14" s="76">
        <v>0.5</v>
      </c>
      <c r="H14" s="76">
        <v>0</v>
      </c>
      <c r="I14" s="76">
        <v>0</v>
      </c>
      <c r="J14" s="76">
        <v>0</v>
      </c>
      <c r="K14" s="76">
        <v>0</v>
      </c>
      <c r="L14" s="76">
        <v>0.5</v>
      </c>
      <c r="M14" s="76">
        <v>0</v>
      </c>
      <c r="N14" s="76">
        <v>0</v>
      </c>
      <c r="O14" s="17">
        <v>0</v>
      </c>
      <c r="P14" s="22">
        <f t="shared" si="0"/>
        <v>0</v>
      </c>
      <c r="Q14" s="22">
        <f t="shared" si="4"/>
        <v>0</v>
      </c>
      <c r="R14" s="87">
        <f t="shared" si="1"/>
        <v>0</v>
      </c>
      <c r="S14" s="87">
        <f t="shared" si="2"/>
        <v>0</v>
      </c>
      <c r="T14" s="87">
        <f t="shared" si="5"/>
        <v>0</v>
      </c>
      <c r="U14" s="87">
        <f t="shared" si="6"/>
        <v>0</v>
      </c>
      <c r="V14" s="88">
        <f t="shared" si="3"/>
        <v>228.29399999999998</v>
      </c>
    </row>
    <row r="15" spans="1:23" ht="69" customHeight="1">
      <c r="A15" s="17">
        <v>9</v>
      </c>
      <c r="B15" s="109" t="s">
        <v>130</v>
      </c>
      <c r="C15" s="77" t="e" vm="10">
        <v>#VALUE!</v>
      </c>
      <c r="D15" s="17">
        <v>17</v>
      </c>
      <c r="E15" s="17">
        <v>12</v>
      </c>
      <c r="F15" s="17">
        <v>3</v>
      </c>
      <c r="G15" s="76">
        <f>2/3</f>
        <v>0.66666666666666663</v>
      </c>
      <c r="H15" s="76">
        <v>0</v>
      </c>
      <c r="I15" s="76">
        <v>0</v>
      </c>
      <c r="J15" s="76">
        <v>0</v>
      </c>
      <c r="K15" s="76">
        <v>0</v>
      </c>
      <c r="L15" s="76">
        <f>1/3</f>
        <v>0.33333333333333331</v>
      </c>
      <c r="M15" s="76">
        <v>0</v>
      </c>
      <c r="N15" s="76">
        <v>0</v>
      </c>
      <c r="O15" s="17">
        <v>0</v>
      </c>
      <c r="P15" s="22">
        <f t="shared" si="0"/>
        <v>0</v>
      </c>
      <c r="Q15" s="22">
        <f t="shared" si="4"/>
        <v>0</v>
      </c>
      <c r="R15" s="87">
        <f t="shared" si="1"/>
        <v>0</v>
      </c>
      <c r="S15" s="87">
        <f t="shared" si="2"/>
        <v>0</v>
      </c>
      <c r="T15" s="87">
        <f t="shared" si="5"/>
        <v>0</v>
      </c>
      <c r="U15" s="87">
        <f t="shared" si="6"/>
        <v>0</v>
      </c>
      <c r="V15" s="88">
        <f t="shared" si="3"/>
        <v>216.28299999999999</v>
      </c>
    </row>
    <row r="16" spans="1:23" ht="102" customHeight="1">
      <c r="A16" s="17">
        <v>10</v>
      </c>
      <c r="B16" s="109" t="s">
        <v>131</v>
      </c>
      <c r="C16" s="77" t="e" vm="11">
        <v>#VALUE!</v>
      </c>
      <c r="D16" s="17">
        <v>20</v>
      </c>
      <c r="E16" s="17">
        <v>12</v>
      </c>
      <c r="F16" s="17">
        <v>4</v>
      </c>
      <c r="G16" s="76">
        <f>2/4</f>
        <v>0.5</v>
      </c>
      <c r="H16" s="76">
        <f>1/4</f>
        <v>0.25</v>
      </c>
      <c r="I16" s="76">
        <v>0</v>
      </c>
      <c r="J16" s="76">
        <v>0</v>
      </c>
      <c r="K16" s="76">
        <v>0</v>
      </c>
      <c r="L16" s="76">
        <v>0</v>
      </c>
      <c r="M16" s="76">
        <v>0.25</v>
      </c>
      <c r="N16" s="76">
        <v>0</v>
      </c>
      <c r="O16" s="17">
        <v>0</v>
      </c>
      <c r="P16" s="22">
        <f t="shared" si="0"/>
        <v>0</v>
      </c>
      <c r="Q16" s="22">
        <f t="shared" si="4"/>
        <v>0</v>
      </c>
      <c r="R16" s="87">
        <f t="shared" si="1"/>
        <v>0</v>
      </c>
      <c r="S16" s="87">
        <f t="shared" si="2"/>
        <v>0</v>
      </c>
      <c r="T16" s="87">
        <f t="shared" si="5"/>
        <v>0</v>
      </c>
      <c r="U16" s="87">
        <f t="shared" si="6"/>
        <v>0</v>
      </c>
      <c r="V16" s="88">
        <f t="shared" si="3"/>
        <v>252.31599999999997</v>
      </c>
    </row>
    <row r="17" spans="1:22" ht="71" customHeight="1">
      <c r="A17" s="17">
        <v>11</v>
      </c>
      <c r="B17" s="109" t="s">
        <v>132</v>
      </c>
      <c r="C17" s="77" t="e" vm="12">
        <v>#VALUE!</v>
      </c>
      <c r="D17" s="17">
        <v>17</v>
      </c>
      <c r="E17" s="17">
        <v>12</v>
      </c>
      <c r="F17" s="17">
        <v>3</v>
      </c>
      <c r="G17" s="76">
        <f>G15</f>
        <v>0.66666666666666663</v>
      </c>
      <c r="H17" s="76">
        <v>0</v>
      </c>
      <c r="I17" s="76">
        <v>0</v>
      </c>
      <c r="J17" s="76">
        <v>0</v>
      </c>
      <c r="K17" s="76">
        <v>0</v>
      </c>
      <c r="L17" s="76">
        <f>L15</f>
        <v>0.33333333333333331</v>
      </c>
      <c r="M17" s="76">
        <v>0</v>
      </c>
      <c r="N17" s="76">
        <v>0</v>
      </c>
      <c r="O17" s="17">
        <v>0</v>
      </c>
      <c r="P17" s="22">
        <f t="shared" si="0"/>
        <v>0</v>
      </c>
      <c r="Q17" s="22">
        <f t="shared" si="4"/>
        <v>0</v>
      </c>
      <c r="R17" s="87">
        <f t="shared" si="1"/>
        <v>0</v>
      </c>
      <c r="S17" s="87">
        <f t="shared" si="2"/>
        <v>0</v>
      </c>
      <c r="T17" s="87">
        <f t="shared" si="5"/>
        <v>0</v>
      </c>
      <c r="U17" s="87">
        <f t="shared" si="6"/>
        <v>0</v>
      </c>
      <c r="V17" s="88">
        <f t="shared" si="3"/>
        <v>216.28299999999999</v>
      </c>
    </row>
    <row r="18" spans="1:22" ht="117" customHeight="1">
      <c r="A18" s="114">
        <v>12</v>
      </c>
      <c r="B18" s="109" t="s">
        <v>30</v>
      </c>
      <c r="C18" s="77" t="e" vm="13">
        <v>#VALUE!</v>
      </c>
      <c r="D18" s="17">
        <v>24</v>
      </c>
      <c r="E18" s="17">
        <v>12</v>
      </c>
      <c r="F18" s="17">
        <v>7</v>
      </c>
      <c r="G18" s="76">
        <v>0</v>
      </c>
      <c r="H18" s="76">
        <v>0</v>
      </c>
      <c r="I18" s="76">
        <v>0</v>
      </c>
      <c r="J18" s="76">
        <v>0</v>
      </c>
      <c r="K18" s="76">
        <v>0</v>
      </c>
      <c r="L18" s="76">
        <f>6/7</f>
        <v>0.8571428571428571</v>
      </c>
      <c r="M18" s="76">
        <v>0</v>
      </c>
      <c r="N18" s="76">
        <f>1/7</f>
        <v>0.14285714285714285</v>
      </c>
      <c r="O18" s="17">
        <v>0</v>
      </c>
      <c r="P18" s="22">
        <f t="shared" si="0"/>
        <v>0</v>
      </c>
      <c r="Q18" s="22">
        <f t="shared" si="4"/>
        <v>0</v>
      </c>
      <c r="R18" s="87">
        <f t="shared" si="1"/>
        <v>0</v>
      </c>
      <c r="S18" s="87">
        <f t="shared" si="2"/>
        <v>0</v>
      </c>
      <c r="T18" s="87">
        <f t="shared" si="5"/>
        <v>0</v>
      </c>
      <c r="U18" s="87">
        <f t="shared" si="6"/>
        <v>0</v>
      </c>
      <c r="V18" s="88">
        <f t="shared" si="3"/>
        <v>300.36</v>
      </c>
    </row>
    <row r="19" spans="1:22" ht="93" customHeight="1">
      <c r="A19" s="114">
        <v>13</v>
      </c>
      <c r="B19" s="109" t="s">
        <v>28</v>
      </c>
      <c r="C19" s="78" t="e" vm="14">
        <v>#VALUE!</v>
      </c>
      <c r="D19" s="17">
        <v>20</v>
      </c>
      <c r="E19" s="17">
        <v>12</v>
      </c>
      <c r="F19" s="17">
        <v>5</v>
      </c>
      <c r="G19" s="76">
        <v>0</v>
      </c>
      <c r="H19" s="76">
        <f>4/5</f>
        <v>0.8</v>
      </c>
      <c r="I19" s="76">
        <v>0</v>
      </c>
      <c r="J19" s="76">
        <v>0</v>
      </c>
      <c r="K19" s="76">
        <v>0</v>
      </c>
      <c r="L19" s="76">
        <v>0</v>
      </c>
      <c r="M19" s="76">
        <v>0</v>
      </c>
      <c r="N19" s="76">
        <f>1/5</f>
        <v>0.2</v>
      </c>
      <c r="O19" s="17">
        <v>0</v>
      </c>
      <c r="P19" s="22">
        <f t="shared" si="0"/>
        <v>0</v>
      </c>
      <c r="Q19" s="22">
        <f t="shared" si="4"/>
        <v>0</v>
      </c>
      <c r="R19" s="87">
        <f t="shared" si="1"/>
        <v>0</v>
      </c>
      <c r="S19" s="87">
        <f t="shared" si="2"/>
        <v>0</v>
      </c>
      <c r="T19" s="87">
        <f t="shared" si="5"/>
        <v>0</v>
      </c>
      <c r="U19" s="87">
        <f t="shared" si="6"/>
        <v>0</v>
      </c>
      <c r="V19" s="88">
        <f t="shared" si="3"/>
        <v>252.31599999999997</v>
      </c>
    </row>
    <row r="20" spans="1:22" ht="95" customHeight="1">
      <c r="A20" s="17">
        <v>14</v>
      </c>
      <c r="B20" s="109" t="s">
        <v>133</v>
      </c>
      <c r="C20" s="78" t="e" vm="15">
        <v>#VALUE!</v>
      </c>
      <c r="D20" s="17">
        <v>20</v>
      </c>
      <c r="E20" s="17">
        <v>12</v>
      </c>
      <c r="F20" s="17">
        <v>5</v>
      </c>
      <c r="G20" s="76">
        <f>1/5</f>
        <v>0.2</v>
      </c>
      <c r="H20" s="76">
        <f>1/5</f>
        <v>0.2</v>
      </c>
      <c r="I20" s="76">
        <v>0</v>
      </c>
      <c r="J20" s="76">
        <v>0</v>
      </c>
      <c r="K20" s="76">
        <v>0</v>
      </c>
      <c r="L20" s="76">
        <v>0.4</v>
      </c>
      <c r="M20" s="76">
        <v>0.2</v>
      </c>
      <c r="N20" s="76">
        <v>0</v>
      </c>
      <c r="O20" s="17">
        <v>0</v>
      </c>
      <c r="P20" s="22">
        <f t="shared" si="0"/>
        <v>0</v>
      </c>
      <c r="Q20" s="22">
        <f t="shared" si="4"/>
        <v>0</v>
      </c>
      <c r="R20" s="87">
        <f t="shared" si="1"/>
        <v>0</v>
      </c>
      <c r="S20" s="87">
        <f t="shared" si="2"/>
        <v>0</v>
      </c>
      <c r="T20" s="87">
        <f t="shared" si="5"/>
        <v>0</v>
      </c>
      <c r="U20" s="87">
        <f t="shared" si="6"/>
        <v>0</v>
      </c>
      <c r="V20" s="88">
        <f t="shared" si="3"/>
        <v>252.31599999999997</v>
      </c>
    </row>
    <row r="21" spans="1:22" ht="102" customHeight="1">
      <c r="A21" s="114">
        <v>15</v>
      </c>
      <c r="B21" s="109" t="s">
        <v>134</v>
      </c>
      <c r="C21" s="78" t="e" vm="16">
        <v>#VALUE!</v>
      </c>
      <c r="D21" s="17">
        <v>22</v>
      </c>
      <c r="E21" s="17">
        <v>12</v>
      </c>
      <c r="F21" s="17">
        <v>6</v>
      </c>
      <c r="G21" s="76">
        <v>0</v>
      </c>
      <c r="H21" s="76">
        <f>2/6</f>
        <v>0.33333333333333331</v>
      </c>
      <c r="I21" s="76">
        <v>0</v>
      </c>
      <c r="J21" s="76">
        <v>0</v>
      </c>
      <c r="K21" s="76">
        <v>0</v>
      </c>
      <c r="L21" s="76">
        <f>3/6</f>
        <v>0.5</v>
      </c>
      <c r="M21" s="76">
        <v>0</v>
      </c>
      <c r="N21" s="76">
        <f>1/6</f>
        <v>0.16666666666666666</v>
      </c>
      <c r="O21" s="17">
        <v>0</v>
      </c>
      <c r="P21" s="22">
        <f t="shared" si="0"/>
        <v>0</v>
      </c>
      <c r="Q21" s="22">
        <f t="shared" si="4"/>
        <v>0</v>
      </c>
      <c r="R21" s="87">
        <f t="shared" si="1"/>
        <v>0</v>
      </c>
      <c r="S21" s="87">
        <f t="shared" si="2"/>
        <v>0</v>
      </c>
      <c r="T21" s="87">
        <f t="shared" si="5"/>
        <v>0</v>
      </c>
      <c r="U21" s="87">
        <f t="shared" si="6"/>
        <v>0</v>
      </c>
      <c r="V21" s="88">
        <f t="shared" si="3"/>
        <v>276.33799999999997</v>
      </c>
    </row>
    <row r="22" spans="1:22" ht="137" customHeight="1">
      <c r="A22" s="17">
        <v>16</v>
      </c>
      <c r="B22" s="109" t="s">
        <v>135</v>
      </c>
      <c r="C22" s="77" t="e" vm="17">
        <v>#VALUE!</v>
      </c>
      <c r="D22" s="17">
        <v>42</v>
      </c>
      <c r="E22" s="17">
        <v>16</v>
      </c>
      <c r="F22" s="17">
        <v>14</v>
      </c>
      <c r="G22" s="76">
        <v>0</v>
      </c>
      <c r="H22" s="76">
        <v>0</v>
      </c>
      <c r="I22" s="76">
        <v>0</v>
      </c>
      <c r="J22" s="76">
        <v>0</v>
      </c>
      <c r="K22" s="76">
        <v>0</v>
      </c>
      <c r="L22" s="76">
        <f>6/14</f>
        <v>0.42857142857142855</v>
      </c>
      <c r="M22" s="76">
        <f>4/14</f>
        <v>0.2857142857142857</v>
      </c>
      <c r="N22" s="76">
        <f>4/14</f>
        <v>0.2857142857142857</v>
      </c>
      <c r="O22" s="17">
        <v>0</v>
      </c>
      <c r="P22" s="22">
        <f t="shared" si="0"/>
        <v>0</v>
      </c>
      <c r="Q22" s="22">
        <f t="shared" si="4"/>
        <v>0</v>
      </c>
      <c r="R22" s="87">
        <f t="shared" si="1"/>
        <v>0</v>
      </c>
      <c r="S22" s="87">
        <f t="shared" si="2"/>
        <v>0</v>
      </c>
      <c r="T22" s="87">
        <f t="shared" si="5"/>
        <v>0</v>
      </c>
      <c r="U22" s="87">
        <f t="shared" si="6"/>
        <v>0</v>
      </c>
      <c r="V22" s="88">
        <f t="shared" si="3"/>
        <v>520.59</v>
      </c>
    </row>
    <row r="23" spans="1:22" ht="167" customHeight="1">
      <c r="A23" s="17">
        <v>17</v>
      </c>
      <c r="B23" s="109" t="s">
        <v>136</v>
      </c>
      <c r="C23" s="77" t="e" vm="18">
        <v>#VALUE!</v>
      </c>
      <c r="D23" s="17">
        <v>54</v>
      </c>
      <c r="E23" s="17">
        <v>18</v>
      </c>
      <c r="F23" s="17">
        <v>19</v>
      </c>
      <c r="G23" s="76">
        <v>0</v>
      </c>
      <c r="H23" s="76">
        <v>0</v>
      </c>
      <c r="I23" s="76">
        <v>0</v>
      </c>
      <c r="J23" s="76">
        <v>0</v>
      </c>
      <c r="K23" s="76">
        <v>0</v>
      </c>
      <c r="L23" s="76">
        <f>6/19</f>
        <v>0.31578947368421051</v>
      </c>
      <c r="M23" s="76">
        <f>6/19</f>
        <v>0.31578947368421051</v>
      </c>
      <c r="N23" s="76">
        <f>7/19</f>
        <v>0.36842105263157893</v>
      </c>
      <c r="O23" s="17">
        <v>0</v>
      </c>
      <c r="P23" s="22">
        <f t="shared" si="0"/>
        <v>0</v>
      </c>
      <c r="Q23" s="22">
        <f t="shared" si="4"/>
        <v>0</v>
      </c>
      <c r="R23" s="87">
        <f t="shared" si="1"/>
        <v>0</v>
      </c>
      <c r="S23" s="87">
        <f t="shared" si="2"/>
        <v>0</v>
      </c>
      <c r="T23" s="87">
        <f t="shared" si="5"/>
        <v>0</v>
      </c>
      <c r="U23" s="87">
        <f t="shared" si="6"/>
        <v>0</v>
      </c>
      <c r="V23" s="88">
        <f t="shared" si="3"/>
        <v>666.73799999999994</v>
      </c>
    </row>
    <row r="24" spans="1:22" ht="151" customHeight="1">
      <c r="A24" s="17">
        <v>18</v>
      </c>
      <c r="B24" s="109" t="s">
        <v>137</v>
      </c>
      <c r="C24" s="77" t="e" vm="19">
        <v>#VALUE!</v>
      </c>
      <c r="D24" s="17">
        <v>66</v>
      </c>
      <c r="E24" s="17">
        <v>20</v>
      </c>
      <c r="F24" s="17">
        <v>24</v>
      </c>
      <c r="G24" s="76">
        <v>0</v>
      </c>
      <c r="H24" s="76">
        <v>0</v>
      </c>
      <c r="I24" s="76">
        <v>0</v>
      </c>
      <c r="J24" s="76">
        <v>0</v>
      </c>
      <c r="K24" s="76">
        <v>0</v>
      </c>
      <c r="L24" s="76">
        <f>6/24</f>
        <v>0.25</v>
      </c>
      <c r="M24" s="76">
        <f>8/24</f>
        <v>0.33333333333333331</v>
      </c>
      <c r="N24" s="76">
        <f>10/24</f>
        <v>0.41666666666666669</v>
      </c>
      <c r="O24" s="17">
        <v>0</v>
      </c>
      <c r="P24" s="22">
        <f t="shared" si="0"/>
        <v>0</v>
      </c>
      <c r="Q24" s="22">
        <f t="shared" si="4"/>
        <v>0</v>
      </c>
      <c r="R24" s="87">
        <f t="shared" si="1"/>
        <v>0</v>
      </c>
      <c r="S24" s="87">
        <f t="shared" si="2"/>
        <v>0</v>
      </c>
      <c r="T24" s="87">
        <f t="shared" si="5"/>
        <v>0</v>
      </c>
      <c r="U24" s="87">
        <f t="shared" si="6"/>
        <v>0</v>
      </c>
      <c r="V24" s="88">
        <f t="shared" si="3"/>
        <v>812.88599999999997</v>
      </c>
    </row>
    <row r="25" spans="1:22" ht="151" customHeight="1">
      <c r="A25" s="17">
        <v>19</v>
      </c>
      <c r="B25" s="109" t="s">
        <v>138</v>
      </c>
      <c r="C25" s="77" t="e" vm="20">
        <v>#VALUE!</v>
      </c>
      <c r="D25" s="17">
        <v>70</v>
      </c>
      <c r="E25" s="17">
        <v>22</v>
      </c>
      <c r="F25" s="17">
        <v>25</v>
      </c>
      <c r="G25" s="76">
        <v>0</v>
      </c>
      <c r="H25" s="76">
        <f>2/25</f>
        <v>0.08</v>
      </c>
      <c r="I25" s="76">
        <v>0</v>
      </c>
      <c r="J25" s="76">
        <v>0</v>
      </c>
      <c r="K25" s="76">
        <v>0</v>
      </c>
      <c r="L25" s="76">
        <v>0.08</v>
      </c>
      <c r="M25" s="76">
        <f>12/25</f>
        <v>0.48</v>
      </c>
      <c r="N25" s="76">
        <f>9/25</f>
        <v>0.36</v>
      </c>
      <c r="O25" s="17">
        <v>10</v>
      </c>
      <c r="P25" s="22">
        <f t="shared" si="0"/>
        <v>11.76470588235294</v>
      </c>
      <c r="Q25" s="22">
        <f t="shared" si="4"/>
        <v>25</v>
      </c>
      <c r="R25" s="87">
        <f t="shared" si="1"/>
        <v>700</v>
      </c>
      <c r="S25" s="87">
        <f t="shared" si="2"/>
        <v>220</v>
      </c>
      <c r="T25" s="87">
        <f t="shared" si="5"/>
        <v>10.421319041238648</v>
      </c>
      <c r="U25" s="87">
        <f t="shared" si="6"/>
        <v>11.41670991177997</v>
      </c>
      <c r="V25" s="88">
        <f t="shared" si="3"/>
        <v>862.94600000000003</v>
      </c>
    </row>
    <row r="26" spans="1:22" ht="151" customHeight="1">
      <c r="A26" s="17">
        <v>20</v>
      </c>
      <c r="B26" s="109" t="s">
        <v>139</v>
      </c>
      <c r="C26" s="77" t="e" vm="21">
        <v>#VALUE!</v>
      </c>
      <c r="D26" s="17">
        <v>80</v>
      </c>
      <c r="E26" s="17">
        <f>22</f>
        <v>22</v>
      </c>
      <c r="F26" s="17">
        <v>30</v>
      </c>
      <c r="G26" s="76">
        <v>0</v>
      </c>
      <c r="H26" s="76">
        <v>0</v>
      </c>
      <c r="I26" s="76">
        <v>0</v>
      </c>
      <c r="J26" s="76">
        <v>0</v>
      </c>
      <c r="K26" s="76">
        <v>0</v>
      </c>
      <c r="L26" s="76">
        <f>6/30</f>
        <v>0.2</v>
      </c>
      <c r="M26" s="76">
        <f>10/30</f>
        <v>0.33333333333333331</v>
      </c>
      <c r="N26" s="76">
        <f>14/30</f>
        <v>0.46666666666666667</v>
      </c>
      <c r="O26" s="17">
        <v>68</v>
      </c>
      <c r="P26" s="22">
        <f t="shared" si="0"/>
        <v>80</v>
      </c>
      <c r="Q26" s="22">
        <f t="shared" si="4"/>
        <v>30</v>
      </c>
      <c r="R26" s="87">
        <f t="shared" si="1"/>
        <v>5440</v>
      </c>
      <c r="S26" s="87">
        <f t="shared" si="2"/>
        <v>1496</v>
      </c>
      <c r="T26" s="87">
        <f t="shared" si="5"/>
        <v>80.988536549054629</v>
      </c>
      <c r="U26" s="87">
        <f t="shared" si="6"/>
        <v>77.633627400103791</v>
      </c>
      <c r="V26" s="88">
        <f t="shared" si="3"/>
        <v>983.05599999999993</v>
      </c>
    </row>
    <row r="27" spans="1:22" ht="173" customHeight="1">
      <c r="A27" s="17">
        <v>21</v>
      </c>
      <c r="B27" s="110" t="s">
        <v>140</v>
      </c>
      <c r="C27" s="77" t="e" vm="22">
        <v>#VALUE!</v>
      </c>
      <c r="D27" s="17">
        <v>84</v>
      </c>
      <c r="E27" s="17">
        <v>24</v>
      </c>
      <c r="F27" s="17">
        <v>31</v>
      </c>
      <c r="G27" s="76">
        <v>0</v>
      </c>
      <c r="H27" s="76">
        <v>0</v>
      </c>
      <c r="I27" s="76">
        <v>0</v>
      </c>
      <c r="J27" s="76">
        <v>0</v>
      </c>
      <c r="K27" s="76">
        <v>0</v>
      </c>
      <c r="L27" s="76">
        <f>(31-18)/31</f>
        <v>0.41935483870967744</v>
      </c>
      <c r="M27" s="76">
        <v>0</v>
      </c>
      <c r="N27" s="76">
        <f>18/31</f>
        <v>0.58064516129032262</v>
      </c>
      <c r="O27" s="17">
        <v>5</v>
      </c>
      <c r="P27" s="22">
        <f t="shared" si="0"/>
        <v>5.8823529411764701</v>
      </c>
      <c r="Q27" s="22">
        <f t="shared" si="4"/>
        <v>31</v>
      </c>
      <c r="R27" s="87">
        <f t="shared" si="1"/>
        <v>420</v>
      </c>
      <c r="S27" s="87">
        <f t="shared" si="2"/>
        <v>120</v>
      </c>
      <c r="T27" s="87">
        <f t="shared" si="5"/>
        <v>6.2527914247431884</v>
      </c>
      <c r="U27" s="87">
        <f t="shared" si="6"/>
        <v>6.2272963155163463</v>
      </c>
      <c r="V27" s="88">
        <f t="shared" si="3"/>
        <v>1033.116</v>
      </c>
    </row>
    <row r="28" spans="1:22" ht="136" customHeight="1">
      <c r="A28" s="17">
        <v>22</v>
      </c>
      <c r="B28" s="17" t="s">
        <v>161</v>
      </c>
      <c r="C28" s="77" t="e" vm="23">
        <v>#VALUE!</v>
      </c>
      <c r="D28" s="17">
        <f>30-11</f>
        <v>19</v>
      </c>
      <c r="E28" s="17">
        <v>11</v>
      </c>
      <c r="F28" s="17">
        <v>5</v>
      </c>
      <c r="G28" s="76">
        <v>0</v>
      </c>
      <c r="H28" s="76">
        <f>2/F28</f>
        <v>0.4</v>
      </c>
      <c r="K28" s="76">
        <v>0</v>
      </c>
      <c r="L28" s="76">
        <f>2/F28</f>
        <v>0.4</v>
      </c>
      <c r="M28" s="76">
        <f>1/F28</f>
        <v>0.2</v>
      </c>
      <c r="N28" s="76">
        <v>0</v>
      </c>
      <c r="O28" s="17">
        <v>0</v>
      </c>
      <c r="P28" s="22">
        <f t="shared" si="0"/>
        <v>0</v>
      </c>
      <c r="Q28" s="22">
        <f t="shared" si="4"/>
        <v>0</v>
      </c>
      <c r="R28" s="87">
        <f t="shared" si="1"/>
        <v>0</v>
      </c>
      <c r="S28" s="87">
        <f t="shared" si="2"/>
        <v>0</v>
      </c>
      <c r="T28" s="87">
        <f t="shared" si="5"/>
        <v>0</v>
      </c>
      <c r="U28" s="87">
        <f t="shared" si="6"/>
        <v>0</v>
      </c>
      <c r="V28" s="88">
        <f t="shared" si="3"/>
        <v>239.29699999999997</v>
      </c>
    </row>
    <row r="29" spans="1:22" ht="119" customHeight="1">
      <c r="A29" s="17">
        <v>23</v>
      </c>
      <c r="B29" s="17" t="s">
        <v>162</v>
      </c>
      <c r="C29" s="77" t="e" vm="24">
        <v>#VALUE!</v>
      </c>
      <c r="D29" s="17">
        <f>41-14</f>
        <v>27</v>
      </c>
      <c r="E29" s="17">
        <v>14</v>
      </c>
      <c r="F29" s="17">
        <v>8</v>
      </c>
      <c r="G29" s="76">
        <v>0</v>
      </c>
      <c r="H29" s="76">
        <f>1/F29</f>
        <v>0.125</v>
      </c>
      <c r="K29" s="76">
        <v>0</v>
      </c>
      <c r="L29" s="76">
        <f>4/F29</f>
        <v>0.5</v>
      </c>
      <c r="M29" s="76">
        <f>2/F29</f>
        <v>0.25</v>
      </c>
      <c r="N29" s="76">
        <f>1/F29</f>
        <v>0.125</v>
      </c>
      <c r="O29" s="17">
        <v>0</v>
      </c>
      <c r="P29" s="22">
        <f t="shared" si="0"/>
        <v>0</v>
      </c>
      <c r="Q29" s="22">
        <f t="shared" si="4"/>
        <v>0</v>
      </c>
      <c r="R29" s="87">
        <f t="shared" si="1"/>
        <v>0</v>
      </c>
      <c r="S29" s="87">
        <f t="shared" si="2"/>
        <v>0</v>
      </c>
      <c r="T29" s="87">
        <f t="shared" si="5"/>
        <v>0</v>
      </c>
      <c r="U29" s="87">
        <f t="shared" si="6"/>
        <v>0</v>
      </c>
      <c r="V29" s="88">
        <f t="shared" si="3"/>
        <v>338.40899999999999</v>
      </c>
    </row>
    <row r="30" spans="1:22" ht="114" customHeight="1">
      <c r="A30" s="17">
        <v>24</v>
      </c>
      <c r="B30" s="17" t="s">
        <v>163</v>
      </c>
      <c r="C30" s="77" t="e" vm="25">
        <v>#VALUE!</v>
      </c>
      <c r="D30" s="17">
        <f>45-15</f>
        <v>30</v>
      </c>
      <c r="E30" s="17">
        <v>15</v>
      </c>
      <c r="F30" s="17">
        <v>9</v>
      </c>
      <c r="G30" s="76">
        <v>0</v>
      </c>
      <c r="H30" s="76">
        <f>2/F30</f>
        <v>0.22222222222222221</v>
      </c>
      <c r="K30" s="76">
        <v>0</v>
      </c>
      <c r="L30" s="76">
        <f>3/F30</f>
        <v>0.33333333333333331</v>
      </c>
      <c r="M30" s="76">
        <f>2/F30</f>
        <v>0.22222222222222221</v>
      </c>
      <c r="N30" s="76">
        <f>2/F30</f>
        <v>0.22222222222222221</v>
      </c>
      <c r="O30" s="17">
        <v>0</v>
      </c>
      <c r="P30" s="22">
        <f t="shared" si="0"/>
        <v>0</v>
      </c>
      <c r="Q30" s="22">
        <f t="shared" si="4"/>
        <v>0</v>
      </c>
      <c r="R30" s="87">
        <f t="shared" si="1"/>
        <v>0</v>
      </c>
      <c r="S30" s="87">
        <f t="shared" si="2"/>
        <v>0</v>
      </c>
      <c r="T30" s="87">
        <f t="shared" si="5"/>
        <v>0</v>
      </c>
      <c r="U30" s="87">
        <f t="shared" si="6"/>
        <v>0</v>
      </c>
      <c r="V30" s="88">
        <f t="shared" si="3"/>
        <v>375.45</v>
      </c>
    </row>
    <row r="31" spans="1:22" ht="151" customHeight="1">
      <c r="A31" s="17">
        <v>25</v>
      </c>
      <c r="B31" s="17" t="s">
        <v>164</v>
      </c>
      <c r="C31" s="77" t="e" vm="26">
        <v>#VALUE!</v>
      </c>
      <c r="D31" s="17">
        <f>50-17</f>
        <v>33</v>
      </c>
      <c r="E31" s="17">
        <v>17</v>
      </c>
      <c r="F31" s="17">
        <v>10</v>
      </c>
      <c r="G31" s="76">
        <v>0</v>
      </c>
      <c r="H31" s="76">
        <f>3/F31</f>
        <v>0.3</v>
      </c>
      <c r="K31" s="76">
        <v>0</v>
      </c>
      <c r="L31" s="76">
        <f>2/F31</f>
        <v>0.2</v>
      </c>
      <c r="M31" s="76">
        <f>2/F31</f>
        <v>0.2</v>
      </c>
      <c r="N31" s="76">
        <f>3/F31</f>
        <v>0.3</v>
      </c>
      <c r="O31" s="17">
        <v>0</v>
      </c>
      <c r="P31" s="22">
        <f t="shared" si="0"/>
        <v>0</v>
      </c>
      <c r="Q31" s="22">
        <f t="shared" si="4"/>
        <v>0</v>
      </c>
      <c r="R31" s="87">
        <f t="shared" si="1"/>
        <v>0</v>
      </c>
      <c r="S31" s="87">
        <f t="shared" si="2"/>
        <v>0</v>
      </c>
      <c r="T31" s="87">
        <f t="shared" si="5"/>
        <v>0</v>
      </c>
      <c r="U31" s="87">
        <f t="shared" si="6"/>
        <v>0</v>
      </c>
      <c r="V31" s="88">
        <f t="shared" si="3"/>
        <v>413.49900000000002</v>
      </c>
    </row>
    <row r="32" spans="1:22" ht="173" customHeight="1">
      <c r="A32" s="17">
        <v>26</v>
      </c>
      <c r="B32" s="17" t="s">
        <v>165</v>
      </c>
      <c r="C32" s="77" t="e" vm="27">
        <v>#VALUE!</v>
      </c>
      <c r="D32" s="17">
        <f>55-19</f>
        <v>36</v>
      </c>
      <c r="E32" s="17">
        <v>19</v>
      </c>
      <c r="F32" s="17">
        <v>11</v>
      </c>
      <c r="G32" s="76">
        <v>0</v>
      </c>
      <c r="H32" s="76">
        <f>4/F32</f>
        <v>0.36363636363636365</v>
      </c>
      <c r="K32" s="76">
        <v>0</v>
      </c>
      <c r="L32" s="76">
        <f>1/F32</f>
        <v>9.0909090909090912E-2</v>
      </c>
      <c r="M32" s="76">
        <f>2/F32</f>
        <v>0.18181818181818182</v>
      </c>
      <c r="N32" s="76">
        <f>4/F32</f>
        <v>0.36363636363636365</v>
      </c>
      <c r="O32" s="17">
        <v>0</v>
      </c>
      <c r="P32" s="22">
        <f t="shared" si="0"/>
        <v>0</v>
      </c>
      <c r="Q32" s="22">
        <f t="shared" si="4"/>
        <v>0</v>
      </c>
      <c r="R32" s="87">
        <f t="shared" si="1"/>
        <v>0</v>
      </c>
      <c r="S32" s="87">
        <f t="shared" si="2"/>
        <v>0</v>
      </c>
      <c r="T32" s="87">
        <f t="shared" si="5"/>
        <v>0</v>
      </c>
      <c r="U32" s="87">
        <f t="shared" si="6"/>
        <v>0</v>
      </c>
      <c r="V32" s="88">
        <f t="shared" si="3"/>
        <v>451.54799999999994</v>
      </c>
    </row>
    <row r="33" spans="1:22" ht="213" customHeight="1">
      <c r="A33" s="17">
        <v>27</v>
      </c>
      <c r="B33" s="17" t="s">
        <v>166</v>
      </c>
      <c r="C33" s="77" t="e" vm="28">
        <v>#VALUE!</v>
      </c>
      <c r="D33" s="17">
        <f>60-21</f>
        <v>39</v>
      </c>
      <c r="E33" s="17">
        <v>21</v>
      </c>
      <c r="F33" s="17">
        <v>12</v>
      </c>
      <c r="G33" s="76">
        <v>0</v>
      </c>
      <c r="H33" s="76">
        <f>5/F33</f>
        <v>0.41666666666666669</v>
      </c>
      <c r="K33" s="76">
        <v>0</v>
      </c>
      <c r="L33" s="76">
        <f>0</f>
        <v>0</v>
      </c>
      <c r="M33" s="76">
        <f>2/F33</f>
        <v>0.16666666666666666</v>
      </c>
      <c r="N33" s="76">
        <f>5/F33</f>
        <v>0.41666666666666669</v>
      </c>
      <c r="O33" s="17">
        <v>0</v>
      </c>
      <c r="P33" s="22">
        <f t="shared" si="0"/>
        <v>0</v>
      </c>
      <c r="Q33" s="22">
        <f t="shared" si="4"/>
        <v>0</v>
      </c>
      <c r="R33" s="87">
        <f t="shared" si="1"/>
        <v>0</v>
      </c>
      <c r="S33" s="87">
        <f t="shared" si="2"/>
        <v>0</v>
      </c>
      <c r="T33" s="87">
        <f t="shared" si="5"/>
        <v>0</v>
      </c>
      <c r="U33" s="87">
        <f t="shared" si="6"/>
        <v>0</v>
      </c>
      <c r="V33" s="88">
        <f t="shared" si="3"/>
        <v>489.59699999999998</v>
      </c>
    </row>
    <row r="34" spans="1:22" ht="238" customHeight="1">
      <c r="A34" s="17">
        <v>28</v>
      </c>
      <c r="B34" s="17" t="s">
        <v>167</v>
      </c>
      <c r="C34" s="77" t="e" vm="29">
        <v>#VALUE!</v>
      </c>
      <c r="D34" s="17">
        <f>65-23</f>
        <v>42</v>
      </c>
      <c r="E34" s="17">
        <v>23</v>
      </c>
      <c r="F34" s="17">
        <v>13</v>
      </c>
      <c r="G34" s="76">
        <v>0</v>
      </c>
      <c r="H34" s="76">
        <f>6/F34</f>
        <v>0.46153846153846156</v>
      </c>
      <c r="K34" s="76">
        <v>0</v>
      </c>
      <c r="L34" s="76">
        <v>0</v>
      </c>
      <c r="M34" s="76">
        <v>0</v>
      </c>
      <c r="N34" s="76">
        <f t="shared" ref="N34:N39" si="7">7/F34</f>
        <v>0.53846153846153844</v>
      </c>
      <c r="O34" s="17">
        <v>3</v>
      </c>
      <c r="P34" s="22">
        <f t="shared" si="0"/>
        <v>3.5294117647058822</v>
      </c>
      <c r="Q34" s="22">
        <f t="shared" si="4"/>
        <v>13</v>
      </c>
      <c r="R34" s="87">
        <f t="shared" si="1"/>
        <v>126</v>
      </c>
      <c r="S34" s="87">
        <f t="shared" si="2"/>
        <v>69</v>
      </c>
      <c r="T34" s="87">
        <f t="shared" si="5"/>
        <v>1.8758374274229568</v>
      </c>
      <c r="U34" s="87">
        <f t="shared" si="6"/>
        <v>3.5806953814218994</v>
      </c>
      <c r="V34" s="88">
        <f t="shared" si="3"/>
        <v>527.64599999999996</v>
      </c>
    </row>
    <row r="35" spans="1:22" ht="204" customHeight="1">
      <c r="A35" s="17">
        <v>29</v>
      </c>
      <c r="B35" s="17" t="s">
        <v>169</v>
      </c>
      <c r="C35" s="77" t="e" vm="30">
        <v>#VALUE!</v>
      </c>
      <c r="D35" s="17">
        <f>66-22</f>
        <v>44</v>
      </c>
      <c r="E35" s="17">
        <v>22</v>
      </c>
      <c r="F35" s="17">
        <v>14</v>
      </c>
      <c r="G35" s="76">
        <v>0</v>
      </c>
      <c r="H35" s="76">
        <f>4/F35</f>
        <v>0.2857142857142857</v>
      </c>
      <c r="K35" s="76">
        <v>0</v>
      </c>
      <c r="L35" s="76">
        <f>3/F35</f>
        <v>0.21428571428571427</v>
      </c>
      <c r="M35" s="76">
        <v>0</v>
      </c>
      <c r="N35" s="76">
        <f t="shared" si="7"/>
        <v>0.5</v>
      </c>
      <c r="O35" s="17">
        <v>0</v>
      </c>
      <c r="P35" s="22">
        <f t="shared" si="0"/>
        <v>0</v>
      </c>
      <c r="Q35" s="22">
        <f t="shared" si="4"/>
        <v>0</v>
      </c>
      <c r="R35" s="87">
        <f t="shared" si="1"/>
        <v>0</v>
      </c>
      <c r="S35" s="87">
        <f t="shared" si="2"/>
        <v>0</v>
      </c>
      <c r="T35" s="87">
        <f t="shared" si="5"/>
        <v>0</v>
      </c>
      <c r="U35" s="87">
        <f t="shared" si="6"/>
        <v>0</v>
      </c>
      <c r="V35" s="88">
        <f t="shared" si="3"/>
        <v>550.66</v>
      </c>
    </row>
    <row r="36" spans="1:22" ht="171" customHeight="1">
      <c r="A36" s="17">
        <v>30</v>
      </c>
      <c r="B36" s="17" t="s">
        <v>168</v>
      </c>
      <c r="C36" s="77" t="e" vm="31">
        <v>#VALUE!</v>
      </c>
      <c r="D36" s="17">
        <f>67-21</f>
        <v>46</v>
      </c>
      <c r="E36" s="17">
        <v>21</v>
      </c>
      <c r="F36" s="17">
        <v>15</v>
      </c>
      <c r="G36" s="76">
        <v>0</v>
      </c>
      <c r="H36" s="76">
        <f>3/F36</f>
        <v>0.2</v>
      </c>
      <c r="K36" s="76">
        <v>0</v>
      </c>
      <c r="L36" s="76">
        <f>4/F36</f>
        <v>0.26666666666666666</v>
      </c>
      <c r="M36" s="76">
        <f>1/F36</f>
        <v>6.6666666666666666E-2</v>
      </c>
      <c r="N36" s="76">
        <f t="shared" si="7"/>
        <v>0.46666666666666667</v>
      </c>
      <c r="O36" s="17">
        <v>0</v>
      </c>
      <c r="P36" s="22">
        <f t="shared" si="0"/>
        <v>0</v>
      </c>
      <c r="Q36" s="22">
        <f t="shared" si="4"/>
        <v>0</v>
      </c>
      <c r="R36" s="87">
        <f t="shared" si="1"/>
        <v>0</v>
      </c>
      <c r="S36" s="87">
        <f t="shared" si="2"/>
        <v>0</v>
      </c>
      <c r="T36" s="87">
        <f t="shared" si="5"/>
        <v>0</v>
      </c>
      <c r="U36" s="87">
        <f t="shared" si="6"/>
        <v>0</v>
      </c>
      <c r="V36" s="88">
        <f t="shared" si="3"/>
        <v>573.67399999999998</v>
      </c>
    </row>
    <row r="37" spans="1:22" ht="202" customHeight="1">
      <c r="A37" s="17">
        <v>31</v>
      </c>
      <c r="B37" s="17" t="s">
        <v>170</v>
      </c>
      <c r="C37" s="77" t="e" vm="32">
        <v>#VALUE!</v>
      </c>
      <c r="D37" s="17">
        <f>69-21</f>
        <v>48</v>
      </c>
      <c r="E37" s="17">
        <v>21</v>
      </c>
      <c r="F37" s="17">
        <v>16</v>
      </c>
      <c r="G37" s="76">
        <f>0</f>
        <v>0</v>
      </c>
      <c r="H37" s="76">
        <f>2/F37</f>
        <v>0.125</v>
      </c>
      <c r="K37" s="76">
        <v>0</v>
      </c>
      <c r="L37" s="76">
        <f>5/F37</f>
        <v>0.3125</v>
      </c>
      <c r="M37" s="76">
        <f>2/F37</f>
        <v>0.125</v>
      </c>
      <c r="N37" s="76">
        <f t="shared" si="7"/>
        <v>0.4375</v>
      </c>
      <c r="O37" s="17">
        <v>0</v>
      </c>
      <c r="P37" s="22">
        <f t="shared" si="0"/>
        <v>0</v>
      </c>
      <c r="Q37" s="22">
        <f t="shared" si="4"/>
        <v>0</v>
      </c>
      <c r="R37" s="87">
        <f t="shared" si="1"/>
        <v>0</v>
      </c>
      <c r="S37" s="87">
        <f t="shared" si="2"/>
        <v>0</v>
      </c>
      <c r="T37" s="87">
        <f t="shared" si="5"/>
        <v>0</v>
      </c>
      <c r="U37" s="87">
        <f t="shared" si="6"/>
        <v>0</v>
      </c>
      <c r="V37" s="88">
        <f t="shared" si="3"/>
        <v>597.69600000000003</v>
      </c>
    </row>
    <row r="38" spans="1:22" ht="198" customHeight="1">
      <c r="A38" s="17">
        <v>32</v>
      </c>
      <c r="B38" s="17" t="s">
        <v>171</v>
      </c>
      <c r="C38" s="77" t="e" vm="33">
        <v>#VALUE!</v>
      </c>
      <c r="D38" s="17">
        <f>69-19</f>
        <v>50</v>
      </c>
      <c r="E38" s="17">
        <v>19</v>
      </c>
      <c r="F38" s="17">
        <v>17</v>
      </c>
      <c r="G38" s="76">
        <v>0</v>
      </c>
      <c r="H38" s="76">
        <f>1/F38</f>
        <v>5.8823529411764705E-2</v>
      </c>
      <c r="K38" s="76">
        <v>0</v>
      </c>
      <c r="L38" s="76">
        <f>6/F38</f>
        <v>0.35294117647058826</v>
      </c>
      <c r="M38" s="76">
        <f>3/F38</f>
        <v>0.17647058823529413</v>
      </c>
      <c r="N38" s="76">
        <f t="shared" si="7"/>
        <v>0.41176470588235292</v>
      </c>
      <c r="O38" s="17">
        <v>0</v>
      </c>
      <c r="P38" s="22">
        <f t="shared" si="0"/>
        <v>0</v>
      </c>
      <c r="Q38" s="22">
        <f t="shared" si="4"/>
        <v>0</v>
      </c>
      <c r="R38" s="87">
        <f>D38*O38</f>
        <v>0</v>
      </c>
      <c r="S38" s="87">
        <f t="shared" si="2"/>
        <v>0</v>
      </c>
      <c r="T38" s="87">
        <f t="shared" si="5"/>
        <v>0</v>
      </c>
      <c r="U38" s="87">
        <f t="shared" si="6"/>
        <v>0</v>
      </c>
      <c r="V38" s="88">
        <f t="shared" si="3"/>
        <v>619.702</v>
      </c>
    </row>
    <row r="39" spans="1:22" ht="202" customHeight="1">
      <c r="A39" s="17">
        <v>33</v>
      </c>
      <c r="B39" s="17" t="s">
        <v>172</v>
      </c>
      <c r="C39" s="77" t="e" vm="34">
        <v>#VALUE!</v>
      </c>
      <c r="D39" s="17">
        <f>70-18</f>
        <v>52</v>
      </c>
      <c r="E39" s="17">
        <v>18</v>
      </c>
      <c r="F39" s="17">
        <v>18</v>
      </c>
      <c r="G39" s="76">
        <v>0</v>
      </c>
      <c r="H39" s="76">
        <v>0</v>
      </c>
      <c r="K39" s="76">
        <v>0</v>
      </c>
      <c r="L39" s="76">
        <f>7/F39</f>
        <v>0.3888888888888889</v>
      </c>
      <c r="M39" s="76">
        <f>4/F39</f>
        <v>0.22222222222222221</v>
      </c>
      <c r="N39" s="76">
        <f t="shared" si="7"/>
        <v>0.3888888888888889</v>
      </c>
      <c r="O39" s="17">
        <v>0</v>
      </c>
      <c r="P39" s="22">
        <f t="shared" si="0"/>
        <v>0</v>
      </c>
      <c r="Q39" s="22">
        <f t="shared" si="4"/>
        <v>0</v>
      </c>
      <c r="R39" s="87">
        <f>D39*O39</f>
        <v>0</v>
      </c>
      <c r="S39" s="87">
        <f t="shared" si="2"/>
        <v>0</v>
      </c>
      <c r="T39" s="87">
        <f t="shared" si="5"/>
        <v>0</v>
      </c>
      <c r="U39" s="87">
        <f t="shared" si="6"/>
        <v>0</v>
      </c>
      <c r="V39" s="88">
        <f t="shared" si="3"/>
        <v>642.71600000000001</v>
      </c>
    </row>
    <row r="40" spans="1:22">
      <c r="B40" s="111"/>
      <c r="C40" s="77"/>
      <c r="D40" s="1"/>
      <c r="G40" s="76">
        <f>G6*$O$6+G11*$O$11+G12*$O$12+G7*$O$7+G8*$O$8+G9*$O9+G10*$O$10+G13*$O$13+G14*$O$14+G15*$O$15+G16*$O$16+G17*$O$17+G18*$O$18+G19*$O$19+G20*$O$20+G21*$O$21+G22*$O$22+G23*$O$23+G24*$O$24+G25*$O$25+G26*$O$26+G27*$O$27+G28*$O$28+G29*$O$29+G30*$O$30+G31*$O$31+G32*$O$32+G33*$O$33+G34*$O$34+G35*$O$35+G36*$O$36+G37*$O$37+G38*$O$38+G39*$O$39</f>
        <v>1.5</v>
      </c>
      <c r="H40" s="76">
        <f t="shared" ref="H40:N40" si="8">H6*$O$6+H11*$O$11+H12*$O$12+H7*$O$7+H8*$O$8+H9*$O9+H10*$O$10+H13*$O$13+H14*$O$14+H15*$O$15+H16*$O$16+H17*$O$17+H18*$O$18+H19*$O$19+H20*$O$20+H21*$O$21+H22*$O$22+H23*$O$23+H24*$O$24+H25*$O$25+H26*$O$26+H27*$O$27+H28*$O$28+H29*$O$29+H30*$O$30+H31*$O$31+H32*$O$32+H33*$O$33+H34*$O$34+H35*$O$35+H36*$O$36+H37*$O$37+H38*$O$38+H39*$O$39</f>
        <v>2.1846153846153848</v>
      </c>
      <c r="I40" s="76">
        <f t="shared" si="8"/>
        <v>0</v>
      </c>
      <c r="J40" s="76">
        <f t="shared" si="8"/>
        <v>0</v>
      </c>
      <c r="K40" s="76">
        <f t="shared" si="8"/>
        <v>0.5</v>
      </c>
      <c r="L40" s="76">
        <f>L6*$O$6+L11*$O$11+L12*$O$12+L7*$O$7+L8*$O$8+L9*$O9+L10*$O$10+L13*$O$13+L14*$O$14+L15*$O$15+L16*$O$16+L17*$O$17+L18*$O$18+L19*$O$19+L20*$O$20+L21*$O$21+L22*$O$22+L23*$O$23+L24*$O$24+L25*$O$25+L26*$O$26+L27*$O$27+L28*$O$28+L29*$O$29+L30*$O$30+L31*$O$31+L32*$O$32+L33*$O$33+L34*$O$34+L35*$O$35+L36*$O$36+L37*$O$37+L38*$O$38+L39*$O$39</f>
        <v>16.49677419354839</v>
      </c>
      <c r="M40" s="76">
        <f t="shared" si="8"/>
        <v>27.466666666666665</v>
      </c>
      <c r="N40" s="76">
        <f t="shared" si="8"/>
        <v>39.851943755169565</v>
      </c>
      <c r="O40" s="87">
        <f>SUM(O6:O39)</f>
        <v>88</v>
      </c>
      <c r="P40" s="22">
        <f>SUM(P6:P27)</f>
        <v>100</v>
      </c>
      <c r="Q40" s="22">
        <f>ROUND(AVERAGEIF(Q6:Q39,"&gt;0"),0)</f>
        <v>18</v>
      </c>
      <c r="R40" s="87">
        <f>SUM(R6:R39)</f>
        <v>6717</v>
      </c>
      <c r="S40" s="87">
        <f>SUM(S6:S39)</f>
        <v>1927</v>
      </c>
    </row>
    <row r="41" spans="1:22">
      <c r="C41" s="77"/>
      <c r="D41" s="1"/>
      <c r="F41" s="90" t="s">
        <v>141</v>
      </c>
      <c r="G41" s="159">
        <f>SUM(G40:N40)</f>
        <v>88</v>
      </c>
      <c r="H41" s="159"/>
      <c r="I41" s="159"/>
      <c r="J41" s="159"/>
      <c r="K41" s="159"/>
      <c r="L41" s="159"/>
      <c r="M41" s="159"/>
      <c r="N41" s="159"/>
      <c r="O41" s="76"/>
    </row>
    <row r="42" spans="1:22">
      <c r="C42" s="77"/>
      <c r="D42" s="1"/>
      <c r="F42" s="90"/>
      <c r="G42" s="84" t="s">
        <v>58</v>
      </c>
      <c r="H42" s="84" t="s">
        <v>18</v>
      </c>
      <c r="I42" s="84" t="s">
        <v>11</v>
      </c>
      <c r="J42" s="84" t="s">
        <v>60</v>
      </c>
      <c r="K42" s="84" t="s">
        <v>12</v>
      </c>
      <c r="L42" s="84" t="s">
        <v>19</v>
      </c>
      <c r="M42" s="84" t="s">
        <v>13</v>
      </c>
      <c r="N42" s="84" t="s">
        <v>14</v>
      </c>
      <c r="O42" s="76"/>
    </row>
    <row r="43" spans="1:22">
      <c r="C43" s="77"/>
      <c r="D43" s="1"/>
      <c r="F43" s="49" t="s">
        <v>142</v>
      </c>
      <c r="G43" s="91">
        <f>G40/$G$41</f>
        <v>1.7045454545454544E-2</v>
      </c>
      <c r="H43" s="91">
        <f>H40/$G$41</f>
        <v>2.4825174825174826E-2</v>
      </c>
      <c r="I43" s="91">
        <f t="shared" ref="I43:K43" si="9">I40/$G$41</f>
        <v>0</v>
      </c>
      <c r="J43" s="91">
        <f t="shared" si="9"/>
        <v>0</v>
      </c>
      <c r="K43" s="91">
        <f t="shared" si="9"/>
        <v>5.681818181818182E-3</v>
      </c>
      <c r="L43" s="91">
        <f>L40/$G$41</f>
        <v>0.18746334310850443</v>
      </c>
      <c r="M43" s="91">
        <f>M40/$G$41</f>
        <v>0.31212121212121208</v>
      </c>
      <c r="N43" s="91">
        <f>N40/$G$41</f>
        <v>0.45286299721783596</v>
      </c>
      <c r="O43" s="76"/>
      <c r="P43" s="70"/>
      <c r="R43" s="113"/>
    </row>
    <row r="44" spans="1:22">
      <c r="C44" s="77"/>
      <c r="D44" s="1"/>
      <c r="E44" s="1"/>
      <c r="F44" s="92" t="s">
        <v>21</v>
      </c>
      <c r="G44" s="91">
        <f>BPCA_Experimental!H3</f>
        <v>1.7798234948509826E-2</v>
      </c>
      <c r="H44" s="93">
        <f>BPCA_Experimental!H4+BPCA_Experimental!H5</f>
        <v>2.6873957656278813E-2</v>
      </c>
      <c r="I44" s="93"/>
      <c r="J44" s="93"/>
      <c r="K44" s="93">
        <f>BPCA_Experimental!H6</f>
        <v>7.4240498269105603E-3</v>
      </c>
      <c r="L44" s="93">
        <f>BPCA_Experimental!H7</f>
        <v>9.9811377982015628E-2</v>
      </c>
      <c r="M44" s="93">
        <f>BPCA_Experimental!H8</f>
        <v>0.30986523757109552</v>
      </c>
      <c r="N44" s="93">
        <f>BPCA_Experimental!H9</f>
        <v>0.53822714201518951</v>
      </c>
      <c r="O44" s="76"/>
      <c r="R44" s="1"/>
      <c r="S44" s="1"/>
    </row>
    <row r="45" spans="1:22">
      <c r="C45" s="77"/>
      <c r="D45" s="1"/>
      <c r="E45" s="1"/>
      <c r="F45" s="92" t="s">
        <v>143</v>
      </c>
      <c r="G45" s="91">
        <f>BPCA_Experimental!H17</f>
        <v>3.3752394696415617E-3</v>
      </c>
      <c r="H45" s="93">
        <f>BPCA_Experimental!H18+BPCA_Experimental!H19</f>
        <v>2.5420763575197962E-3</v>
      </c>
      <c r="I45" s="93"/>
      <c r="J45" s="93"/>
      <c r="K45" s="93">
        <f>BPCA_Experimental!H20</f>
        <v>1.9634220262432674E-3</v>
      </c>
      <c r="L45" s="93">
        <f>BPCA_Experimental!H21</f>
        <v>1.5722680239762876E-2</v>
      </c>
      <c r="M45" s="93">
        <f>BPCA_Experimental!H22</f>
        <v>5.4432833074832605E-2</v>
      </c>
      <c r="N45" s="93">
        <f>BPCA_Experimental!H23</f>
        <v>7.7360877544426734E-2</v>
      </c>
      <c r="O45" s="76"/>
      <c r="S45" s="1"/>
    </row>
    <row r="46" spans="1:22">
      <c r="D46" s="1"/>
      <c r="F46" s="94" t="s">
        <v>144</v>
      </c>
      <c r="G46" s="76">
        <f>ABS(G43-G44)/G44</f>
        <v>4.2295227882600171E-2</v>
      </c>
      <c r="H46" s="76">
        <f>ABS(H43-H44)/H44</f>
        <v>7.6236736594891163E-2</v>
      </c>
      <c r="K46" s="76">
        <f>ABS(K43-K44)/K44</f>
        <v>0.23467402370834969</v>
      </c>
      <c r="L46" s="76">
        <f>ABS(L43-L44)/L44</f>
        <v>0.87817608471733799</v>
      </c>
      <c r="M46" s="76">
        <f>ABS(M43-M44)/M44</f>
        <v>7.28050222025614E-3</v>
      </c>
      <c r="N46" s="76">
        <f>ABS(N43-N44)/N44</f>
        <v>0.15860245263317554</v>
      </c>
      <c r="O46" s="76"/>
    </row>
    <row r="47" spans="1:22">
      <c r="D47" s="1"/>
      <c r="E47" s="95"/>
      <c r="F47" s="92"/>
      <c r="O47" s="76"/>
    </row>
    <row r="48" spans="1:22">
      <c r="D48" s="1"/>
      <c r="E48" s="77"/>
      <c r="F48" s="94" t="s">
        <v>159</v>
      </c>
      <c r="G48" s="87">
        <f>Q40</f>
        <v>18</v>
      </c>
      <c r="O48" s="76"/>
    </row>
    <row r="49" spans="1:24" ht="16" customHeight="1">
      <c r="D49" s="1"/>
      <c r="E49" s="96"/>
      <c r="F49" s="97" t="s">
        <v>145</v>
      </c>
      <c r="G49" s="76">
        <f>BPCA_Experimental!H29</f>
        <v>0.26424758936501019</v>
      </c>
      <c r="H49" s="156" t="s">
        <v>146</v>
      </c>
      <c r="I49" s="156"/>
      <c r="J49" s="156"/>
      <c r="K49" s="156"/>
      <c r="L49" s="156"/>
      <c r="M49" s="156"/>
      <c r="N49" s="156"/>
      <c r="O49" s="76"/>
    </row>
    <row r="50" spans="1:24">
      <c r="D50" s="1"/>
      <c r="E50" s="96"/>
      <c r="F50" s="97" t="s">
        <v>147</v>
      </c>
      <c r="G50" s="76">
        <f>G49*G55</f>
        <v>0.20611311970470797</v>
      </c>
      <c r="H50" s="156"/>
      <c r="I50" s="156"/>
      <c r="J50" s="156"/>
      <c r="K50" s="156"/>
      <c r="L50" s="156"/>
      <c r="M50" s="156"/>
      <c r="N50" s="156"/>
      <c r="O50" s="76"/>
    </row>
    <row r="51" spans="1:24" ht="13" customHeight="1">
      <c r="D51" s="1"/>
      <c r="F51" s="97" t="s">
        <v>148</v>
      </c>
      <c r="G51" s="76">
        <f>S40/R40</f>
        <v>0.28688402560666965</v>
      </c>
      <c r="H51" s="156"/>
      <c r="I51" s="156"/>
      <c r="J51" s="156"/>
      <c r="K51" s="156"/>
      <c r="L51" s="156"/>
      <c r="M51" s="156"/>
      <c r="N51" s="156"/>
      <c r="O51" s="76"/>
      <c r="R51" s="91"/>
    </row>
    <row r="52" spans="1:24">
      <c r="D52" s="1"/>
      <c r="F52" s="97" t="s">
        <v>144</v>
      </c>
      <c r="G52" s="76">
        <f>G50-G51</f>
        <v>-8.0770905901961676E-2</v>
      </c>
      <c r="H52" s="156"/>
      <c r="I52" s="156"/>
      <c r="J52" s="156"/>
      <c r="K52" s="156"/>
      <c r="L52" s="156"/>
      <c r="M52" s="156"/>
      <c r="N52" s="156"/>
      <c r="O52" s="76"/>
      <c r="P52" s="91"/>
      <c r="Q52" s="91"/>
      <c r="R52" s="91"/>
      <c r="S52" s="91"/>
      <c r="T52" s="91"/>
      <c r="U52" s="91"/>
      <c r="V52" s="115"/>
      <c r="W52" s="50"/>
    </row>
    <row r="53" spans="1:24">
      <c r="D53" s="1"/>
      <c r="F53" s="1"/>
      <c r="G53" s="1"/>
      <c r="O53" s="76"/>
      <c r="P53" s="91"/>
      <c r="Q53" s="91"/>
      <c r="R53" s="91"/>
      <c r="S53" s="91"/>
      <c r="T53" s="91"/>
      <c r="U53" s="91"/>
      <c r="V53" s="115"/>
      <c r="W53" s="50"/>
    </row>
    <row r="54" spans="1:24">
      <c r="D54" s="1"/>
      <c r="F54" s="98" t="s">
        <v>149</v>
      </c>
      <c r="G54" s="99">
        <v>10000</v>
      </c>
      <c r="O54" s="76"/>
      <c r="U54" s="76"/>
    </row>
    <row r="55" spans="1:24" ht="16" customHeight="1">
      <c r="D55" s="1"/>
      <c r="F55" s="92" t="s">
        <v>150</v>
      </c>
      <c r="G55" s="91">
        <f>BPCA_Experimental!H25</f>
        <v>0.78</v>
      </c>
      <c r="H55" s="156" t="s">
        <v>151</v>
      </c>
      <c r="I55" s="156"/>
      <c r="J55" s="156"/>
      <c r="K55" s="156"/>
      <c r="L55" s="156"/>
      <c r="M55" s="156"/>
      <c r="N55" s="156"/>
      <c r="O55" s="76"/>
      <c r="R55" s="91"/>
    </row>
    <row r="56" spans="1:24">
      <c r="D56" s="1"/>
      <c r="E56" s="77"/>
      <c r="F56" s="92" t="s">
        <v>152</v>
      </c>
      <c r="G56" s="91">
        <f>R40/(G54-S40)</f>
        <v>0.83203270159791898</v>
      </c>
      <c r="H56" s="156"/>
      <c r="I56" s="156"/>
      <c r="J56" s="156"/>
      <c r="K56" s="156"/>
      <c r="L56" s="156"/>
      <c r="M56" s="156"/>
      <c r="N56" s="156"/>
      <c r="O56" s="76"/>
      <c r="R56" s="91"/>
    </row>
    <row r="57" spans="1:24">
      <c r="D57" s="1"/>
      <c r="H57" s="50"/>
      <c r="I57" s="50"/>
      <c r="J57" s="50"/>
      <c r="K57" s="50"/>
      <c r="L57" s="50"/>
      <c r="M57" s="50"/>
      <c r="N57" s="50"/>
      <c r="O57" s="76"/>
      <c r="R57" s="91"/>
    </row>
    <row r="58" spans="1:24">
      <c r="D58" s="1"/>
      <c r="E58" s="1"/>
      <c r="G58" s="100"/>
      <c r="H58" s="100"/>
      <c r="I58" s="100"/>
      <c r="J58" s="100"/>
      <c r="K58" s="100"/>
      <c r="L58" s="100"/>
      <c r="M58" s="100"/>
      <c r="N58" s="100"/>
      <c r="O58" s="76"/>
      <c r="P58" s="101"/>
    </row>
    <row r="59" spans="1:24">
      <c r="A59" s="7"/>
      <c r="B59" s="7"/>
      <c r="C59" s="7"/>
      <c r="D59" s="1"/>
      <c r="E59" s="102"/>
      <c r="F59" s="102"/>
      <c r="O59" s="76"/>
      <c r="P59" s="103"/>
      <c r="R59" s="102"/>
      <c r="S59" s="102"/>
      <c r="T59" s="102"/>
      <c r="U59" s="102"/>
      <c r="V59" s="104"/>
    </row>
    <row r="60" spans="1:24">
      <c r="A60" s="7"/>
      <c r="B60" s="7"/>
      <c r="C60" s="105"/>
      <c r="D60" s="1"/>
      <c r="E60" s="7"/>
      <c r="F60" s="7"/>
      <c r="H60" s="93"/>
      <c r="I60" s="93"/>
      <c r="J60" s="93"/>
      <c r="K60" s="93"/>
      <c r="L60" s="93"/>
      <c r="M60" s="93"/>
      <c r="N60" s="93"/>
      <c r="O60" s="76"/>
      <c r="R60" s="106"/>
      <c r="S60" s="106"/>
      <c r="T60" s="106"/>
      <c r="U60" s="106"/>
      <c r="V60" s="86"/>
    </row>
    <row r="61" spans="1:24">
      <c r="D61" s="1"/>
      <c r="O61" s="76"/>
      <c r="P61" s="91"/>
      <c r="T61" s="17"/>
      <c r="U61" s="17"/>
      <c r="V61" s="17"/>
      <c r="W61" s="17"/>
      <c r="X61" s="17"/>
    </row>
    <row r="62" spans="1:24">
      <c r="D62" s="1"/>
      <c r="O62" s="76"/>
      <c r="P62" s="91"/>
      <c r="R62" s="107"/>
    </row>
    <row r="63" spans="1:24" s="22" customFormat="1">
      <c r="A63" s="17"/>
      <c r="B63" s="17"/>
      <c r="C63" s="78"/>
      <c r="D63" s="1"/>
      <c r="E63" s="17"/>
      <c r="F63" s="17"/>
      <c r="G63" s="76"/>
      <c r="H63" s="76"/>
      <c r="I63" s="76"/>
      <c r="J63" s="76"/>
      <c r="K63" s="76"/>
      <c r="L63" s="76"/>
      <c r="M63" s="76"/>
      <c r="N63" s="76"/>
      <c r="O63" s="76"/>
      <c r="R63" s="17"/>
      <c r="S63" s="17"/>
      <c r="T63" s="87"/>
      <c r="U63" s="87"/>
      <c r="V63" s="88"/>
      <c r="W63" s="1"/>
      <c r="X63" s="1"/>
    </row>
    <row r="64" spans="1:24" s="22" customFormat="1">
      <c r="A64" s="17"/>
      <c r="B64" s="17"/>
      <c r="C64" s="78"/>
      <c r="D64" s="1"/>
      <c r="E64" s="17"/>
      <c r="F64" s="17"/>
      <c r="G64" s="76"/>
      <c r="H64" s="76"/>
      <c r="I64" s="76"/>
      <c r="J64" s="76"/>
      <c r="K64" s="76"/>
      <c r="L64" s="76"/>
      <c r="M64" s="76"/>
      <c r="N64" s="76"/>
      <c r="O64" s="76"/>
      <c r="R64" s="17"/>
      <c r="S64" s="17"/>
      <c r="T64" s="87"/>
      <c r="U64" s="87"/>
      <c r="V64" s="88"/>
      <c r="W64" s="1"/>
      <c r="X64" s="1"/>
    </row>
    <row r="65" spans="1:24" s="22" customFormat="1">
      <c r="A65" s="17"/>
      <c r="B65" s="17"/>
      <c r="C65" s="78"/>
      <c r="D65" s="1"/>
      <c r="E65" s="17"/>
      <c r="F65" s="17"/>
      <c r="G65" s="76"/>
      <c r="H65" s="76"/>
      <c r="I65" s="76"/>
      <c r="J65" s="76"/>
      <c r="K65" s="76"/>
      <c r="L65" s="76"/>
      <c r="M65" s="76"/>
      <c r="N65" s="76"/>
      <c r="O65" s="76"/>
      <c r="R65" s="17"/>
      <c r="S65" s="17"/>
      <c r="T65" s="87"/>
      <c r="U65" s="87"/>
      <c r="V65" s="88"/>
      <c r="W65" s="1"/>
      <c r="X65" s="1"/>
    </row>
    <row r="66" spans="1:24" s="22" customFormat="1">
      <c r="A66" s="17"/>
      <c r="B66" s="17"/>
      <c r="C66" s="78"/>
      <c r="D66" s="1"/>
      <c r="E66" s="17"/>
      <c r="F66" s="17"/>
      <c r="G66" s="76"/>
      <c r="H66" s="50"/>
      <c r="I66" s="50"/>
      <c r="J66" s="50"/>
      <c r="K66" s="50"/>
      <c r="L66" s="50"/>
      <c r="M66" s="50"/>
      <c r="N66" s="50"/>
      <c r="O66" s="76"/>
      <c r="R66" s="17"/>
      <c r="S66" s="17"/>
      <c r="T66" s="87"/>
      <c r="U66" s="87"/>
      <c r="V66" s="88"/>
      <c r="W66" s="1"/>
      <c r="X66" s="1"/>
    </row>
    <row r="67" spans="1:24" s="22" customFormat="1">
      <c r="A67" s="17"/>
      <c r="B67" s="17"/>
      <c r="C67" s="78"/>
      <c r="D67" s="1"/>
      <c r="E67" s="17"/>
      <c r="F67" s="17"/>
      <c r="G67" s="76"/>
      <c r="H67" s="76"/>
      <c r="I67" s="76"/>
      <c r="J67" s="76"/>
      <c r="K67" s="76"/>
      <c r="L67" s="76"/>
      <c r="M67" s="76"/>
      <c r="N67" s="76"/>
      <c r="O67" s="76"/>
      <c r="R67" s="17"/>
      <c r="S67" s="17"/>
      <c r="T67" s="87"/>
      <c r="U67" s="87"/>
      <c r="V67" s="88"/>
      <c r="W67" s="1"/>
      <c r="X67" s="1"/>
    </row>
    <row r="68" spans="1:24">
      <c r="D68" s="1"/>
    </row>
    <row r="69" spans="1:24" s="22" customFormat="1">
      <c r="A69" s="17"/>
      <c r="B69" s="17"/>
      <c r="C69" s="78"/>
      <c r="D69" s="1"/>
      <c r="E69" s="17"/>
      <c r="F69" s="17"/>
      <c r="G69" s="76"/>
      <c r="H69" s="76"/>
      <c r="I69" s="76"/>
      <c r="J69" s="76"/>
      <c r="K69" s="76"/>
      <c r="L69" s="76"/>
      <c r="M69" s="76"/>
      <c r="N69" s="76"/>
      <c r="O69" s="76"/>
      <c r="R69" s="17"/>
      <c r="S69" s="17"/>
      <c r="T69" s="87"/>
      <c r="U69" s="87"/>
      <c r="V69" s="88"/>
      <c r="W69" s="1"/>
      <c r="X69" s="1"/>
    </row>
    <row r="70" spans="1:24" s="22" customFormat="1">
      <c r="A70" s="17"/>
      <c r="B70" s="17"/>
      <c r="C70" s="78"/>
      <c r="D70" s="1"/>
      <c r="E70" s="17"/>
      <c r="F70" s="17"/>
      <c r="G70" s="76"/>
      <c r="H70" s="76"/>
      <c r="I70" s="76"/>
      <c r="J70" s="76"/>
      <c r="K70" s="76"/>
      <c r="L70" s="76"/>
      <c r="M70" s="76"/>
      <c r="N70" s="76"/>
      <c r="O70" s="76"/>
      <c r="R70" s="17"/>
      <c r="S70" s="17"/>
      <c r="T70" s="87"/>
      <c r="U70" s="87"/>
      <c r="V70" s="88"/>
      <c r="W70" s="1"/>
      <c r="X70" s="1"/>
    </row>
    <row r="71" spans="1:24" s="22" customFormat="1">
      <c r="A71" s="17"/>
      <c r="B71" s="17"/>
      <c r="C71" s="78"/>
      <c r="D71" s="1"/>
      <c r="E71" s="17"/>
      <c r="F71" s="17"/>
      <c r="G71" s="76"/>
      <c r="H71" s="76"/>
      <c r="I71" s="76"/>
      <c r="J71" s="76"/>
      <c r="K71" s="76"/>
      <c r="L71" s="76"/>
      <c r="M71" s="76"/>
      <c r="N71" s="76"/>
      <c r="O71" s="76"/>
      <c r="R71" s="17"/>
      <c r="S71" s="17"/>
      <c r="T71" s="87"/>
      <c r="U71" s="87"/>
      <c r="V71" s="88"/>
      <c r="W71" s="1"/>
      <c r="X71" s="1"/>
    </row>
    <row r="72" spans="1:24" s="22" customFormat="1">
      <c r="A72" s="17"/>
      <c r="B72" s="17"/>
      <c r="C72" s="78"/>
      <c r="D72" s="17"/>
      <c r="E72" s="17"/>
      <c r="F72" s="17"/>
      <c r="G72" s="76"/>
      <c r="H72" s="76"/>
      <c r="I72" s="76"/>
      <c r="J72" s="76"/>
      <c r="K72" s="76"/>
      <c r="L72" s="76"/>
      <c r="M72" s="76"/>
      <c r="N72" s="76"/>
      <c r="O72" s="76"/>
      <c r="R72" s="17"/>
      <c r="S72" s="17"/>
      <c r="T72" s="87"/>
      <c r="U72" s="87"/>
      <c r="V72" s="88"/>
      <c r="W72" s="1"/>
      <c r="X72" s="1"/>
    </row>
    <row r="73" spans="1:24" s="22" customFormat="1">
      <c r="A73" s="17"/>
      <c r="B73" s="17"/>
      <c r="C73" s="78"/>
      <c r="D73" s="17"/>
      <c r="E73" s="17"/>
      <c r="F73" s="17"/>
      <c r="G73" s="76"/>
      <c r="H73" s="76"/>
      <c r="I73" s="76"/>
      <c r="J73" s="76"/>
      <c r="K73" s="76"/>
      <c r="L73" s="76"/>
      <c r="M73" s="76"/>
      <c r="N73" s="76"/>
      <c r="O73" s="76"/>
      <c r="R73" s="17"/>
      <c r="S73" s="17"/>
      <c r="T73" s="87"/>
      <c r="U73" s="87"/>
      <c r="V73" s="88"/>
      <c r="W73" s="1"/>
      <c r="X73" s="1"/>
    </row>
    <row r="74" spans="1:24" s="22" customFormat="1">
      <c r="A74" s="17"/>
      <c r="B74" s="17"/>
      <c r="C74" s="78"/>
      <c r="D74" s="17"/>
      <c r="E74" s="17"/>
      <c r="F74" s="17"/>
      <c r="G74" s="76"/>
      <c r="H74" s="76"/>
      <c r="I74" s="76"/>
      <c r="J74" s="76"/>
      <c r="K74" s="76"/>
      <c r="L74" s="76"/>
      <c r="M74" s="76"/>
      <c r="N74" s="76"/>
      <c r="O74" s="76"/>
      <c r="R74" s="17"/>
      <c r="S74" s="17"/>
      <c r="T74" s="87"/>
      <c r="U74" s="87"/>
      <c r="V74" s="88"/>
      <c r="W74" s="1"/>
      <c r="X74" s="1"/>
    </row>
    <row r="75" spans="1:24" s="22" customFormat="1">
      <c r="A75" s="17"/>
      <c r="B75" s="17"/>
      <c r="C75" s="78"/>
      <c r="D75" s="87"/>
      <c r="E75" s="87"/>
      <c r="F75" s="17"/>
      <c r="G75" s="76"/>
      <c r="H75" s="76"/>
      <c r="I75" s="76"/>
      <c r="J75" s="76"/>
      <c r="K75" s="76"/>
      <c r="L75" s="76"/>
      <c r="M75" s="76"/>
      <c r="N75" s="76"/>
      <c r="O75" s="76"/>
      <c r="R75" s="17"/>
      <c r="S75" s="17"/>
      <c r="T75" s="87"/>
      <c r="U75" s="87"/>
      <c r="V75" s="88"/>
      <c r="W75" s="1"/>
      <c r="X75" s="1"/>
    </row>
    <row r="76" spans="1:24" s="22" customFormat="1">
      <c r="A76" s="17"/>
      <c r="B76" s="17"/>
      <c r="C76" s="78"/>
      <c r="D76" s="87"/>
      <c r="E76" s="87"/>
      <c r="F76" s="17"/>
      <c r="G76" s="76"/>
      <c r="H76" s="76"/>
      <c r="I76" s="76"/>
      <c r="J76" s="76"/>
      <c r="K76" s="76"/>
      <c r="L76" s="76"/>
      <c r="M76" s="76"/>
      <c r="N76" s="76"/>
      <c r="O76" s="76"/>
      <c r="R76" s="17"/>
      <c r="S76" s="17"/>
      <c r="T76" s="87"/>
      <c r="U76" s="87"/>
      <c r="V76" s="88"/>
      <c r="W76" s="1"/>
      <c r="X76" s="1"/>
    </row>
    <row r="77" spans="1:24" s="22" customFormat="1">
      <c r="A77" s="17"/>
      <c r="B77" s="17"/>
      <c r="C77" s="78"/>
      <c r="D77" s="17"/>
      <c r="E77" s="17"/>
      <c r="F77" s="17"/>
      <c r="G77" s="76"/>
      <c r="H77" s="76"/>
      <c r="I77" s="76"/>
      <c r="J77" s="76"/>
      <c r="K77" s="76"/>
      <c r="L77" s="76"/>
      <c r="M77" s="76"/>
      <c r="N77" s="76"/>
      <c r="O77" s="76"/>
      <c r="R77" s="17"/>
      <c r="S77" s="17"/>
      <c r="T77" s="87"/>
      <c r="U77" s="87"/>
      <c r="V77" s="88"/>
      <c r="W77" s="1"/>
      <c r="X77" s="1"/>
    </row>
    <row r="78" spans="1:24" s="22" customFormat="1">
      <c r="A78" s="17"/>
      <c r="B78" s="17"/>
      <c r="C78" s="78"/>
      <c r="D78" s="17"/>
      <c r="E78" s="17"/>
      <c r="F78" s="17"/>
      <c r="G78" s="76"/>
      <c r="H78" s="76"/>
      <c r="I78" s="76"/>
      <c r="J78" s="76"/>
      <c r="K78" s="76"/>
      <c r="L78" s="76"/>
      <c r="M78" s="76"/>
      <c r="N78" s="76"/>
      <c r="O78" s="76"/>
      <c r="R78" s="17"/>
      <c r="S78" s="17"/>
      <c r="T78" s="87"/>
      <c r="U78" s="87"/>
      <c r="V78" s="88"/>
      <c r="W78" s="1"/>
      <c r="X78" s="1"/>
    </row>
    <row r="79" spans="1:24" s="22" customFormat="1">
      <c r="A79" s="17"/>
      <c r="B79" s="17"/>
      <c r="C79" s="78"/>
      <c r="D79" s="14"/>
      <c r="E79" s="108"/>
      <c r="F79" s="17"/>
      <c r="G79" s="76"/>
      <c r="H79" s="76"/>
      <c r="I79" s="76"/>
      <c r="J79" s="76"/>
      <c r="K79" s="76"/>
      <c r="L79" s="76"/>
      <c r="M79" s="76"/>
      <c r="N79" s="76"/>
      <c r="O79" s="76"/>
      <c r="R79" s="17"/>
      <c r="S79" s="17"/>
      <c r="T79" s="87"/>
      <c r="U79" s="87"/>
      <c r="V79" s="88"/>
      <c r="W79" s="1"/>
      <c r="X79" s="1"/>
    </row>
    <row r="80" spans="1:24" s="22" customFormat="1">
      <c r="A80" s="17"/>
      <c r="B80" s="17"/>
      <c r="C80" s="78"/>
      <c r="D80" s="14"/>
      <c r="E80" s="108"/>
      <c r="F80" s="17"/>
      <c r="G80" s="76"/>
      <c r="H80" s="76"/>
      <c r="I80" s="76"/>
      <c r="J80" s="76"/>
      <c r="K80" s="76"/>
      <c r="L80" s="76"/>
      <c r="M80" s="76"/>
      <c r="N80" s="76"/>
      <c r="O80" s="17"/>
      <c r="R80" s="17"/>
      <c r="S80" s="17"/>
      <c r="T80" s="87"/>
      <c r="U80" s="87"/>
      <c r="V80" s="88"/>
      <c r="W80" s="1"/>
      <c r="X80" s="1"/>
    </row>
    <row r="81" spans="1:24" s="22" customFormat="1">
      <c r="A81" s="17"/>
      <c r="B81" s="17"/>
      <c r="C81" s="78"/>
      <c r="D81" s="14"/>
      <c r="E81" s="108"/>
      <c r="F81" s="17"/>
      <c r="G81" s="76"/>
      <c r="H81" s="76"/>
      <c r="I81" s="76"/>
      <c r="J81" s="76"/>
      <c r="K81" s="76"/>
      <c r="L81" s="76"/>
      <c r="M81" s="76"/>
      <c r="N81" s="76"/>
      <c r="O81" s="17"/>
      <c r="R81" s="17"/>
      <c r="S81" s="17"/>
      <c r="T81" s="87"/>
      <c r="U81" s="87"/>
      <c r="V81" s="88"/>
      <c r="W81" s="1"/>
      <c r="X81" s="1"/>
    </row>
    <row r="82" spans="1:24" s="22" customFormat="1">
      <c r="A82" s="17"/>
      <c r="B82" s="17"/>
      <c r="C82" s="78"/>
      <c r="D82" s="14"/>
      <c r="E82" s="108"/>
      <c r="F82" s="17"/>
      <c r="G82" s="76"/>
      <c r="H82" s="76"/>
      <c r="I82" s="76"/>
      <c r="J82" s="76"/>
      <c r="K82" s="76"/>
      <c r="L82" s="76"/>
      <c r="M82" s="76"/>
      <c r="N82" s="76"/>
      <c r="O82" s="17"/>
      <c r="R82" s="17"/>
      <c r="S82" s="17"/>
      <c r="T82" s="87"/>
      <c r="U82" s="87"/>
      <c r="V82" s="88"/>
      <c r="W82" s="1"/>
      <c r="X82" s="1"/>
    </row>
    <row r="83" spans="1:24" s="22" customFormat="1">
      <c r="A83" s="17"/>
      <c r="B83" s="17"/>
      <c r="C83" s="78"/>
      <c r="D83" s="108"/>
      <c r="E83" s="108"/>
      <c r="F83" s="17"/>
      <c r="G83" s="76"/>
      <c r="H83" s="76"/>
      <c r="I83" s="76"/>
      <c r="J83" s="76"/>
      <c r="K83" s="76"/>
      <c r="L83" s="76"/>
      <c r="M83" s="76"/>
      <c r="N83" s="76"/>
      <c r="O83" s="17"/>
      <c r="R83" s="17"/>
      <c r="S83" s="17"/>
      <c r="T83" s="87"/>
      <c r="U83" s="87"/>
      <c r="V83" s="88"/>
      <c r="W83" s="1"/>
      <c r="X83" s="1"/>
    </row>
  </sheetData>
  <mergeCells count="5">
    <mergeCell ref="B2:V2"/>
    <mergeCell ref="A4:V4"/>
    <mergeCell ref="G41:N41"/>
    <mergeCell ref="H49:N52"/>
    <mergeCell ref="H55:N56"/>
  </mergeCells>
  <hyperlinks>
    <hyperlink ref="B7" r:id="rId1" display="dibenzofuran_Si" xr:uid="{7CD12B6B-9F09-6F40-A4F2-FAF343849992}"/>
    <hyperlink ref="B8" r:id="rId2" display="phenalene" xr:uid="{8C60DFAD-D834-4348-9C4C-8E886A85E2C4}"/>
    <hyperlink ref="B9" r:id="rId3" display="phenanthrene" xr:uid="{81AD4E7D-2FB5-2F45-84C2-118CA4C5306C}"/>
    <hyperlink ref="B10" r:id="rId4" display="anthracene" xr:uid="{594BE950-1E15-A842-8AB9-F8474FDB1108}"/>
    <hyperlink ref="B13" r:id="rId5" display="pyrene" xr:uid="{F0D886C1-9046-E847-90BE-73E38D467A2D}"/>
    <hyperlink ref="B15" r:id="rId6" display="benzo[c]fluorene" xr:uid="{DBFF1619-A00C-214B-B315-53E2C3923953}"/>
    <hyperlink ref="B18" r:id="rId7" display="coronene" xr:uid="{E1E34C39-170A-1541-A717-AA6B19F4A0B4}"/>
    <hyperlink ref="B14" r:id="rId8" display="chrysene" xr:uid="{8267512C-6C4C-F745-AB5F-72F185CDAA7E}"/>
    <hyperlink ref="B16" r:id="rId9" display="Benz[e]acephenanthrylene" xr:uid="{61065684-E89F-1D49-8F1D-F3610ABCD503}"/>
    <hyperlink ref="B6" r:id="rId10" display="benzene" xr:uid="{9687B502-E99F-6740-8952-146E5BBD902C}"/>
    <hyperlink ref="B17" r:id="rId11" display="benzo_b_fluorene" xr:uid="{238D566F-7AC7-B240-8137-CC531701078D}"/>
    <hyperlink ref="B19" r:id="rId12" xr:uid="{F26A8826-F056-5C4C-BA89-48D177C9AD06}"/>
    <hyperlink ref="B20" r:id="rId13" display="Benzo_a_pyrene" xr:uid="{C8177FD4-E63D-0843-AE80-E1912510B2B4}"/>
    <hyperlink ref="B21" r:id="rId14" xr:uid="{5FCB0A0E-DFF1-B446-BD4B-861C665B2B5F}"/>
    <hyperlink ref="B22" r:id="rId15" xr:uid="{C1D207F6-5EC7-AB4B-A0A9-FA5362BBE496}"/>
    <hyperlink ref="B23" r:id="rId16" xr:uid="{0A8EC036-AE39-2C49-92B5-F30FFA835494}"/>
    <hyperlink ref="B25" r:id="rId17" xr:uid="{0064200E-9D5C-9C46-B270-18EFB371EBCA}"/>
    <hyperlink ref="B26" r:id="rId18" location="section=InChIKey" xr:uid="{278AA04B-F4AA-3949-8610-BC87161DDFFA}"/>
    <hyperlink ref="B27" r:id="rId19" xr:uid="{953AD35A-7D09-6C46-AEE5-CABBD3CAE310}"/>
  </hyperlinks>
  <pageMargins left="0.7" right="0.7" top="0.75" bottom="0.75" header="0.3" footer="0.3"/>
  <pageSetup orientation="portrait" horizontalDpi="0" verticalDpi="0"/>
  <drawing r:id="rId2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PAH_Standard</vt:lpstr>
      <vt:lpstr>BPCA</vt:lpstr>
      <vt:lpstr>BPCA_Experimental</vt:lpstr>
      <vt:lpstr>BPCA_Model_400</vt:lpstr>
      <vt:lpstr>BPCA_Model_500</vt:lpstr>
      <vt:lpstr>BPCA_Model_600</vt:lpstr>
      <vt:lpstr>BPCA_Model_700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Sierra Jimenez, Valentina</cp:lastModifiedBy>
  <cp:revision/>
  <dcterms:created xsi:type="dcterms:W3CDTF">2023-08-09T15:11:39Z</dcterms:created>
  <dcterms:modified xsi:type="dcterms:W3CDTF">2024-03-28T13:15:38Z</dcterms:modified>
  <cp:category/>
  <cp:contentStatus/>
</cp:coreProperties>
</file>