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lf_fuentes_uniandes_edu_co/Documents/Universidad/¡TESIS!/"/>
    </mc:Choice>
  </mc:AlternateContent>
  <xr:revisionPtr revIDLastSave="1439" documentId="11_9248B46DC1CBB2E3ED7FF6F9903E8C1851038383" xr6:coauthVersionLast="47" xr6:coauthVersionMax="47" xr10:uidLastSave="{E9C64D26-5F87-4E94-BCCE-D6782D70CA60}"/>
  <bookViews>
    <workbookView xWindow="-108" yWindow="-108" windowWidth="23256" windowHeight="12456" firstSheet="2" activeTab="1" xr2:uid="{00000000-000D-0000-FFFF-FFFF00000000}"/>
  </bookViews>
  <sheets>
    <sheet name="Hoja1" sheetId="1" r:id="rId1"/>
    <sheet name="Hoja2" sheetId="2" r:id="rId2"/>
    <sheet name="Hoja3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2" l="1"/>
  <c r="W62" i="2"/>
  <c r="V62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W49" i="2"/>
  <c r="V49" i="2"/>
  <c r="O63" i="2"/>
  <c r="P62" i="2"/>
  <c r="O62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P49" i="2"/>
  <c r="O49" i="2"/>
  <c r="R30" i="1"/>
  <c r="S29" i="1"/>
  <c r="R29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6" i="1"/>
  <c r="S6" i="1"/>
  <c r="L8" i="5"/>
  <c r="L14" i="5"/>
  <c r="L18" i="5"/>
  <c r="L24" i="5"/>
  <c r="L28" i="5"/>
  <c r="K28" i="5"/>
  <c r="K8" i="5"/>
  <c r="K14" i="5"/>
  <c r="K29" i="5" s="1"/>
  <c r="K18" i="5"/>
  <c r="K24" i="5"/>
  <c r="L49" i="2"/>
  <c r="N49" i="2" s="1"/>
  <c r="S49" i="2"/>
  <c r="U49" i="2" s="1"/>
  <c r="S51" i="2"/>
  <c r="U51" i="2" s="1"/>
  <c r="S52" i="2"/>
  <c r="U52" i="2" s="1"/>
  <c r="S53" i="2"/>
  <c r="T53" i="2" s="1"/>
  <c r="S54" i="2"/>
  <c r="U54" i="2" s="1"/>
  <c r="S55" i="2"/>
  <c r="U55" i="2" s="1"/>
  <c r="S56" i="2"/>
  <c r="T56" i="2" s="1"/>
  <c r="S57" i="2"/>
  <c r="U57" i="2" s="1"/>
  <c r="S58" i="2"/>
  <c r="U58" i="2" s="1"/>
  <c r="S59" i="2"/>
  <c r="U59" i="2" s="1"/>
  <c r="S60" i="2"/>
  <c r="U60" i="2" s="1"/>
  <c r="S61" i="2"/>
  <c r="T61" i="2" s="1"/>
  <c r="S50" i="2"/>
  <c r="T50" i="2" s="1"/>
  <c r="L51" i="2"/>
  <c r="N51" i="2" s="1"/>
  <c r="L52" i="2"/>
  <c r="M52" i="2" s="1"/>
  <c r="L53" i="2"/>
  <c r="M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M60" i="2" s="1"/>
  <c r="L61" i="2"/>
  <c r="M61" i="2" s="1"/>
  <c r="L50" i="2"/>
  <c r="N50" i="2" s="1"/>
  <c r="K28" i="2"/>
  <c r="J28" i="2"/>
  <c r="J27" i="2"/>
  <c r="H26" i="2"/>
  <c r="F26" i="2"/>
  <c r="J26" i="2"/>
  <c r="J25" i="2"/>
  <c r="G27" i="2"/>
  <c r="K27" i="2"/>
  <c r="K26" i="2"/>
  <c r="K25" i="2"/>
  <c r="G24" i="2"/>
  <c r="K24" i="2"/>
  <c r="F24" i="2"/>
  <c r="J24" i="2"/>
  <c r="J23" i="2"/>
  <c r="J22" i="2"/>
  <c r="K23" i="2"/>
  <c r="K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F15" i="2"/>
  <c r="J15" i="2"/>
  <c r="K14" i="2"/>
  <c r="J14" i="2"/>
  <c r="K13" i="2"/>
  <c r="J13" i="2"/>
  <c r="K12" i="2"/>
  <c r="J12" i="2"/>
  <c r="J11" i="2"/>
  <c r="K11" i="2"/>
  <c r="K10" i="2"/>
  <c r="J10" i="2"/>
  <c r="J9" i="2"/>
  <c r="K9" i="2"/>
  <c r="K8" i="2"/>
  <c r="J8" i="2"/>
  <c r="K7" i="2"/>
  <c r="J7" i="2"/>
  <c r="K6" i="2"/>
  <c r="J6" i="2"/>
  <c r="G28" i="2"/>
  <c r="I28" i="2"/>
  <c r="H28" i="2"/>
  <c r="F27" i="2"/>
  <c r="G26" i="2"/>
  <c r="G25" i="2"/>
  <c r="I27" i="2"/>
  <c r="H27" i="2"/>
  <c r="I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9" i="2"/>
  <c r="H9" i="2"/>
  <c r="I10" i="2"/>
  <c r="H10" i="2"/>
  <c r="I11" i="2"/>
  <c r="H11" i="2"/>
  <c r="I8" i="2"/>
  <c r="H8" i="2"/>
  <c r="I7" i="2"/>
  <c r="H7" i="2"/>
  <c r="I6" i="2"/>
  <c r="H6" i="2"/>
  <c r="F28" i="2"/>
  <c r="M28" i="2" s="1"/>
  <c r="F25" i="2"/>
  <c r="G23" i="2"/>
  <c r="R23" i="2" s="1"/>
  <c r="T23" i="2" s="1"/>
  <c r="V23" i="2" s="1"/>
  <c r="F23" i="2"/>
  <c r="F22" i="2"/>
  <c r="G22" i="2"/>
  <c r="G21" i="2"/>
  <c r="F21" i="2"/>
  <c r="G20" i="2"/>
  <c r="F20" i="2"/>
  <c r="G19" i="2"/>
  <c r="F19" i="2"/>
  <c r="G18" i="2"/>
  <c r="F18" i="2"/>
  <c r="G17" i="2"/>
  <c r="R17" i="2" s="1"/>
  <c r="T17" i="2" s="1"/>
  <c r="V17" i="2" s="1"/>
  <c r="F17" i="2"/>
  <c r="G16" i="2"/>
  <c r="F16" i="2"/>
  <c r="G15" i="2"/>
  <c r="G14" i="2"/>
  <c r="F14" i="2"/>
  <c r="G13" i="2"/>
  <c r="R13" i="2" s="1"/>
  <c r="T13" i="2" s="1"/>
  <c r="V13" i="2" s="1"/>
  <c r="F13" i="2"/>
  <c r="M13" i="2" s="1"/>
  <c r="O13" i="2" s="1"/>
  <c r="Q13" i="2" s="1"/>
  <c r="G12" i="2"/>
  <c r="F12" i="2"/>
  <c r="M12" i="2" s="1"/>
  <c r="O12" i="2" s="1"/>
  <c r="Q12" i="2" s="1"/>
  <c r="G11" i="2"/>
  <c r="F11" i="2"/>
  <c r="M11" i="2" s="1"/>
  <c r="O11" i="2" s="1"/>
  <c r="Q11" i="2" s="1"/>
  <c r="G10" i="2"/>
  <c r="R10" i="2" s="1"/>
  <c r="T10" i="2" s="1"/>
  <c r="V10" i="2" s="1"/>
  <c r="F10" i="2"/>
  <c r="F9" i="2"/>
  <c r="G9" i="2"/>
  <c r="R9" i="2" s="1"/>
  <c r="T9" i="2" s="1"/>
  <c r="V9" i="2" s="1"/>
  <c r="G7" i="2"/>
  <c r="R7" i="2" s="1"/>
  <c r="G8" i="2"/>
  <c r="F8" i="2"/>
  <c r="F7" i="2"/>
  <c r="G6" i="2"/>
  <c r="F6" i="2"/>
  <c r="J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R28" i="2" l="1"/>
  <c r="T28" i="2" s="1"/>
  <c r="V28" i="2" s="1"/>
  <c r="L6" i="1"/>
  <c r="N6" i="1" s="1"/>
  <c r="K6" i="1"/>
  <c r="M6" i="1" s="1"/>
  <c r="K28" i="1"/>
  <c r="M28" i="1" s="1"/>
  <c r="L28" i="1"/>
  <c r="L27" i="1"/>
  <c r="N27" i="1" s="1"/>
  <c r="K27" i="1"/>
  <c r="M27" i="1" s="1"/>
  <c r="L26" i="1"/>
  <c r="N26" i="1" s="1"/>
  <c r="K26" i="1"/>
  <c r="M26" i="1" s="1"/>
  <c r="L25" i="1"/>
  <c r="N25" i="1" s="1"/>
  <c r="K25" i="1"/>
  <c r="M25" i="1" s="1"/>
  <c r="L24" i="1"/>
  <c r="N24" i="1" s="1"/>
  <c r="K24" i="1"/>
  <c r="M24" i="1" s="1"/>
  <c r="L23" i="1"/>
  <c r="N23" i="1" s="1"/>
  <c r="K23" i="1"/>
  <c r="M23" i="1" s="1"/>
  <c r="L22" i="1"/>
  <c r="N22" i="1" s="1"/>
  <c r="K22" i="1"/>
  <c r="M22" i="1" s="1"/>
  <c r="L21" i="1"/>
  <c r="N21" i="1" s="1"/>
  <c r="K21" i="1"/>
  <c r="M21" i="1" s="1"/>
  <c r="L20" i="1"/>
  <c r="N20" i="1" s="1"/>
  <c r="K20" i="1"/>
  <c r="M20" i="1" s="1"/>
  <c r="L19" i="1"/>
  <c r="N19" i="1" s="1"/>
  <c r="K19" i="1"/>
  <c r="M19" i="1" s="1"/>
  <c r="L18" i="1"/>
  <c r="N18" i="1" s="1"/>
  <c r="K18" i="1"/>
  <c r="M18" i="1" s="1"/>
  <c r="L17" i="1"/>
  <c r="N17" i="1" s="1"/>
  <c r="K17" i="1"/>
  <c r="M17" i="1" s="1"/>
  <c r="L16" i="1"/>
  <c r="N16" i="1" s="1"/>
  <c r="K16" i="1"/>
  <c r="M16" i="1" s="1"/>
  <c r="L15" i="1"/>
  <c r="N15" i="1" s="1"/>
  <c r="K15" i="1"/>
  <c r="M15" i="1" s="1"/>
  <c r="L14" i="1"/>
  <c r="N14" i="1" s="1"/>
  <c r="K14" i="1"/>
  <c r="M14" i="1" s="1"/>
  <c r="L13" i="1"/>
  <c r="N13" i="1" s="1"/>
  <c r="K13" i="1"/>
  <c r="M13" i="1" s="1"/>
  <c r="L12" i="1"/>
  <c r="N12" i="1" s="1"/>
  <c r="K12" i="1"/>
  <c r="M12" i="1" s="1"/>
  <c r="L11" i="1"/>
  <c r="N11" i="1" s="1"/>
  <c r="K11" i="1"/>
  <c r="M11" i="1" s="1"/>
  <c r="L10" i="1"/>
  <c r="N10" i="1" s="1"/>
  <c r="K10" i="1"/>
  <c r="M10" i="1" s="1"/>
  <c r="L8" i="1"/>
  <c r="N8" i="1" s="1"/>
  <c r="K8" i="1"/>
  <c r="M8" i="1" s="1"/>
  <c r="L7" i="1"/>
  <c r="N7" i="1" s="1"/>
  <c r="K7" i="1"/>
  <c r="M7" i="1" s="1"/>
  <c r="Q6" i="1"/>
  <c r="P6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L9" i="1"/>
  <c r="N9" i="1" s="1"/>
  <c r="K9" i="1"/>
  <c r="M9" i="1" s="1"/>
  <c r="L29" i="5"/>
  <c r="N61" i="2"/>
  <c r="T60" i="2"/>
  <c r="T58" i="2"/>
  <c r="N60" i="2"/>
  <c r="M59" i="2"/>
  <c r="T57" i="2"/>
  <c r="M57" i="2"/>
  <c r="M56" i="2"/>
  <c r="T55" i="2"/>
  <c r="M54" i="2"/>
  <c r="N53" i="2"/>
  <c r="T52" i="2"/>
  <c r="N52" i="2"/>
  <c r="M51" i="2"/>
  <c r="M50" i="2"/>
  <c r="M49" i="2"/>
  <c r="T49" i="2"/>
  <c r="R22" i="2"/>
  <c r="T22" i="2" s="1"/>
  <c r="V22" i="2" s="1"/>
  <c r="U50" i="2"/>
  <c r="M14" i="2"/>
  <c r="O14" i="2" s="1"/>
  <c r="Q14" i="2" s="1"/>
  <c r="M7" i="2"/>
  <c r="O7" i="2" s="1"/>
  <c r="Q7" i="2" s="1"/>
  <c r="R8" i="2"/>
  <c r="T8" i="2" s="1"/>
  <c r="V8" i="2" s="1"/>
  <c r="M58" i="2"/>
  <c r="T59" i="2"/>
  <c r="T51" i="2"/>
  <c r="U56" i="2"/>
  <c r="M55" i="2"/>
  <c r="U61" i="2"/>
  <c r="U53" i="2"/>
  <c r="S10" i="2"/>
  <c r="U10" i="2" s="1"/>
  <c r="R14" i="2"/>
  <c r="T14" i="2" s="1"/>
  <c r="V14" i="2" s="1"/>
  <c r="M19" i="2"/>
  <c r="O19" i="2" s="1"/>
  <c r="Q19" i="2" s="1"/>
  <c r="M24" i="2"/>
  <c r="O24" i="2" s="1"/>
  <c r="Q24" i="2" s="1"/>
  <c r="R21" i="2"/>
  <c r="T21" i="2" s="1"/>
  <c r="V21" i="2" s="1"/>
  <c r="R24" i="2"/>
  <c r="T24" i="2" s="1"/>
  <c r="V24" i="2" s="1"/>
  <c r="N12" i="2"/>
  <c r="P12" i="2" s="1"/>
  <c r="T54" i="2"/>
  <c r="M20" i="2"/>
  <c r="M16" i="2"/>
  <c r="S21" i="2"/>
  <c r="U21" i="2" s="1"/>
  <c r="M8" i="2"/>
  <c r="O8" i="2" s="1"/>
  <c r="Q8" i="2" s="1"/>
  <c r="R16" i="2"/>
  <c r="T16" i="2" s="1"/>
  <c r="V16" i="2" s="1"/>
  <c r="R18" i="2"/>
  <c r="T18" i="2" s="1"/>
  <c r="V18" i="2" s="1"/>
  <c r="O20" i="2"/>
  <c r="Q20" i="2" s="1"/>
  <c r="N20" i="2"/>
  <c r="P20" i="2" s="1"/>
  <c r="T7" i="2"/>
  <c r="V7" i="2" s="1"/>
  <c r="S7" i="2"/>
  <c r="U7" i="2" s="1"/>
  <c r="O28" i="2"/>
  <c r="Q28" i="2" s="1"/>
  <c r="N28" i="2"/>
  <c r="P28" i="2" s="1"/>
  <c r="N24" i="2"/>
  <c r="P24" i="2" s="1"/>
  <c r="M18" i="2"/>
  <c r="O18" i="2" s="1"/>
  <c r="Q18" i="2" s="1"/>
  <c r="M10" i="2"/>
  <c r="O10" i="2" s="1"/>
  <c r="Q10" i="2" s="1"/>
  <c r="R20" i="2"/>
  <c r="T20" i="2" s="1"/>
  <c r="V20" i="2" s="1"/>
  <c r="R12" i="2"/>
  <c r="T12" i="2" s="1"/>
  <c r="V12" i="2" s="1"/>
  <c r="N8" i="2"/>
  <c r="P8" i="2" s="1"/>
  <c r="N14" i="2"/>
  <c r="P14" i="2" s="1"/>
  <c r="S17" i="2"/>
  <c r="U17" i="2" s="1"/>
  <c r="S9" i="2"/>
  <c r="U9" i="2" s="1"/>
  <c r="M17" i="2"/>
  <c r="O17" i="2" s="1"/>
  <c r="Q17" i="2" s="1"/>
  <c r="R19" i="2"/>
  <c r="T19" i="2" s="1"/>
  <c r="V19" i="2" s="1"/>
  <c r="R11" i="2"/>
  <c r="T11" i="2" s="1"/>
  <c r="V11" i="2" s="1"/>
  <c r="M21" i="2"/>
  <c r="O21" i="2" s="1"/>
  <c r="Q21" i="2" s="1"/>
  <c r="N7" i="2"/>
  <c r="P7" i="2" s="1"/>
  <c r="N13" i="2"/>
  <c r="P13" i="2" s="1"/>
  <c r="S24" i="2"/>
  <c r="U24" i="2" s="1"/>
  <c r="M6" i="2"/>
  <c r="O6" i="2" s="1"/>
  <c r="Q6" i="2" s="1"/>
  <c r="M15" i="2"/>
  <c r="O15" i="2" s="1"/>
  <c r="Q15" i="2" s="1"/>
  <c r="R6" i="2"/>
  <c r="T6" i="2" s="1"/>
  <c r="V6" i="2" s="1"/>
  <c r="R25" i="2"/>
  <c r="T25" i="2" s="1"/>
  <c r="V25" i="2" s="1"/>
  <c r="M27" i="2"/>
  <c r="O27" i="2" s="1"/>
  <c r="Q27" i="2" s="1"/>
  <c r="N19" i="2"/>
  <c r="P19" i="2" s="1"/>
  <c r="N11" i="2"/>
  <c r="P11" i="2" s="1"/>
  <c r="S22" i="2"/>
  <c r="U22" i="2" s="1"/>
  <c r="R26" i="2"/>
  <c r="T26" i="2" s="1"/>
  <c r="V26" i="2" s="1"/>
  <c r="S13" i="2"/>
  <c r="U13" i="2" s="1"/>
  <c r="R15" i="2"/>
  <c r="T15" i="2" s="1"/>
  <c r="V15" i="2" s="1"/>
  <c r="M22" i="2"/>
  <c r="O22" i="2" s="1"/>
  <c r="Q22" i="2" s="1"/>
  <c r="S28" i="2"/>
  <c r="U28" i="2" s="1"/>
  <c r="S23" i="2"/>
  <c r="U23" i="2" s="1"/>
  <c r="M23" i="2"/>
  <c r="O23" i="2" s="1"/>
  <c r="Q23" i="2" s="1"/>
  <c r="R27" i="2"/>
  <c r="T27" i="2" s="1"/>
  <c r="V27" i="2" s="1"/>
  <c r="M9" i="2"/>
  <c r="O9" i="2" s="1"/>
  <c r="Q9" i="2" s="1"/>
  <c r="S27" i="2"/>
  <c r="U27" i="2" s="1"/>
  <c r="M25" i="2"/>
  <c r="O25" i="2" s="1"/>
  <c r="Q25" i="2" s="1"/>
  <c r="Q29" i="1"/>
  <c r="K29" i="1"/>
  <c r="M26" i="2"/>
  <c r="O26" i="2" s="1"/>
  <c r="Q26" i="2" s="1"/>
  <c r="V29" i="2" l="1"/>
  <c r="O16" i="2"/>
  <c r="Q16" i="2" s="1"/>
  <c r="Q29" i="2" s="1"/>
  <c r="N16" i="2"/>
  <c r="P16" i="2" s="1"/>
  <c r="M29" i="1"/>
  <c r="P29" i="1"/>
  <c r="N28" i="1"/>
  <c r="N29" i="1" s="1"/>
  <c r="L29" i="1"/>
  <c r="K30" i="1" s="1"/>
  <c r="U62" i="2"/>
  <c r="M62" i="2"/>
  <c r="N62" i="2"/>
  <c r="T62" i="2"/>
  <c r="T29" i="2"/>
  <c r="O29" i="2"/>
  <c r="S18" i="2"/>
  <c r="U18" i="2" s="1"/>
  <c r="N22" i="2"/>
  <c r="P22" i="2" s="1"/>
  <c r="S8" i="2"/>
  <c r="U8" i="2" s="1"/>
  <c r="S14" i="2"/>
  <c r="U14" i="2" s="1"/>
  <c r="S16" i="2"/>
  <c r="U16" i="2" s="1"/>
  <c r="N26" i="2"/>
  <c r="P26" i="2" s="1"/>
  <c r="N27" i="2"/>
  <c r="P27" i="2" s="1"/>
  <c r="S25" i="2"/>
  <c r="U25" i="2" s="1"/>
  <c r="S20" i="2"/>
  <c r="U20" i="2" s="1"/>
  <c r="N10" i="2"/>
  <c r="P10" i="2" s="1"/>
  <c r="N25" i="2"/>
  <c r="P25" i="2" s="1"/>
  <c r="N15" i="2"/>
  <c r="P15" i="2" s="1"/>
  <c r="N6" i="2"/>
  <c r="P6" i="2" s="1"/>
  <c r="S26" i="2"/>
  <c r="U26" i="2" s="1"/>
  <c r="S15" i="2"/>
  <c r="U15" i="2" s="1"/>
  <c r="S12" i="2"/>
  <c r="U12" i="2" s="1"/>
  <c r="N23" i="2"/>
  <c r="P23" i="2" s="1"/>
  <c r="N18" i="2"/>
  <c r="P18" i="2" s="1"/>
  <c r="N21" i="2"/>
  <c r="P21" i="2" s="1"/>
  <c r="S11" i="2"/>
  <c r="U11" i="2" s="1"/>
  <c r="S6" i="2"/>
  <c r="U6" i="2" s="1"/>
  <c r="N9" i="2"/>
  <c r="P9" i="2" s="1"/>
  <c r="N17" i="2"/>
  <c r="P17" i="2" s="1"/>
  <c r="S19" i="2"/>
  <c r="U19" i="2" s="1"/>
  <c r="U29" i="2" l="1"/>
  <c r="U30" i="2" s="1"/>
  <c r="P29" i="2"/>
  <c r="P30" i="2" s="1"/>
  <c r="M30" i="1"/>
  <c r="S29" i="2"/>
  <c r="N29" i="2"/>
</calcChain>
</file>

<file path=xl/sharedStrings.xml><?xml version="1.0" encoding="utf-8"?>
<sst xmlns="http://schemas.openxmlformats.org/spreadsheetml/2006/main" count="69" uniqueCount="33">
  <si>
    <t>Prueba 1</t>
  </si>
  <si>
    <t>RESULTADOS</t>
  </si>
  <si>
    <t>Pistola Infrarojo</t>
  </si>
  <si>
    <t>Cambio de voltaje</t>
  </si>
  <si>
    <t>1m</t>
  </si>
  <si>
    <t>2m</t>
  </si>
  <si>
    <t>max</t>
  </si>
  <si>
    <t>min</t>
  </si>
  <si>
    <t xml:space="preserve">2m </t>
  </si>
  <si>
    <t>Termocupla</t>
  </si>
  <si>
    <t>Entre 10 y 15</t>
  </si>
  <si>
    <t>en x es 5</t>
  </si>
  <si>
    <t>En y es 11,12,13</t>
  </si>
  <si>
    <t>MEDICIÓN 1</t>
  </si>
  <si>
    <t>MEDICIÓN 2</t>
  </si>
  <si>
    <t>MEDICIÓN 3</t>
  </si>
  <si>
    <t>VOLTAJE</t>
  </si>
  <si>
    <t>12V</t>
  </si>
  <si>
    <t>Temperatura</t>
  </si>
  <si>
    <t>Voltaje</t>
  </si>
  <si>
    <t>Time (s)</t>
  </si>
  <si>
    <t xml:space="preserve">Infrared thermometer </t>
  </si>
  <si>
    <t>Thermal camera</t>
  </si>
  <si>
    <t>Prom Infrarrojo</t>
  </si>
  <si>
    <t>Err max</t>
  </si>
  <si>
    <t>Err min</t>
  </si>
  <si>
    <t>Prom Camara</t>
  </si>
  <si>
    <t>N. Elements</t>
  </si>
  <si>
    <t>Temperature [°C]</t>
  </si>
  <si>
    <t>INFRARROJO</t>
  </si>
  <si>
    <t>CAMARA</t>
  </si>
  <si>
    <t>Error infrarojo</t>
  </si>
  <si>
    <t>Error camara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</si>
</sst>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3" borderId="0" xfId="0" applyFill="1"/>
    <xf numFmtId="0" fontId="0" fillId="0" borderId="10" xfId="0" applyBorder="1"/>
    <xf numFmtId="0" fontId="0" fillId="2" borderId="4" xfId="1" applyNumberFormat="1" applyFont="1" applyFill="1" applyBorder="1"/>
    <xf numFmtId="0" fontId="0" fillId="0" borderId="11" xfId="0" applyBorder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NumberFormat="1" applyBorder="1"/>
    <xf numFmtId="10" fontId="0" fillId="0" borderId="0" xfId="0" applyNumberFormat="1"/>
    <xf numFmtId="10" fontId="0" fillId="3" borderId="0" xfId="0" applyNumberFormat="1" applyFill="1"/>
    <xf numFmtId="10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Temperatura Infrarojo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328287862179823E-2"/>
          <c:y val="0.1094227044900762"/>
          <c:w val="0.85093902032227142"/>
          <c:h val="0.63549135071674701"/>
        </c:manualLayout>
      </c:layout>
      <c:scatterChart>
        <c:scatterStyle val="lineMarker"/>
        <c:varyColors val="0"/>
        <c:ser>
          <c:idx val="0"/>
          <c:order val="2"/>
          <c:tx>
            <c:v>Medición 1 minuto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304070936374711E-3"/>
                  <c:y val="0.31874709048816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Hoja1!$B$6:$B$28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Hoja1!$J$6:$J$28</c:f>
              <c:numCache>
                <c:formatCode>General</c:formatCode>
                <c:ptCount val="23"/>
                <c:pt idx="0">
                  <c:v>20.8</c:v>
                </c:pt>
                <c:pt idx="1">
                  <c:v>21.8</c:v>
                </c:pt>
                <c:pt idx="2">
                  <c:v>22.3</c:v>
                </c:pt>
                <c:pt idx="3">
                  <c:v>24.766666666666669</c:v>
                </c:pt>
                <c:pt idx="4">
                  <c:v>26.666666666666668</c:v>
                </c:pt>
                <c:pt idx="5">
                  <c:v>28.700000000000003</c:v>
                </c:pt>
                <c:pt idx="6">
                  <c:v>32.43333333333333</c:v>
                </c:pt>
                <c:pt idx="7">
                  <c:v>36.300000000000004</c:v>
                </c:pt>
                <c:pt idx="8">
                  <c:v>39.933333333333337</c:v>
                </c:pt>
                <c:pt idx="9">
                  <c:v>44.9</c:v>
                </c:pt>
                <c:pt idx="10">
                  <c:v>47.79999999999999</c:v>
                </c:pt>
                <c:pt idx="11">
                  <c:v>55.6</c:v>
                </c:pt>
                <c:pt idx="12">
                  <c:v>59.966666666666661</c:v>
                </c:pt>
                <c:pt idx="13">
                  <c:v>64.766666666666666</c:v>
                </c:pt>
                <c:pt idx="14">
                  <c:v>74.433333333333337</c:v>
                </c:pt>
                <c:pt idx="15">
                  <c:v>79</c:v>
                </c:pt>
                <c:pt idx="16">
                  <c:v>90.666666666666671</c:v>
                </c:pt>
                <c:pt idx="17">
                  <c:v>95.066666666666663</c:v>
                </c:pt>
                <c:pt idx="18">
                  <c:v>97.433333333333337</c:v>
                </c:pt>
                <c:pt idx="19">
                  <c:v>101.83333333333333</c:v>
                </c:pt>
                <c:pt idx="20">
                  <c:v>106.56666666666666</c:v>
                </c:pt>
                <c:pt idx="21">
                  <c:v>110.43333333333332</c:v>
                </c:pt>
                <c:pt idx="22">
                  <c:v>116.3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5CA-4DFB-A364-6F3B2B9501AE}"/>
            </c:ext>
          </c:extLst>
        </c:ser>
        <c:ser>
          <c:idx val="1"/>
          <c:order val="3"/>
          <c:tx>
            <c:v>Medición 2 minutos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5804065727860455E-2"/>
                  <c:y val="-1.92774056201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Hoja1!$P$29</c:f>
                <c:numCache>
                  <c:formatCode>General</c:formatCode>
                  <c:ptCount val="1"/>
                  <c:pt idx="0">
                    <c:v>1.7507246376811587</c:v>
                  </c:pt>
                </c:numCache>
              </c:numRef>
            </c:plus>
            <c:minus>
              <c:numRef>
                <c:f>Hoja1!$Q$29</c:f>
                <c:numCache>
                  <c:formatCode>General</c:formatCode>
                  <c:ptCount val="1"/>
                  <c:pt idx="0">
                    <c:v>1.8318840579710147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Hoja1!$B$6:$B$28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Hoja1!$O$6:$O$28</c:f>
              <c:numCache>
                <c:formatCode>General</c:formatCode>
                <c:ptCount val="23"/>
                <c:pt idx="0">
                  <c:v>21.466666666666669</c:v>
                </c:pt>
                <c:pt idx="1">
                  <c:v>22.366666666666664</c:v>
                </c:pt>
                <c:pt idx="2">
                  <c:v>23.366666666666664</c:v>
                </c:pt>
                <c:pt idx="3">
                  <c:v>26.3</c:v>
                </c:pt>
                <c:pt idx="4">
                  <c:v>28.666666666666668</c:v>
                </c:pt>
                <c:pt idx="5">
                  <c:v>32</c:v>
                </c:pt>
                <c:pt idx="6">
                  <c:v>36.033333333333339</c:v>
                </c:pt>
                <c:pt idx="7">
                  <c:v>39.333333333333336</c:v>
                </c:pt>
                <c:pt idx="8">
                  <c:v>43.366666666666667</c:v>
                </c:pt>
                <c:pt idx="9">
                  <c:v>48.466666666666669</c:v>
                </c:pt>
                <c:pt idx="10">
                  <c:v>56.800000000000004</c:v>
                </c:pt>
                <c:pt idx="11">
                  <c:v>62.033333333333339</c:v>
                </c:pt>
                <c:pt idx="12">
                  <c:v>65.7</c:v>
                </c:pt>
                <c:pt idx="13">
                  <c:v>70.966666666666654</c:v>
                </c:pt>
                <c:pt idx="14">
                  <c:v>79.8</c:v>
                </c:pt>
                <c:pt idx="15">
                  <c:v>86</c:v>
                </c:pt>
                <c:pt idx="16">
                  <c:v>94.100000000000009</c:v>
                </c:pt>
                <c:pt idx="17">
                  <c:v>97.733333333333334</c:v>
                </c:pt>
                <c:pt idx="18">
                  <c:v>101</c:v>
                </c:pt>
                <c:pt idx="19">
                  <c:v>105.96666666666665</c:v>
                </c:pt>
                <c:pt idx="20">
                  <c:v>112.23333333333333</c:v>
                </c:pt>
                <c:pt idx="21">
                  <c:v>118.03333333333335</c:v>
                </c:pt>
                <c:pt idx="22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A-4DFB-A364-6F3B2B95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01647"/>
        <c:axId val="20806008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Medición 1 minuto</c:v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Hoja1!$K$29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2.1579710144927544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Hoja1!$L$29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1.8724637681159406</c:v>
                        </c:pt>
                      </c:numCache>
                    </c:numRef>
                  </c:minus>
                </c:errBars>
                <c:xVal>
                  <c:numRef>
                    <c:extLst>
                      <c:ext uri="{02D57815-91ED-43cb-92C2-25804820EDAC}">
                        <c15:formulaRef>
                          <c15:sqref>Hoja1!$B$6:$B$28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11</c:v>
                      </c:pt>
                      <c:pt idx="21">
                        <c:v>11.5</c:v>
                      </c:pt>
                      <c:pt idx="2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Hoja1!$J$6:$J$28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20.8</c:v>
                      </c:pt>
                      <c:pt idx="1">
                        <c:v>21.8</c:v>
                      </c:pt>
                      <c:pt idx="2">
                        <c:v>22.3</c:v>
                      </c:pt>
                      <c:pt idx="3">
                        <c:v>24.766666666666669</c:v>
                      </c:pt>
                      <c:pt idx="4">
                        <c:v>26.666666666666668</c:v>
                      </c:pt>
                      <c:pt idx="5">
                        <c:v>28.700000000000003</c:v>
                      </c:pt>
                      <c:pt idx="6">
                        <c:v>32.43333333333333</c:v>
                      </c:pt>
                      <c:pt idx="7">
                        <c:v>36.300000000000004</c:v>
                      </c:pt>
                      <c:pt idx="8">
                        <c:v>39.933333333333337</c:v>
                      </c:pt>
                      <c:pt idx="9">
                        <c:v>44.9</c:v>
                      </c:pt>
                      <c:pt idx="10">
                        <c:v>47.79999999999999</c:v>
                      </c:pt>
                      <c:pt idx="11">
                        <c:v>55.6</c:v>
                      </c:pt>
                      <c:pt idx="12">
                        <c:v>59.966666666666661</c:v>
                      </c:pt>
                      <c:pt idx="13">
                        <c:v>64.766666666666666</c:v>
                      </c:pt>
                      <c:pt idx="14">
                        <c:v>74.433333333333337</c:v>
                      </c:pt>
                      <c:pt idx="15">
                        <c:v>79</c:v>
                      </c:pt>
                      <c:pt idx="16">
                        <c:v>90.666666666666671</c:v>
                      </c:pt>
                      <c:pt idx="17">
                        <c:v>95.066666666666663</c:v>
                      </c:pt>
                      <c:pt idx="18">
                        <c:v>97.433333333333337</c:v>
                      </c:pt>
                      <c:pt idx="19">
                        <c:v>101.83333333333333</c:v>
                      </c:pt>
                      <c:pt idx="20">
                        <c:v>106.56666666666666</c:v>
                      </c:pt>
                      <c:pt idx="21">
                        <c:v>110.43333333333332</c:v>
                      </c:pt>
                      <c:pt idx="22">
                        <c:v>116.3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5CA-4DFB-A364-6F3B2B9501AE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Medición 2 minutos</c:v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Hoja1!$K$29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2.1579710144927544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Hoja1!$L$29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1.8724637681159406</c:v>
                        </c:pt>
                      </c:numCache>
                    </c:numRef>
                  </c:minus>
                </c:errBars>
                <c:errBars>
                  <c:errDir val="x"/>
                  <c:errBarType val="both"/>
                  <c:errValType val="fixedVal"/>
                  <c:noEndCap val="0"/>
                  <c:val val="1"/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11</c:v>
                      </c:pt>
                      <c:pt idx="21">
                        <c:v>11.5</c:v>
                      </c:pt>
                      <c:pt idx="22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Hoja1!$O$6:$O$28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21.466666666666669</c:v>
                      </c:pt>
                      <c:pt idx="1">
                        <c:v>22.366666666666664</c:v>
                      </c:pt>
                      <c:pt idx="2">
                        <c:v>23.366666666666664</c:v>
                      </c:pt>
                      <c:pt idx="3">
                        <c:v>26.3</c:v>
                      </c:pt>
                      <c:pt idx="4">
                        <c:v>28.666666666666668</c:v>
                      </c:pt>
                      <c:pt idx="5">
                        <c:v>32</c:v>
                      </c:pt>
                      <c:pt idx="6">
                        <c:v>36.033333333333339</c:v>
                      </c:pt>
                      <c:pt idx="7">
                        <c:v>39.333333333333336</c:v>
                      </c:pt>
                      <c:pt idx="8">
                        <c:v>43.366666666666667</c:v>
                      </c:pt>
                      <c:pt idx="9">
                        <c:v>48.466666666666669</c:v>
                      </c:pt>
                      <c:pt idx="10">
                        <c:v>56.800000000000004</c:v>
                      </c:pt>
                      <c:pt idx="11">
                        <c:v>62.033333333333339</c:v>
                      </c:pt>
                      <c:pt idx="12">
                        <c:v>65.7</c:v>
                      </c:pt>
                      <c:pt idx="13">
                        <c:v>70.966666666666654</c:v>
                      </c:pt>
                      <c:pt idx="14">
                        <c:v>79.8</c:v>
                      </c:pt>
                      <c:pt idx="15">
                        <c:v>86</c:v>
                      </c:pt>
                      <c:pt idx="16">
                        <c:v>94.100000000000009</c:v>
                      </c:pt>
                      <c:pt idx="17">
                        <c:v>97.733333333333334</c:v>
                      </c:pt>
                      <c:pt idx="18">
                        <c:v>101</c:v>
                      </c:pt>
                      <c:pt idx="19">
                        <c:v>105.96666666666665</c:v>
                      </c:pt>
                      <c:pt idx="20">
                        <c:v>112.23333333333333</c:v>
                      </c:pt>
                      <c:pt idx="21">
                        <c:v>118.03333333333335</c:v>
                      </c:pt>
                      <c:pt idx="22">
                        <c:v>122.3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CA-4DFB-A364-6F3B2B9501AE}"/>
                  </c:ext>
                </c:extLst>
              </c15:ser>
            </c15:filteredScatterSeries>
          </c:ext>
        </c:extLst>
      </c:scatterChart>
      <c:valAx>
        <c:axId val="2080601647"/>
        <c:scaling>
          <c:orientation val="minMax"/>
          <c:max val="12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0815"/>
        <c:crosses val="autoZero"/>
        <c:crossBetween val="midCat"/>
        <c:majorUnit val="1"/>
      </c:valAx>
      <c:valAx>
        <c:axId val="20806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1647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7095790863586155"/>
          <c:y val="0.86660748194180715"/>
          <c:w val="0.61141816202328692"/>
          <c:h val="0.1047059898369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Temperatura Infrarojo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28287862179823E-2"/>
          <c:y val="0.1094227044900762"/>
          <c:w val="0.85093902032227142"/>
          <c:h val="0.63549135071674701"/>
        </c:manualLayout>
      </c:layout>
      <c:scatterChart>
        <c:scatterStyle val="lineMarker"/>
        <c:varyColors val="0"/>
        <c:ser>
          <c:idx val="1"/>
          <c:order val="1"/>
          <c:tx>
            <c:v>Medición 2 minutos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5804065727860455E-2"/>
                  <c:y val="-1.92774056201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Hoja1!$P$29</c:f>
                <c:numCache>
                  <c:formatCode>General</c:formatCode>
                  <c:ptCount val="1"/>
                  <c:pt idx="0">
                    <c:v>1.7507246376811587</c:v>
                  </c:pt>
                </c:numCache>
              </c:numRef>
            </c:plus>
            <c:minus>
              <c:numRef>
                <c:f>Hoja1!$Q$29</c:f>
                <c:numCache>
                  <c:formatCode>General</c:formatCode>
                  <c:ptCount val="1"/>
                  <c:pt idx="0">
                    <c:v>1.8318840579710147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Hoja1!$B$6:$B$28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Hoja1!$O$6:$O$28</c:f>
              <c:numCache>
                <c:formatCode>General</c:formatCode>
                <c:ptCount val="23"/>
                <c:pt idx="0">
                  <c:v>21.466666666666669</c:v>
                </c:pt>
                <c:pt idx="1">
                  <c:v>22.366666666666664</c:v>
                </c:pt>
                <c:pt idx="2">
                  <c:v>23.366666666666664</c:v>
                </c:pt>
                <c:pt idx="3">
                  <c:v>26.3</c:v>
                </c:pt>
                <c:pt idx="4">
                  <c:v>28.666666666666668</c:v>
                </c:pt>
                <c:pt idx="5">
                  <c:v>32</c:v>
                </c:pt>
                <c:pt idx="6">
                  <c:v>36.033333333333339</c:v>
                </c:pt>
                <c:pt idx="7">
                  <c:v>39.333333333333336</c:v>
                </c:pt>
                <c:pt idx="8">
                  <c:v>43.366666666666667</c:v>
                </c:pt>
                <c:pt idx="9">
                  <c:v>48.466666666666669</c:v>
                </c:pt>
                <c:pt idx="10">
                  <c:v>56.800000000000004</c:v>
                </c:pt>
                <c:pt idx="11">
                  <c:v>62.033333333333339</c:v>
                </c:pt>
                <c:pt idx="12">
                  <c:v>65.7</c:v>
                </c:pt>
                <c:pt idx="13">
                  <c:v>70.966666666666654</c:v>
                </c:pt>
                <c:pt idx="14">
                  <c:v>79.8</c:v>
                </c:pt>
                <c:pt idx="15">
                  <c:v>86</c:v>
                </c:pt>
                <c:pt idx="16">
                  <c:v>94.100000000000009</c:v>
                </c:pt>
                <c:pt idx="17">
                  <c:v>97.733333333333334</c:v>
                </c:pt>
                <c:pt idx="18">
                  <c:v>101</c:v>
                </c:pt>
                <c:pt idx="19">
                  <c:v>105.96666666666665</c:v>
                </c:pt>
                <c:pt idx="20">
                  <c:v>112.23333333333333</c:v>
                </c:pt>
                <c:pt idx="21">
                  <c:v>118.03333333333335</c:v>
                </c:pt>
                <c:pt idx="22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D-451B-9010-0E9EAA65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01647"/>
        <c:axId val="20806008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Medición 1 minuto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9.4304070936374711E-3"/>
                        <c:y val="0.3187470904881654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Hoja1!$B$6:$B$28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11</c:v>
                      </c:pt>
                      <c:pt idx="21">
                        <c:v>11.5</c:v>
                      </c:pt>
                      <c:pt idx="2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Hoja1!$J$6:$J$28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20.8</c:v>
                      </c:pt>
                      <c:pt idx="1">
                        <c:v>21.8</c:v>
                      </c:pt>
                      <c:pt idx="2">
                        <c:v>22.3</c:v>
                      </c:pt>
                      <c:pt idx="3">
                        <c:v>24.766666666666669</c:v>
                      </c:pt>
                      <c:pt idx="4">
                        <c:v>26.666666666666668</c:v>
                      </c:pt>
                      <c:pt idx="5">
                        <c:v>28.700000000000003</c:v>
                      </c:pt>
                      <c:pt idx="6">
                        <c:v>32.43333333333333</c:v>
                      </c:pt>
                      <c:pt idx="7">
                        <c:v>36.300000000000004</c:v>
                      </c:pt>
                      <c:pt idx="8">
                        <c:v>39.933333333333337</c:v>
                      </c:pt>
                      <c:pt idx="9">
                        <c:v>44.9</c:v>
                      </c:pt>
                      <c:pt idx="10">
                        <c:v>47.79999999999999</c:v>
                      </c:pt>
                      <c:pt idx="11">
                        <c:v>55.6</c:v>
                      </c:pt>
                      <c:pt idx="12">
                        <c:v>59.966666666666661</c:v>
                      </c:pt>
                      <c:pt idx="13">
                        <c:v>64.766666666666666</c:v>
                      </c:pt>
                      <c:pt idx="14">
                        <c:v>74.433333333333337</c:v>
                      </c:pt>
                      <c:pt idx="15">
                        <c:v>79</c:v>
                      </c:pt>
                      <c:pt idx="16">
                        <c:v>90.666666666666671</c:v>
                      </c:pt>
                      <c:pt idx="17">
                        <c:v>95.066666666666663</c:v>
                      </c:pt>
                      <c:pt idx="18">
                        <c:v>97.433333333333337</c:v>
                      </c:pt>
                      <c:pt idx="19">
                        <c:v>101.83333333333333</c:v>
                      </c:pt>
                      <c:pt idx="20">
                        <c:v>106.56666666666666</c:v>
                      </c:pt>
                      <c:pt idx="21">
                        <c:v>110.43333333333332</c:v>
                      </c:pt>
                      <c:pt idx="22">
                        <c:v>116.3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D5D-451B-9010-0E9EAA651F1E}"/>
                  </c:ext>
                </c:extLst>
              </c15:ser>
            </c15:filteredScatterSeries>
          </c:ext>
        </c:extLst>
      </c:scatterChart>
      <c:valAx>
        <c:axId val="2080601647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0815"/>
        <c:crosses val="autoZero"/>
        <c:crossBetween val="midCat"/>
        <c:majorUnit val="1"/>
      </c:valAx>
      <c:valAx>
        <c:axId val="20806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5790863586155"/>
          <c:y val="0.86660748194180715"/>
          <c:w val="0.61141816202328692"/>
          <c:h val="0.1047059898369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Caracterización Temperatura: Cámara térmica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934781297367954E-2"/>
          <c:y val="8.9237312195585769E-2"/>
          <c:w val="0.91361350192770496"/>
          <c:h val="0.77384374485249507"/>
        </c:manualLayout>
      </c:layout>
      <c:scatterChart>
        <c:scatterStyle val="lineMarker"/>
        <c:varyColors val="0"/>
        <c:ser>
          <c:idx val="0"/>
          <c:order val="1"/>
          <c:tx>
            <c:strRef>
              <c:f>Hoja2!$M$5</c:f>
              <c:strCache>
                <c:ptCount val="1"/>
                <c:pt idx="0">
                  <c:v>1m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6747930695344371E-2"/>
                  <c:y val="0.21894947232721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Hoja2!$N$29</c:f>
                <c:numCache>
                  <c:formatCode>General</c:formatCode>
                  <c:ptCount val="1"/>
                  <c:pt idx="0">
                    <c:v>0.83777777777777851</c:v>
                  </c:pt>
                </c:numCache>
                <c:extLst xmlns:c15="http://schemas.microsoft.com/office/drawing/2012/chart"/>
              </c:numRef>
            </c:plus>
            <c:minus>
              <c:numRef>
                <c:f>Hoja2!$O$29</c:f>
                <c:numCache>
                  <c:formatCode>General</c:formatCode>
                  <c:ptCount val="1"/>
                  <c:pt idx="0">
                    <c:v>0.82961352657004728</c:v>
                  </c:pt>
                </c:numCache>
                <c:extLst xmlns:c15="http://schemas.microsoft.com/office/drawing/2012/chart"/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Hoja2!$E$6:$E$28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Hoja2!$M$6:$M$28</c:f>
              <c:numCache>
                <c:formatCode>General</c:formatCode>
                <c:ptCount val="23"/>
                <c:pt idx="0">
                  <c:v>24.622222222222224</c:v>
                </c:pt>
                <c:pt idx="1">
                  <c:v>26.944444444444446</c:v>
                </c:pt>
                <c:pt idx="2">
                  <c:v>27.702222222222222</c:v>
                </c:pt>
                <c:pt idx="3">
                  <c:v>29.864444444444445</c:v>
                </c:pt>
                <c:pt idx="4">
                  <c:v>31.39</c:v>
                </c:pt>
                <c:pt idx="5">
                  <c:v>34.466666666666669</c:v>
                </c:pt>
                <c:pt idx="6">
                  <c:v>38.124444444444443</c:v>
                </c:pt>
                <c:pt idx="7">
                  <c:v>40.869999999999997</c:v>
                </c:pt>
                <c:pt idx="8">
                  <c:v>44.079999999999991</c:v>
                </c:pt>
                <c:pt idx="9">
                  <c:v>45.974444444444451</c:v>
                </c:pt>
                <c:pt idx="10">
                  <c:v>50.972222222222221</c:v>
                </c:pt>
                <c:pt idx="11">
                  <c:v>52.723333333333336</c:v>
                </c:pt>
                <c:pt idx="12">
                  <c:v>58.372222222222227</c:v>
                </c:pt>
                <c:pt idx="13">
                  <c:v>60.698888888888895</c:v>
                </c:pt>
                <c:pt idx="14">
                  <c:v>64.421111111111102</c:v>
                </c:pt>
                <c:pt idx="15">
                  <c:v>70.316666666666663</c:v>
                </c:pt>
                <c:pt idx="16">
                  <c:v>72.65666666666668</c:v>
                </c:pt>
                <c:pt idx="17">
                  <c:v>75.667777777777772</c:v>
                </c:pt>
                <c:pt idx="18">
                  <c:v>80.937777777777782</c:v>
                </c:pt>
                <c:pt idx="19">
                  <c:v>84.425555555555547</c:v>
                </c:pt>
                <c:pt idx="20">
                  <c:v>89.657777777777781</c:v>
                </c:pt>
                <c:pt idx="21">
                  <c:v>98.798888888888897</c:v>
                </c:pt>
                <c:pt idx="22">
                  <c:v>103.21999999999998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12F9-4E3D-A12A-2D49659740BF}"/>
            </c:ext>
          </c:extLst>
        </c:ser>
        <c:ser>
          <c:idx val="1"/>
          <c:order val="2"/>
          <c:tx>
            <c:strRef>
              <c:f>Hoja2!$R$5</c:f>
              <c:strCache>
                <c:ptCount val="1"/>
                <c:pt idx="0">
                  <c:v>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198686733153188E-2"/>
                  <c:y val="-6.5931663411692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Hoja2!$S$29</c:f>
                <c:numCache>
                  <c:formatCode>General</c:formatCode>
                  <c:ptCount val="1"/>
                  <c:pt idx="0">
                    <c:v>0.81323671497584527</c:v>
                  </c:pt>
                </c:numCache>
              </c:numRef>
            </c:plus>
            <c:minus>
              <c:numRef>
                <c:f>Hoja2!$T$29</c:f>
                <c:numCache>
                  <c:formatCode>General</c:formatCode>
                  <c:ptCount val="1"/>
                  <c:pt idx="0">
                    <c:v>0.77763285024154849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Hoja2!$E$6:$E$28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Hoja2!$R$6:$R$28</c:f>
              <c:numCache>
                <c:formatCode>General</c:formatCode>
                <c:ptCount val="23"/>
                <c:pt idx="0">
                  <c:v>25.386666666666667</c:v>
                </c:pt>
                <c:pt idx="1">
                  <c:v>27.962222222222223</c:v>
                </c:pt>
                <c:pt idx="2">
                  <c:v>29.112222222222218</c:v>
                </c:pt>
                <c:pt idx="3">
                  <c:v>31.835555555555555</c:v>
                </c:pt>
                <c:pt idx="4">
                  <c:v>33.698888888888888</c:v>
                </c:pt>
                <c:pt idx="5">
                  <c:v>38.090000000000003</c:v>
                </c:pt>
                <c:pt idx="6">
                  <c:v>42.017777777777781</c:v>
                </c:pt>
                <c:pt idx="7">
                  <c:v>44.400000000000006</c:v>
                </c:pt>
                <c:pt idx="8">
                  <c:v>47.393333333333338</c:v>
                </c:pt>
                <c:pt idx="9">
                  <c:v>51.834444444444443</c:v>
                </c:pt>
                <c:pt idx="10">
                  <c:v>56.703333333333326</c:v>
                </c:pt>
                <c:pt idx="11">
                  <c:v>59.017777777777781</c:v>
                </c:pt>
                <c:pt idx="12">
                  <c:v>63.257777777777783</c:v>
                </c:pt>
                <c:pt idx="13">
                  <c:v>69.498888888888885</c:v>
                </c:pt>
                <c:pt idx="14">
                  <c:v>71.775555555555556</c:v>
                </c:pt>
                <c:pt idx="15">
                  <c:v>77.853333333333339</c:v>
                </c:pt>
                <c:pt idx="16">
                  <c:v>81.822222222222223</c:v>
                </c:pt>
                <c:pt idx="17">
                  <c:v>85.876666666666665</c:v>
                </c:pt>
                <c:pt idx="18">
                  <c:v>90.62555555555555</c:v>
                </c:pt>
                <c:pt idx="19">
                  <c:v>95.835555555555558</c:v>
                </c:pt>
                <c:pt idx="20">
                  <c:v>99.734444444444463</c:v>
                </c:pt>
                <c:pt idx="21">
                  <c:v>107.17666666666666</c:v>
                </c:pt>
                <c:pt idx="22">
                  <c:v>121.00666666666667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9-4E3D-A12A-2D496597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83327"/>
        <c:axId val="4678845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Hoja2!$M$5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Hoja2!$N$29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0.83777777777777851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Hoja2!$O$29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0.82961352657004728</c:v>
                        </c:pt>
                      </c:numCache>
                    </c:numRef>
                  </c:minus>
                </c:errBars>
                <c:xVal>
                  <c:numRef>
                    <c:extLst>
                      <c:ext uri="{02D57815-91ED-43cb-92C2-25804820EDAC}">
                        <c15:formulaRef>
                          <c15:sqref>Hoja2!$E$6:$E$28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  <c:pt idx="11">
                        <c:v>6.5</c:v>
                      </c:pt>
                      <c:pt idx="12">
                        <c:v>7</c:v>
                      </c:pt>
                      <c:pt idx="13">
                        <c:v>7.5</c:v>
                      </c:pt>
                      <c:pt idx="14">
                        <c:v>8</c:v>
                      </c:pt>
                      <c:pt idx="15">
                        <c:v>8.5</c:v>
                      </c:pt>
                      <c:pt idx="16">
                        <c:v>9</c:v>
                      </c:pt>
                      <c:pt idx="17">
                        <c:v>9.5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11</c:v>
                      </c:pt>
                      <c:pt idx="21">
                        <c:v>11.5</c:v>
                      </c:pt>
                      <c:pt idx="2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Hoja2!$M$6:$M$28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24.622222222222224</c:v>
                      </c:pt>
                      <c:pt idx="1">
                        <c:v>26.944444444444446</c:v>
                      </c:pt>
                      <c:pt idx="2">
                        <c:v>27.702222222222222</c:v>
                      </c:pt>
                      <c:pt idx="3">
                        <c:v>29.864444444444445</c:v>
                      </c:pt>
                      <c:pt idx="4">
                        <c:v>31.39</c:v>
                      </c:pt>
                      <c:pt idx="5">
                        <c:v>34.466666666666669</c:v>
                      </c:pt>
                      <c:pt idx="6">
                        <c:v>38.124444444444443</c:v>
                      </c:pt>
                      <c:pt idx="7">
                        <c:v>40.869999999999997</c:v>
                      </c:pt>
                      <c:pt idx="8">
                        <c:v>44.079999999999991</c:v>
                      </c:pt>
                      <c:pt idx="9">
                        <c:v>45.974444444444451</c:v>
                      </c:pt>
                      <c:pt idx="10">
                        <c:v>50.972222222222221</c:v>
                      </c:pt>
                      <c:pt idx="11">
                        <c:v>52.723333333333336</c:v>
                      </c:pt>
                      <c:pt idx="12">
                        <c:v>58.372222222222227</c:v>
                      </c:pt>
                      <c:pt idx="13">
                        <c:v>60.698888888888895</c:v>
                      </c:pt>
                      <c:pt idx="14">
                        <c:v>64.421111111111102</c:v>
                      </c:pt>
                      <c:pt idx="15">
                        <c:v>70.316666666666663</c:v>
                      </c:pt>
                      <c:pt idx="16">
                        <c:v>72.65666666666668</c:v>
                      </c:pt>
                      <c:pt idx="17">
                        <c:v>75.667777777777772</c:v>
                      </c:pt>
                      <c:pt idx="18">
                        <c:v>80.937777777777782</c:v>
                      </c:pt>
                      <c:pt idx="19">
                        <c:v>84.425555555555547</c:v>
                      </c:pt>
                      <c:pt idx="20">
                        <c:v>89.657777777777781</c:v>
                      </c:pt>
                      <c:pt idx="21">
                        <c:v>98.798888888888897</c:v>
                      </c:pt>
                      <c:pt idx="22">
                        <c:v>103.21999999999998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2F9-4E3D-A12A-2D49659740BF}"/>
                  </c:ext>
                </c:extLst>
              </c15:ser>
            </c15:filteredScatterSeries>
          </c:ext>
        </c:extLst>
      </c:scatterChart>
      <c:valAx>
        <c:axId val="467883327"/>
        <c:scaling>
          <c:orientation val="minMax"/>
          <c:max val="12.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Voltaje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84575"/>
        <c:crosses val="autoZero"/>
        <c:crossBetween val="midCat"/>
      </c:valAx>
      <c:valAx>
        <c:axId val="4678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Temperatura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83327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1269899333377027"/>
          <c:y val="0.92679829548117709"/>
          <c:w val="0.35015197669313858"/>
          <c:h val="7.2987769193581006E-2"/>
        </c:manualLayout>
      </c:layout>
      <c:overlay val="0"/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Hoja2!$J$48</c:f>
              <c:strCache>
                <c:ptCount val="1"/>
                <c:pt idx="0">
                  <c:v>Infrared thermometer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Hoja2!$M$62</c:f>
                <c:numCache>
                  <c:formatCode>General</c:formatCode>
                  <c:ptCount val="1"/>
                  <c:pt idx="0">
                    <c:v>1.5120512820512828</c:v>
                  </c:pt>
                </c:numCache>
              </c:numRef>
            </c:plus>
            <c:minus>
              <c:numRef>
                <c:f>Hoja2!$N$62</c:f>
                <c:numCache>
                  <c:formatCode>General</c:formatCode>
                  <c:ptCount val="1"/>
                  <c:pt idx="0">
                    <c:v>1.472564102564103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Hoja2!$E$49:$E$61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Hoja2!$L$49:$L$61</c:f>
              <c:numCache>
                <c:formatCode>General</c:formatCode>
                <c:ptCount val="13"/>
                <c:pt idx="0">
                  <c:v>22.8</c:v>
                </c:pt>
                <c:pt idx="1">
                  <c:v>78.966666666666669</c:v>
                </c:pt>
                <c:pt idx="2">
                  <c:v>105.86666666666667</c:v>
                </c:pt>
                <c:pt idx="3">
                  <c:v>114.60000000000001</c:v>
                </c:pt>
                <c:pt idx="4">
                  <c:v>122.50999999999999</c:v>
                </c:pt>
                <c:pt idx="5">
                  <c:v>126</c:v>
                </c:pt>
                <c:pt idx="6">
                  <c:v>126.53333333333335</c:v>
                </c:pt>
                <c:pt idx="7">
                  <c:v>128.16666666666666</c:v>
                </c:pt>
                <c:pt idx="8">
                  <c:v>129.9</c:v>
                </c:pt>
                <c:pt idx="9">
                  <c:v>129.16666666666666</c:v>
                </c:pt>
                <c:pt idx="10">
                  <c:v>129.66666666666666</c:v>
                </c:pt>
                <c:pt idx="11">
                  <c:v>131.4</c:v>
                </c:pt>
                <c:pt idx="12">
                  <c:v>131.16666666666666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73-4449-85C1-55B281177569}"/>
            </c:ext>
          </c:extLst>
        </c:ser>
        <c:ser>
          <c:idx val="1"/>
          <c:order val="1"/>
          <c:tx>
            <c:strRef>
              <c:f>Hoja2!$K$48</c:f>
              <c:strCache>
                <c:ptCount val="1"/>
                <c:pt idx="0">
                  <c:v>Thermal camera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Hoja2!$T$62</c:f>
                <c:numCache>
                  <c:formatCode>General</c:formatCode>
                  <c:ptCount val="1"/>
                  <c:pt idx="0">
                    <c:v>0.81128205128205155</c:v>
                  </c:pt>
                </c:numCache>
              </c:numRef>
            </c:plus>
            <c:minus>
              <c:numRef>
                <c:f>Hoja2!$U$62</c:f>
                <c:numCache>
                  <c:formatCode>General</c:formatCode>
                  <c:ptCount val="1"/>
                  <c:pt idx="0">
                    <c:v>1.0602564102564107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Hoja2!$E$49:$E$61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Hoja2!$S$49:$S$61</c:f>
              <c:numCache>
                <c:formatCode>General</c:formatCode>
                <c:ptCount val="13"/>
                <c:pt idx="0">
                  <c:v>24.27</c:v>
                </c:pt>
                <c:pt idx="1">
                  <c:v>79.77</c:v>
                </c:pt>
                <c:pt idx="2">
                  <c:v>104.03333333333335</c:v>
                </c:pt>
                <c:pt idx="3">
                  <c:v>114.58333333333333</c:v>
                </c:pt>
                <c:pt idx="4">
                  <c:v>121.22333333333334</c:v>
                </c:pt>
                <c:pt idx="5">
                  <c:v>124.88999999999999</c:v>
                </c:pt>
                <c:pt idx="6">
                  <c:v>126.08999999999999</c:v>
                </c:pt>
                <c:pt idx="7">
                  <c:v>126.04</c:v>
                </c:pt>
                <c:pt idx="8">
                  <c:v>127.13999999999999</c:v>
                </c:pt>
                <c:pt idx="9">
                  <c:v>126.61666666666666</c:v>
                </c:pt>
                <c:pt idx="10">
                  <c:v>127.12333333333333</c:v>
                </c:pt>
                <c:pt idx="11">
                  <c:v>127.23666666666668</c:v>
                </c:pt>
                <c:pt idx="12">
                  <c:v>126.92666666666666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73-4449-85C1-55B28117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35632"/>
        <c:axId val="1795036576"/>
      </c:scatterChart>
      <c:valAx>
        <c:axId val="1800735632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36576"/>
        <c:crosses val="autoZero"/>
        <c:crossBetween val="midCat"/>
      </c:valAx>
      <c:valAx>
        <c:axId val="1795036576"/>
        <c:scaling>
          <c:orientation val="minMax"/>
          <c:max val="1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s-CO" sz="1600" b="1"/>
              <a:t>Mesh Convergence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3681370345112E-2"/>
          <c:y val="6.440982772527902E-2"/>
          <c:w val="0.92788794515144868"/>
          <c:h val="0.857155912710253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Hoja2!$I$71:$I$78</c:f>
              <c:numCache>
                <c:formatCode>General</c:formatCode>
                <c:ptCount val="8"/>
                <c:pt idx="0">
                  <c:v>2868</c:v>
                </c:pt>
                <c:pt idx="1">
                  <c:v>4811</c:v>
                </c:pt>
                <c:pt idx="2">
                  <c:v>5742</c:v>
                </c:pt>
                <c:pt idx="3">
                  <c:v>8853</c:v>
                </c:pt>
                <c:pt idx="4">
                  <c:v>18214</c:v>
                </c:pt>
                <c:pt idx="5">
                  <c:v>37382</c:v>
                </c:pt>
                <c:pt idx="6">
                  <c:v>53170</c:v>
                </c:pt>
                <c:pt idx="7">
                  <c:v>126989</c:v>
                </c:pt>
              </c:numCache>
            </c:numRef>
          </c:xVal>
          <c:yVal>
            <c:numRef>
              <c:f>Hoja2!$J$71:$J$78</c:f>
              <c:numCache>
                <c:formatCode>General</c:formatCode>
                <c:ptCount val="8"/>
                <c:pt idx="0">
                  <c:v>89.63</c:v>
                </c:pt>
                <c:pt idx="1">
                  <c:v>84.9</c:v>
                </c:pt>
                <c:pt idx="2">
                  <c:v>84.6</c:v>
                </c:pt>
                <c:pt idx="3">
                  <c:v>84.31</c:v>
                </c:pt>
                <c:pt idx="4">
                  <c:v>84.26</c:v>
                </c:pt>
                <c:pt idx="5">
                  <c:v>84.2</c:v>
                </c:pt>
                <c:pt idx="6">
                  <c:v>84.18</c:v>
                </c:pt>
                <c:pt idx="7">
                  <c:v>84.15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A-45F8-B5F3-B616FA2A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52639"/>
        <c:axId val="817253055"/>
      </c:scatterChart>
      <c:valAx>
        <c:axId val="817252639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CO"/>
                  <a:t>N.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817253055"/>
        <c:crosses val="autoZero"/>
        <c:crossBetween val="midCat"/>
      </c:valAx>
      <c:valAx>
        <c:axId val="8172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CO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8172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s-CO" b="1"/>
              <a:t>Simulations vs Characterizations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Infrared Thermometer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Hoja3!$C$29</c:f>
                <c:numCache>
                  <c:formatCode>General</c:formatCode>
                  <c:ptCount val="1"/>
                  <c:pt idx="0">
                    <c:v>1.7507246376811587</c:v>
                  </c:pt>
                </c:numCache>
              </c:numRef>
            </c:plus>
            <c:minus>
              <c:numRef>
                <c:f>Hoja3!$D$29</c:f>
                <c:numCache>
                  <c:formatCode>General</c:formatCode>
                  <c:ptCount val="1"/>
                  <c:pt idx="0">
                    <c:v>1.8318840579710147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Hoja3!$A$6:$A$28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Hoja3!$B$6:$B$28</c:f>
              <c:numCache>
                <c:formatCode>General</c:formatCode>
                <c:ptCount val="23"/>
                <c:pt idx="0">
                  <c:v>21.466666666666669</c:v>
                </c:pt>
                <c:pt idx="1">
                  <c:v>22.366666666666664</c:v>
                </c:pt>
                <c:pt idx="2">
                  <c:v>23.366666666666664</c:v>
                </c:pt>
                <c:pt idx="3">
                  <c:v>26.3</c:v>
                </c:pt>
                <c:pt idx="4">
                  <c:v>28.666666666666668</c:v>
                </c:pt>
                <c:pt idx="5">
                  <c:v>32</c:v>
                </c:pt>
                <c:pt idx="6">
                  <c:v>36.033333333333339</c:v>
                </c:pt>
                <c:pt idx="7">
                  <c:v>39.333333333333336</c:v>
                </c:pt>
                <c:pt idx="8">
                  <c:v>43.366666666666667</c:v>
                </c:pt>
                <c:pt idx="9">
                  <c:v>48.466666666666669</c:v>
                </c:pt>
                <c:pt idx="10">
                  <c:v>56.800000000000004</c:v>
                </c:pt>
                <c:pt idx="11">
                  <c:v>62.033333333333339</c:v>
                </c:pt>
                <c:pt idx="12">
                  <c:v>65.7</c:v>
                </c:pt>
                <c:pt idx="13">
                  <c:v>70.966666666666654</c:v>
                </c:pt>
                <c:pt idx="14">
                  <c:v>79.8</c:v>
                </c:pt>
                <c:pt idx="15">
                  <c:v>86</c:v>
                </c:pt>
                <c:pt idx="16">
                  <c:v>94.100000000000009</c:v>
                </c:pt>
                <c:pt idx="17">
                  <c:v>97.733333333333334</c:v>
                </c:pt>
                <c:pt idx="18">
                  <c:v>101</c:v>
                </c:pt>
                <c:pt idx="19">
                  <c:v>105.96666666666665</c:v>
                </c:pt>
                <c:pt idx="20">
                  <c:v>112.23333333333333</c:v>
                </c:pt>
                <c:pt idx="21">
                  <c:v>118.03333333333335</c:v>
                </c:pt>
                <c:pt idx="22">
                  <c:v>122.3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E-4CC1-8DD7-5A22FC58B59C}"/>
            </c:ext>
          </c:extLst>
        </c:ser>
        <c:ser>
          <c:idx val="1"/>
          <c:order val="1"/>
          <c:tx>
            <c:v>Thermal camera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Hoja3!$G$29</c:f>
                <c:numCache>
                  <c:formatCode>General</c:formatCode>
                  <c:ptCount val="1"/>
                  <c:pt idx="0">
                    <c:v>0.81323671497584527</c:v>
                  </c:pt>
                </c:numCache>
              </c:numRef>
            </c:plus>
            <c:minus>
              <c:numRef>
                <c:f>Hoja3!$H$29</c:f>
                <c:numCache>
                  <c:formatCode>General</c:formatCode>
                  <c:ptCount val="1"/>
                  <c:pt idx="0">
                    <c:v>0.77763285024154849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Hoja3!$A$6:$A$28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Hoja3!$F$6:$F$28</c:f>
              <c:numCache>
                <c:formatCode>General</c:formatCode>
                <c:ptCount val="23"/>
                <c:pt idx="0">
                  <c:v>25.386666666666667</c:v>
                </c:pt>
                <c:pt idx="1">
                  <c:v>27.962222222222223</c:v>
                </c:pt>
                <c:pt idx="2">
                  <c:v>29.112222222222218</c:v>
                </c:pt>
                <c:pt idx="3">
                  <c:v>31.835555555555555</c:v>
                </c:pt>
                <c:pt idx="4">
                  <c:v>33.698888888888888</c:v>
                </c:pt>
                <c:pt idx="5">
                  <c:v>38.090000000000003</c:v>
                </c:pt>
                <c:pt idx="6">
                  <c:v>42.017777777777781</c:v>
                </c:pt>
                <c:pt idx="7">
                  <c:v>44.400000000000006</c:v>
                </c:pt>
                <c:pt idx="8">
                  <c:v>47.393333333333338</c:v>
                </c:pt>
                <c:pt idx="9">
                  <c:v>51.834444444444443</c:v>
                </c:pt>
                <c:pt idx="10">
                  <c:v>56.703333333333326</c:v>
                </c:pt>
                <c:pt idx="11">
                  <c:v>59.017777777777781</c:v>
                </c:pt>
                <c:pt idx="12">
                  <c:v>63.257777777777783</c:v>
                </c:pt>
                <c:pt idx="13">
                  <c:v>69.498888888888885</c:v>
                </c:pt>
                <c:pt idx="14">
                  <c:v>71.775555555555556</c:v>
                </c:pt>
                <c:pt idx="15">
                  <c:v>77.853333333333339</c:v>
                </c:pt>
                <c:pt idx="16">
                  <c:v>81.822222222222223</c:v>
                </c:pt>
                <c:pt idx="17">
                  <c:v>85.876666666666665</c:v>
                </c:pt>
                <c:pt idx="18">
                  <c:v>90.62555555555555</c:v>
                </c:pt>
                <c:pt idx="19">
                  <c:v>95.835555555555558</c:v>
                </c:pt>
                <c:pt idx="20">
                  <c:v>99.734444444444463</c:v>
                </c:pt>
                <c:pt idx="21">
                  <c:v>107.17666666666666</c:v>
                </c:pt>
                <c:pt idx="22">
                  <c:v>121.00666666666667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BE-4CC1-8DD7-5A22FC58B59C}"/>
            </c:ext>
          </c:extLst>
        </c:ser>
        <c:ser>
          <c:idx val="2"/>
          <c:order val="2"/>
          <c:tx>
            <c:v>Simulation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(Hoja3!$I$8,Hoja3!$I$14,Hoja3!$I$18,Hoja3!$I$24,Hoja3!$I$28)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(Hoja3!$J$8,Hoja3!$J$14,Hoja3!$J$18,Hoja3!$J$24,Hoja3!$J$28)</c:f>
              <c:numCache>
                <c:formatCode>General</c:formatCode>
                <c:ptCount val="5"/>
                <c:pt idx="0">
                  <c:v>22.8</c:v>
                </c:pt>
                <c:pt idx="1">
                  <c:v>37.4</c:v>
                </c:pt>
                <c:pt idx="2">
                  <c:v>54</c:v>
                </c:pt>
                <c:pt idx="3">
                  <c:v>89.4</c:v>
                </c:pt>
                <c:pt idx="4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BE-4CC1-8DD7-5A22FC58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97007"/>
        <c:axId val="739490767"/>
      </c:scatterChart>
      <c:valAx>
        <c:axId val="739497007"/>
        <c:scaling>
          <c:orientation val="minMax"/>
          <c:max val="1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CO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739490767"/>
        <c:crosses val="autoZero"/>
        <c:crossBetween val="midCat"/>
      </c:valAx>
      <c:valAx>
        <c:axId val="73949076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CO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73949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46567</xdr:colOff>
      <xdr:row>1</xdr:row>
      <xdr:rowOff>76200</xdr:rowOff>
    </xdr:from>
    <xdr:to>
      <xdr:col>37</xdr:col>
      <xdr:colOff>273051</xdr:colOff>
      <xdr:row>31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E21358-245C-BC91-35EC-FFA65A9B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34</xdr:col>
      <xdr:colOff>101600</xdr:colOff>
      <xdr:row>59</xdr:row>
      <xdr:rowOff>38103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BBD75-1310-4C52-8E57-ACC005316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377841</xdr:colOff>
      <xdr:row>1</xdr:row>
      <xdr:rowOff>93351</xdr:rowOff>
    </xdr:from>
    <xdr:to>
      <xdr:col>43</xdr:col>
      <xdr:colOff>441529</xdr:colOff>
      <xdr:row>33</xdr:row>
      <xdr:rowOff>167764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9A407E-DA97-1E47-8DDB-D81266DBC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89152</xdr:colOff>
      <xdr:row>37</xdr:row>
      <xdr:rowOff>28752</xdr:rowOff>
    </xdr:from>
    <xdr:to>
      <xdr:col>45</xdr:col>
      <xdr:colOff>668593</xdr:colOff>
      <xdr:row>64</xdr:row>
      <xdr:rowOff>83574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8A47C-78AD-37EE-AB4A-548D278C69FF}"/>
            </a:ext>
            <a:ext uri="{147F2762-F138-4A5C-976F-8EAC2B608ADB}">
              <a16:predDERef xmlns:a16="http://schemas.microsoft.com/office/drawing/2014/main" pred="{1A9A407E-DA97-1E47-8DDB-D81266DBC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393290</xdr:colOff>
      <xdr:row>68</xdr:row>
      <xdr:rowOff>12290</xdr:rowOff>
    </xdr:from>
    <xdr:to>
      <xdr:col>28</xdr:col>
      <xdr:colOff>417871</xdr:colOff>
      <xdr:row>109</xdr:row>
      <xdr:rowOff>135194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8C9E8F-71B7-5774-FF7D-0A099E35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94163</xdr:colOff>
      <xdr:row>3</xdr:row>
      <xdr:rowOff>171178</xdr:rowOff>
    </xdr:from>
    <xdr:to>
      <xdr:col>19</xdr:col>
      <xdr:colOff>419100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D8A707-E798-5D04-B70F-1794F343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6"/>
  <sheetViews>
    <sheetView topLeftCell="A14" zoomScale="99" zoomScaleNormal="99" workbookViewId="0">
      <selection activeCell="O33" sqref="O33"/>
    </sheetView>
  </sheetViews>
  <sheetFormatPr defaultColWidth="8.85546875" defaultRowHeight="14.45"/>
  <cols>
    <col min="2" max="2" width="17" bestFit="1" customWidth="1"/>
    <col min="14" max="14" width="9.28515625" bestFit="1" customWidth="1"/>
  </cols>
  <sheetData>
    <row r="2" spans="2:19">
      <c r="D2" t="s">
        <v>0</v>
      </c>
    </row>
    <row r="3" spans="2:19">
      <c r="J3" t="s">
        <v>1</v>
      </c>
    </row>
    <row r="4" spans="2:19">
      <c r="C4" s="16" t="s">
        <v>2</v>
      </c>
      <c r="D4" s="16"/>
      <c r="E4" s="16"/>
      <c r="F4" s="17"/>
      <c r="G4" s="16"/>
      <c r="H4" s="16"/>
    </row>
    <row r="5" spans="2:19">
      <c r="B5" s="1" t="s">
        <v>3</v>
      </c>
      <c r="C5" s="2" t="s">
        <v>4</v>
      </c>
      <c r="D5" s="1" t="s">
        <v>5</v>
      </c>
      <c r="E5" s="1" t="s">
        <v>4</v>
      </c>
      <c r="F5" s="3" t="s">
        <v>5</v>
      </c>
      <c r="G5" s="1" t="s">
        <v>4</v>
      </c>
      <c r="H5" s="1" t="s">
        <v>5</v>
      </c>
      <c r="J5" s="3" t="s">
        <v>4</v>
      </c>
      <c r="K5" s="4" t="s">
        <v>6</v>
      </c>
      <c r="L5" s="4" t="s">
        <v>7</v>
      </c>
      <c r="O5" s="4" t="s">
        <v>8</v>
      </c>
      <c r="P5" s="4" t="s">
        <v>6</v>
      </c>
      <c r="Q5" s="4" t="s">
        <v>7</v>
      </c>
    </row>
    <row r="6" spans="2:19">
      <c r="B6" s="1">
        <v>1</v>
      </c>
      <c r="C6" s="2">
        <v>21.1</v>
      </c>
      <c r="D6" s="1">
        <v>22</v>
      </c>
      <c r="E6" s="1">
        <v>20.7</v>
      </c>
      <c r="F6" s="3">
        <v>20.6</v>
      </c>
      <c r="G6" s="1">
        <v>20.6</v>
      </c>
      <c r="H6" s="1">
        <v>21.8</v>
      </c>
      <c r="J6" s="3">
        <f t="shared" ref="J6:J28" si="0">+AVERAGE(C6,E6,G6)</f>
        <v>20.8</v>
      </c>
      <c r="K6" s="4">
        <f>+MAX(C6,E6,G6)-J6</f>
        <v>0.30000000000000071</v>
      </c>
      <c r="L6" s="4">
        <f>J6-MIN(C6,E6,G6)</f>
        <v>0.19999999999999929</v>
      </c>
      <c r="M6" s="19">
        <f>+K6/J6</f>
        <v>1.4423076923076957E-2</v>
      </c>
      <c r="N6" s="19">
        <f t="shared" ref="N6:N27" si="1">+L6/J6</f>
        <v>9.6153846153845812E-3</v>
      </c>
      <c r="O6" s="4">
        <f>+AVERAGE(D6,F6,H6)</f>
        <v>21.466666666666669</v>
      </c>
      <c r="P6" s="18">
        <f>+MAX(D6,F6,H6)-O6</f>
        <v>0.53333333333333144</v>
      </c>
      <c r="Q6" s="18">
        <f>O6-MIN(D6,F6,H6)</f>
        <v>0.86666666666666714</v>
      </c>
      <c r="R6" s="19">
        <f>+P6/O6</f>
        <v>2.4844720496894318E-2</v>
      </c>
      <c r="S6" s="19">
        <f>+Q6/O6</f>
        <v>4.0372670807453437E-2</v>
      </c>
    </row>
    <row r="7" spans="2:19">
      <c r="B7" s="1">
        <v>1.5</v>
      </c>
      <c r="C7" s="2">
        <v>21.7</v>
      </c>
      <c r="D7" s="1">
        <v>22.1</v>
      </c>
      <c r="E7" s="1">
        <v>21.7</v>
      </c>
      <c r="F7" s="3">
        <v>22.2</v>
      </c>
      <c r="G7" s="1">
        <v>22</v>
      </c>
      <c r="H7" s="1">
        <v>22.8</v>
      </c>
      <c r="J7" s="3">
        <f t="shared" si="0"/>
        <v>21.8</v>
      </c>
      <c r="K7" s="4">
        <f t="shared" ref="K7:K27" si="2">+MAX(C7,E7,G7)-J7</f>
        <v>0.19999999999999929</v>
      </c>
      <c r="L7" s="4">
        <f t="shared" ref="L7:L28" si="3">J7-MIN(C7,E7,G7)</f>
        <v>0.10000000000000142</v>
      </c>
      <c r="M7" s="19">
        <f t="shared" ref="M7:M27" si="4">+K7/J7</f>
        <v>9.1743119266054721E-3</v>
      </c>
      <c r="N7" s="19">
        <f t="shared" si="1"/>
        <v>4.5871559633028176E-3</v>
      </c>
      <c r="O7" s="4">
        <f>+AVERAGE(D7,F7,H7)</f>
        <v>22.366666666666664</v>
      </c>
      <c r="P7" s="18">
        <f>+MAX(D7,F7,H7)-O7</f>
        <v>0.43333333333333712</v>
      </c>
      <c r="Q7" s="18">
        <f>O7-MIN(D7,F7,H7)</f>
        <v>0.26666666666666217</v>
      </c>
      <c r="R7" s="19">
        <f t="shared" ref="R7:R28" si="5">+P7/O7</f>
        <v>1.9374068554396596E-2</v>
      </c>
      <c r="S7" s="19">
        <f t="shared" ref="S7:S28" si="6">+Q7/O7</f>
        <v>1.1922503725782215E-2</v>
      </c>
    </row>
    <row r="8" spans="2:19">
      <c r="B8" s="1">
        <v>2</v>
      </c>
      <c r="C8" s="2">
        <v>23</v>
      </c>
      <c r="D8" s="1">
        <v>23.5</v>
      </c>
      <c r="E8" s="1">
        <v>21.2</v>
      </c>
      <c r="F8" s="3">
        <v>22.6</v>
      </c>
      <c r="G8" s="1">
        <v>22.7</v>
      </c>
      <c r="H8" s="1">
        <v>24</v>
      </c>
      <c r="J8" s="3">
        <f t="shared" si="0"/>
        <v>22.3</v>
      </c>
      <c r="K8" s="4">
        <f t="shared" si="2"/>
        <v>0.69999999999999929</v>
      </c>
      <c r="L8" s="4">
        <f t="shared" si="3"/>
        <v>1.1000000000000014</v>
      </c>
      <c r="M8" s="19">
        <f t="shared" si="4"/>
        <v>3.1390134529147948E-2</v>
      </c>
      <c r="N8" s="19">
        <f t="shared" si="1"/>
        <v>4.9327354260089745E-2</v>
      </c>
      <c r="O8" s="4">
        <f>+AVERAGE(D8,F8,H8)</f>
        <v>23.366666666666664</v>
      </c>
      <c r="P8" s="18">
        <f>+MAX(D8,F8,H8)-O8</f>
        <v>0.63333333333333641</v>
      </c>
      <c r="Q8" s="18">
        <f>O8-MIN(D8,F8,H8)</f>
        <v>0.76666666666666217</v>
      </c>
      <c r="R8" s="19">
        <f t="shared" si="5"/>
        <v>2.7104136947218395E-2</v>
      </c>
      <c r="S8" s="19">
        <f t="shared" si="6"/>
        <v>3.2810271041369285E-2</v>
      </c>
    </row>
    <row r="9" spans="2:19">
      <c r="B9" s="1">
        <v>2.5</v>
      </c>
      <c r="C9" s="2">
        <v>24.7</v>
      </c>
      <c r="D9" s="1">
        <v>26.6</v>
      </c>
      <c r="E9" s="1">
        <v>24.5</v>
      </c>
      <c r="F9" s="3">
        <v>26.1</v>
      </c>
      <c r="G9" s="1">
        <v>25.1</v>
      </c>
      <c r="H9" s="1">
        <v>26.2</v>
      </c>
      <c r="J9" s="3">
        <f t="shared" si="0"/>
        <v>24.766666666666669</v>
      </c>
      <c r="K9" s="4">
        <f t="shared" si="2"/>
        <v>0.33333333333333215</v>
      </c>
      <c r="L9" s="4">
        <f t="shared" si="3"/>
        <v>0.26666666666666927</v>
      </c>
      <c r="M9" s="19">
        <f t="shared" si="4"/>
        <v>1.3458950201884205E-2</v>
      </c>
      <c r="N9" s="19">
        <f t="shared" si="1"/>
        <v>1.0767160161507507E-2</v>
      </c>
      <c r="O9" s="4">
        <f>+AVERAGE(D9,F9,H9)</f>
        <v>26.3</v>
      </c>
      <c r="P9" s="18">
        <f>+MAX(D9,F9,H9)-O9</f>
        <v>0.30000000000000071</v>
      </c>
      <c r="Q9" s="18">
        <f>O9-MIN(D9,F9,H9)</f>
        <v>0.19999999999999929</v>
      </c>
      <c r="R9" s="19">
        <f t="shared" si="5"/>
        <v>1.1406844106463905E-2</v>
      </c>
      <c r="S9" s="19">
        <f t="shared" si="6"/>
        <v>7.6045627376425586E-3</v>
      </c>
    </row>
    <row r="10" spans="2:19">
      <c r="B10" s="1">
        <v>3</v>
      </c>
      <c r="C10" s="2">
        <v>27</v>
      </c>
      <c r="D10" s="1">
        <v>29</v>
      </c>
      <c r="E10" s="1">
        <v>26.5</v>
      </c>
      <c r="F10" s="3">
        <v>27.5</v>
      </c>
      <c r="G10" s="1">
        <v>26.5</v>
      </c>
      <c r="H10" s="1">
        <v>29.5</v>
      </c>
      <c r="J10" s="3">
        <f t="shared" si="0"/>
        <v>26.666666666666668</v>
      </c>
      <c r="K10" s="4">
        <f t="shared" si="2"/>
        <v>0.33333333333333215</v>
      </c>
      <c r="L10" s="4">
        <f t="shared" si="3"/>
        <v>0.16666666666666785</v>
      </c>
      <c r="M10" s="19">
        <f t="shared" si="4"/>
        <v>1.2499999999999956E-2</v>
      </c>
      <c r="N10" s="19">
        <f t="shared" si="1"/>
        <v>6.2500000000000437E-3</v>
      </c>
      <c r="O10" s="4">
        <f>+AVERAGE(D10,F10,H10)</f>
        <v>28.666666666666668</v>
      </c>
      <c r="P10" s="18">
        <f>+MAX(D10,F10,H10)-O10</f>
        <v>0.83333333333333215</v>
      </c>
      <c r="Q10" s="18">
        <f>O10-MIN(D10,F10,H10)</f>
        <v>1.1666666666666679</v>
      </c>
      <c r="R10" s="19">
        <f t="shared" si="5"/>
        <v>2.9069767441860423E-2</v>
      </c>
      <c r="S10" s="19">
        <f t="shared" si="6"/>
        <v>4.0697674418604689E-2</v>
      </c>
    </row>
    <row r="11" spans="2:19">
      <c r="B11" s="1">
        <v>3.5</v>
      </c>
      <c r="C11" s="2">
        <v>28.1</v>
      </c>
      <c r="D11" s="1">
        <v>32.5</v>
      </c>
      <c r="E11" s="1">
        <v>28.3</v>
      </c>
      <c r="F11" s="3">
        <v>30</v>
      </c>
      <c r="G11" s="1">
        <v>29.7</v>
      </c>
      <c r="H11" s="1">
        <v>33.5</v>
      </c>
      <c r="J11" s="3">
        <f t="shared" si="0"/>
        <v>28.700000000000003</v>
      </c>
      <c r="K11" s="4">
        <f t="shared" si="2"/>
        <v>0.99999999999999645</v>
      </c>
      <c r="L11" s="4">
        <f t="shared" si="3"/>
        <v>0.60000000000000142</v>
      </c>
      <c r="M11" s="19">
        <f t="shared" si="4"/>
        <v>3.4843205574912765E-2</v>
      </c>
      <c r="N11" s="19">
        <f t="shared" si="1"/>
        <v>2.0905923344947782E-2</v>
      </c>
      <c r="O11" s="4">
        <f>+AVERAGE(D11,F11,H11)</f>
        <v>32</v>
      </c>
      <c r="P11" s="18">
        <f>+MAX(D11,F11,H11)-O11</f>
        <v>1.5</v>
      </c>
      <c r="Q11" s="18">
        <f>O11-MIN(D11,F11,H11)</f>
        <v>2</v>
      </c>
      <c r="R11" s="19">
        <f t="shared" si="5"/>
        <v>4.6875E-2</v>
      </c>
      <c r="S11" s="19">
        <f t="shared" si="6"/>
        <v>6.25E-2</v>
      </c>
    </row>
    <row r="12" spans="2:19">
      <c r="B12" s="1">
        <v>4</v>
      </c>
      <c r="C12" s="2">
        <v>32</v>
      </c>
      <c r="D12" s="1">
        <v>35.200000000000003</v>
      </c>
      <c r="E12" s="1">
        <v>30.5</v>
      </c>
      <c r="F12" s="3">
        <v>34.700000000000003</v>
      </c>
      <c r="G12" s="1">
        <v>34.799999999999997</v>
      </c>
      <c r="H12" s="1">
        <v>38.200000000000003</v>
      </c>
      <c r="J12" s="3">
        <f t="shared" si="0"/>
        <v>32.43333333333333</v>
      </c>
      <c r="K12" s="4">
        <f t="shared" si="2"/>
        <v>2.3666666666666671</v>
      </c>
      <c r="L12" s="4">
        <f t="shared" si="3"/>
        <v>1.93333333333333</v>
      </c>
      <c r="M12" s="19">
        <f t="shared" si="4"/>
        <v>7.2970195272353572E-2</v>
      </c>
      <c r="N12" s="19">
        <f t="shared" si="1"/>
        <v>5.9609455292908432E-2</v>
      </c>
      <c r="O12" s="4">
        <f>+AVERAGE(D12,F12,H12)</f>
        <v>36.033333333333339</v>
      </c>
      <c r="P12" s="18">
        <f>+MAX(D12,F12,H12)-O12</f>
        <v>2.1666666666666643</v>
      </c>
      <c r="Q12" s="18">
        <f>O12-MIN(D12,F12,H12)</f>
        <v>1.3333333333333357</v>
      </c>
      <c r="R12" s="19">
        <f t="shared" si="5"/>
        <v>6.0129509713228418E-2</v>
      </c>
      <c r="S12" s="19">
        <f t="shared" si="6"/>
        <v>3.7002775208140673E-2</v>
      </c>
    </row>
    <row r="13" spans="2:19">
      <c r="B13" s="1">
        <v>4.5</v>
      </c>
      <c r="C13" s="2">
        <v>36.700000000000003</v>
      </c>
      <c r="D13" s="1">
        <v>37.200000000000003</v>
      </c>
      <c r="E13" s="1">
        <v>35</v>
      </c>
      <c r="F13" s="3">
        <v>39</v>
      </c>
      <c r="G13" s="1">
        <v>37.200000000000003</v>
      </c>
      <c r="H13" s="1">
        <v>41.8</v>
      </c>
      <c r="J13" s="3">
        <f t="shared" si="0"/>
        <v>36.300000000000004</v>
      </c>
      <c r="K13" s="4">
        <f t="shared" si="2"/>
        <v>0.89999999999999858</v>
      </c>
      <c r="L13" s="4">
        <f t="shared" si="3"/>
        <v>1.3000000000000043</v>
      </c>
      <c r="M13" s="19">
        <f t="shared" si="4"/>
        <v>2.4793388429752025E-2</v>
      </c>
      <c r="N13" s="19">
        <f t="shared" si="1"/>
        <v>3.5812672176308652E-2</v>
      </c>
      <c r="O13" s="4">
        <f>+AVERAGE(D13,F13,H13)</f>
        <v>39.333333333333336</v>
      </c>
      <c r="P13" s="18">
        <f>+MAX(D13,F13,H13)-O13</f>
        <v>2.4666666666666615</v>
      </c>
      <c r="Q13" s="18">
        <f>O13-MIN(D13,F13,H13)</f>
        <v>2.1333333333333329</v>
      </c>
      <c r="R13" s="19">
        <f t="shared" si="5"/>
        <v>6.2711864406779519E-2</v>
      </c>
      <c r="S13" s="19">
        <f t="shared" si="6"/>
        <v>5.4237288135593205E-2</v>
      </c>
    </row>
    <row r="14" spans="2:19">
      <c r="B14" s="1">
        <v>5</v>
      </c>
      <c r="C14" s="2">
        <v>40.1</v>
      </c>
      <c r="D14" s="1">
        <v>42.5</v>
      </c>
      <c r="E14" s="1">
        <v>40.200000000000003</v>
      </c>
      <c r="F14" s="3">
        <v>42</v>
      </c>
      <c r="G14" s="1">
        <v>39.5</v>
      </c>
      <c r="H14" s="1">
        <v>45.6</v>
      </c>
      <c r="J14" s="3">
        <f t="shared" si="0"/>
        <v>39.933333333333337</v>
      </c>
      <c r="K14" s="4">
        <f t="shared" si="2"/>
        <v>0.26666666666666572</v>
      </c>
      <c r="L14" s="4">
        <f t="shared" si="3"/>
        <v>0.43333333333333712</v>
      </c>
      <c r="M14" s="19">
        <f t="shared" si="4"/>
        <v>6.6777963272119959E-3</v>
      </c>
      <c r="N14" s="19">
        <f t="shared" si="1"/>
        <v>1.0851419031719626E-2</v>
      </c>
      <c r="O14" s="4">
        <f>+AVERAGE(D14,F14,H14)</f>
        <v>43.366666666666667</v>
      </c>
      <c r="P14" s="18">
        <f>+MAX(D14,F14,H14)-O14</f>
        <v>2.2333333333333343</v>
      </c>
      <c r="Q14" s="18">
        <f>O14-MIN(D14,F14,H14)</f>
        <v>1.3666666666666671</v>
      </c>
      <c r="R14" s="19">
        <f t="shared" si="5"/>
        <v>5.1498847040737913E-2</v>
      </c>
      <c r="S14" s="19">
        <f t="shared" si="6"/>
        <v>3.1514219830899318E-2</v>
      </c>
    </row>
    <row r="15" spans="2:19">
      <c r="B15" s="1">
        <v>5.5</v>
      </c>
      <c r="C15" s="2">
        <v>45.6</v>
      </c>
      <c r="D15" s="1">
        <v>46.2</v>
      </c>
      <c r="E15" s="1">
        <v>43.5</v>
      </c>
      <c r="F15" s="3">
        <v>46</v>
      </c>
      <c r="G15" s="1">
        <v>45.6</v>
      </c>
      <c r="H15" s="1">
        <v>53.2</v>
      </c>
      <c r="J15" s="3">
        <f t="shared" si="0"/>
        <v>44.9</v>
      </c>
      <c r="K15" s="4">
        <f t="shared" si="2"/>
        <v>0.70000000000000284</v>
      </c>
      <c r="L15" s="4">
        <f t="shared" si="3"/>
        <v>1.3999999999999986</v>
      </c>
      <c r="M15" s="19">
        <f t="shared" si="4"/>
        <v>1.5590200445434362E-2</v>
      </c>
      <c r="N15" s="19">
        <f t="shared" si="1"/>
        <v>3.1180400890868567E-2</v>
      </c>
      <c r="O15" s="4">
        <f>+AVERAGE(D15,F15,H15)</f>
        <v>48.466666666666669</v>
      </c>
      <c r="P15" s="18">
        <f>+MAX(D15,F15,H15)-O15</f>
        <v>4.7333333333333343</v>
      </c>
      <c r="Q15" s="18">
        <f>O15-MIN(D15,F15,H15)</f>
        <v>2.4666666666666686</v>
      </c>
      <c r="R15" s="19">
        <f t="shared" si="5"/>
        <v>9.766162310866576E-2</v>
      </c>
      <c r="S15" s="19">
        <f t="shared" si="6"/>
        <v>5.0894085281980778E-2</v>
      </c>
    </row>
    <row r="16" spans="2:19">
      <c r="B16" s="1">
        <v>6</v>
      </c>
      <c r="C16" s="2">
        <v>52.5</v>
      </c>
      <c r="D16" s="1">
        <v>58.7</v>
      </c>
      <c r="E16" s="1">
        <v>43.6</v>
      </c>
      <c r="F16" s="3">
        <v>53.1</v>
      </c>
      <c r="G16" s="1">
        <v>47.3</v>
      </c>
      <c r="H16" s="1">
        <v>58.6</v>
      </c>
      <c r="J16" s="3">
        <f t="shared" si="0"/>
        <v>47.79999999999999</v>
      </c>
      <c r="K16" s="4">
        <f t="shared" si="2"/>
        <v>4.7000000000000099</v>
      </c>
      <c r="L16" s="4">
        <f t="shared" si="3"/>
        <v>4.1999999999999886</v>
      </c>
      <c r="M16" s="19">
        <f t="shared" si="4"/>
        <v>9.8326359832636212E-2</v>
      </c>
      <c r="N16" s="19">
        <f t="shared" si="1"/>
        <v>8.7866108786610664E-2</v>
      </c>
      <c r="O16" s="4">
        <f>+AVERAGE(D16,F16,H16)</f>
        <v>56.800000000000004</v>
      </c>
      <c r="P16" s="18">
        <f>+MAX(D16,F16,H16)-O16</f>
        <v>1.8999999999999986</v>
      </c>
      <c r="Q16" s="18">
        <f>O16-MIN(D16,F16,H16)</f>
        <v>3.7000000000000028</v>
      </c>
      <c r="R16" s="19">
        <f t="shared" si="5"/>
        <v>3.3450704225352082E-2</v>
      </c>
      <c r="S16" s="19">
        <f t="shared" si="6"/>
        <v>6.5140845070422587E-2</v>
      </c>
    </row>
    <row r="17" spans="2:19">
      <c r="B17" s="1">
        <v>6.5</v>
      </c>
      <c r="C17" s="2">
        <v>57.6</v>
      </c>
      <c r="D17" s="1">
        <v>65.8</v>
      </c>
      <c r="E17" s="1">
        <v>50.7</v>
      </c>
      <c r="F17" s="3">
        <v>57.6</v>
      </c>
      <c r="G17" s="1">
        <v>58.5</v>
      </c>
      <c r="H17" s="1">
        <v>62.7</v>
      </c>
      <c r="J17" s="3">
        <f t="shared" si="0"/>
        <v>55.6</v>
      </c>
      <c r="K17" s="4">
        <f t="shared" si="2"/>
        <v>2.8999999999999986</v>
      </c>
      <c r="L17" s="4">
        <f t="shared" si="3"/>
        <v>4.8999999999999986</v>
      </c>
      <c r="M17" s="19">
        <f t="shared" si="4"/>
        <v>5.2158273381294938E-2</v>
      </c>
      <c r="N17" s="19">
        <f t="shared" si="1"/>
        <v>8.8129496402877663E-2</v>
      </c>
      <c r="O17" s="4">
        <f>+AVERAGE(D17,F17,H17)</f>
        <v>62.033333333333339</v>
      </c>
      <c r="P17" s="18">
        <f>+MAX(D17,F17,H17)-O17</f>
        <v>3.7666666666666586</v>
      </c>
      <c r="Q17" s="18">
        <f>O17-MIN(D17,F17,H17)</f>
        <v>4.4333333333333371</v>
      </c>
      <c r="R17" s="19">
        <f t="shared" si="5"/>
        <v>6.0720042987640915E-2</v>
      </c>
      <c r="S17" s="19">
        <f t="shared" si="6"/>
        <v>7.1466953250940407E-2</v>
      </c>
    </row>
    <row r="18" spans="2:19">
      <c r="B18" s="1">
        <v>7</v>
      </c>
      <c r="C18" s="2">
        <v>68.599999999999994</v>
      </c>
      <c r="D18" s="1">
        <v>70.400000000000006</v>
      </c>
      <c r="E18" s="1">
        <v>54.3</v>
      </c>
      <c r="F18" s="3">
        <v>60.5</v>
      </c>
      <c r="G18" s="1">
        <v>57</v>
      </c>
      <c r="H18" s="1">
        <v>66.2</v>
      </c>
      <c r="J18" s="3">
        <f t="shared" si="0"/>
        <v>59.966666666666661</v>
      </c>
      <c r="K18" s="4">
        <f t="shared" si="2"/>
        <v>8.6333333333333329</v>
      </c>
      <c r="L18" s="4">
        <f t="shared" si="3"/>
        <v>5.6666666666666643</v>
      </c>
      <c r="M18" s="19">
        <f t="shared" si="4"/>
        <v>0.14396887159533076</v>
      </c>
      <c r="N18" s="19">
        <f t="shared" si="1"/>
        <v>9.4496942745969953E-2</v>
      </c>
      <c r="O18" s="4">
        <f>+AVERAGE(D18,F18,H18)</f>
        <v>65.7</v>
      </c>
      <c r="P18" s="18">
        <f>+MAX(D18,F18,H18)-O18</f>
        <v>4.7000000000000028</v>
      </c>
      <c r="Q18" s="18">
        <f>O18-MIN(D18,F18,H18)</f>
        <v>5.2000000000000028</v>
      </c>
      <c r="R18" s="19">
        <f t="shared" si="5"/>
        <v>7.1537290715372945E-2</v>
      </c>
      <c r="S18" s="19">
        <f t="shared" si="6"/>
        <v>7.9147640791476445E-2</v>
      </c>
    </row>
    <row r="19" spans="2:19">
      <c r="B19" s="1">
        <v>7.5</v>
      </c>
      <c r="C19" s="2">
        <v>73</v>
      </c>
      <c r="D19" s="1">
        <v>74.7</v>
      </c>
      <c r="E19" s="1">
        <v>61.2</v>
      </c>
      <c r="F19" s="3">
        <v>66.5</v>
      </c>
      <c r="G19" s="1">
        <v>60.1</v>
      </c>
      <c r="H19" s="1">
        <v>71.7</v>
      </c>
      <c r="J19" s="3">
        <f t="shared" si="0"/>
        <v>64.766666666666666</v>
      </c>
      <c r="K19" s="4">
        <f t="shared" si="2"/>
        <v>8.2333333333333343</v>
      </c>
      <c r="L19" s="4">
        <f t="shared" si="3"/>
        <v>4.6666666666666643</v>
      </c>
      <c r="M19" s="19">
        <f t="shared" si="4"/>
        <v>0.12712300566134846</v>
      </c>
      <c r="N19" s="19">
        <f t="shared" si="1"/>
        <v>7.2053525476067901E-2</v>
      </c>
      <c r="O19" s="4">
        <f>+AVERAGE(D19,F19,H19)</f>
        <v>70.966666666666654</v>
      </c>
      <c r="P19" s="18">
        <f>+MAX(D19,F19,H19)-O19</f>
        <v>3.7333333333333485</v>
      </c>
      <c r="Q19" s="18">
        <f>O19-MIN(D19,F19,H19)</f>
        <v>4.4666666666666544</v>
      </c>
      <c r="R19" s="19">
        <f t="shared" si="5"/>
        <v>5.2606857679662035E-2</v>
      </c>
      <c r="S19" s="19">
        <f t="shared" si="6"/>
        <v>6.2940347581023792E-2</v>
      </c>
    </row>
    <row r="20" spans="2:19">
      <c r="B20" s="1">
        <v>8</v>
      </c>
      <c r="C20" s="2">
        <v>79.5</v>
      </c>
      <c r="D20" s="1">
        <v>81.099999999999994</v>
      </c>
      <c r="E20" s="1">
        <v>72.3</v>
      </c>
      <c r="F20" s="3">
        <v>80</v>
      </c>
      <c r="G20" s="1">
        <v>71.5</v>
      </c>
      <c r="H20" s="1">
        <v>78.3</v>
      </c>
      <c r="J20" s="3">
        <f t="shared" si="0"/>
        <v>74.433333333333337</v>
      </c>
      <c r="K20" s="4">
        <f t="shared" si="2"/>
        <v>5.0666666666666629</v>
      </c>
      <c r="L20" s="4">
        <f t="shared" si="3"/>
        <v>2.9333333333333371</v>
      </c>
      <c r="M20" s="19">
        <f t="shared" si="4"/>
        <v>6.806986117330939E-2</v>
      </c>
      <c r="N20" s="19">
        <f t="shared" si="1"/>
        <v>3.9408866995073941E-2</v>
      </c>
      <c r="O20" s="4">
        <f>+AVERAGE(D20,F20,H20)</f>
        <v>79.8</v>
      </c>
      <c r="P20" s="18">
        <f>+MAX(D20,F20,H20)-O20</f>
        <v>1.2999999999999972</v>
      </c>
      <c r="Q20" s="18">
        <f>O20-MIN(D20,F20,H20)</f>
        <v>1.5</v>
      </c>
      <c r="R20" s="19">
        <f t="shared" si="5"/>
        <v>1.6290726817042571E-2</v>
      </c>
      <c r="S20" s="19">
        <f t="shared" si="6"/>
        <v>1.8796992481203006E-2</v>
      </c>
    </row>
    <row r="21" spans="2:19">
      <c r="B21" s="1">
        <v>8.5</v>
      </c>
      <c r="C21" s="2">
        <v>83.8</v>
      </c>
      <c r="D21" s="1">
        <v>85.5</v>
      </c>
      <c r="E21" s="1">
        <v>76.7</v>
      </c>
      <c r="F21" s="3">
        <v>86.4</v>
      </c>
      <c r="G21" s="1">
        <v>76.5</v>
      </c>
      <c r="H21" s="1">
        <v>86.1</v>
      </c>
      <c r="J21" s="3">
        <f t="shared" si="0"/>
        <v>79</v>
      </c>
      <c r="K21" s="4">
        <f t="shared" si="2"/>
        <v>4.7999999999999972</v>
      </c>
      <c r="L21" s="4">
        <f t="shared" si="3"/>
        <v>2.5</v>
      </c>
      <c r="M21" s="19">
        <f t="shared" si="4"/>
        <v>6.0759493670886039E-2</v>
      </c>
      <c r="N21" s="19">
        <f t="shared" si="1"/>
        <v>3.1645569620253167E-2</v>
      </c>
      <c r="O21" s="4">
        <f>+AVERAGE(D21,F21,H21)</f>
        <v>86</v>
      </c>
      <c r="P21" s="18">
        <f>+MAX(D21,F21,H21)-O21</f>
        <v>0.40000000000000568</v>
      </c>
      <c r="Q21" s="18">
        <f>O21-MIN(D21,F21,H21)</f>
        <v>0.5</v>
      </c>
      <c r="R21" s="19">
        <f t="shared" si="5"/>
        <v>4.6511627906977403E-3</v>
      </c>
      <c r="S21" s="19">
        <f t="shared" si="6"/>
        <v>5.8139534883720929E-3</v>
      </c>
    </row>
    <row r="22" spans="2:19">
      <c r="B22" s="1">
        <v>9</v>
      </c>
      <c r="C22" s="2">
        <v>91.4</v>
      </c>
      <c r="D22" s="1">
        <v>93.2</v>
      </c>
      <c r="E22" s="1">
        <v>91.3</v>
      </c>
      <c r="F22" s="3">
        <v>95.3</v>
      </c>
      <c r="G22" s="1">
        <v>89.3</v>
      </c>
      <c r="H22" s="1">
        <v>93.8</v>
      </c>
      <c r="J22" s="3">
        <f t="shared" si="0"/>
        <v>90.666666666666671</v>
      </c>
      <c r="K22" s="4">
        <f t="shared" si="2"/>
        <v>0.73333333333333428</v>
      </c>
      <c r="L22" s="4">
        <f t="shared" si="3"/>
        <v>1.3666666666666742</v>
      </c>
      <c r="M22" s="19">
        <f t="shared" si="4"/>
        <v>8.0882352941176565E-3</v>
      </c>
      <c r="N22" s="19">
        <f t="shared" si="1"/>
        <v>1.5073529411764789E-2</v>
      </c>
      <c r="O22" s="4">
        <f>+AVERAGE(D22,F22,H22)</f>
        <v>94.100000000000009</v>
      </c>
      <c r="P22" s="18">
        <f>+MAX(D22,F22,H22)-O22</f>
        <v>1.1999999999999886</v>
      </c>
      <c r="Q22" s="18">
        <f>O22-MIN(D22,F22,H22)</f>
        <v>0.90000000000000568</v>
      </c>
      <c r="R22" s="19">
        <f t="shared" si="5"/>
        <v>1.2752391073326126E-2</v>
      </c>
      <c r="S22" s="19">
        <f t="shared" si="6"/>
        <v>9.5642933049947462E-3</v>
      </c>
    </row>
    <row r="23" spans="2:19">
      <c r="B23" s="1">
        <v>9.5</v>
      </c>
      <c r="C23" s="2">
        <v>95.5</v>
      </c>
      <c r="D23" s="1">
        <v>97.1</v>
      </c>
      <c r="E23" s="1">
        <v>95</v>
      </c>
      <c r="F23" s="3">
        <v>98.1</v>
      </c>
      <c r="G23" s="1">
        <v>94.7</v>
      </c>
      <c r="H23" s="1">
        <v>98</v>
      </c>
      <c r="J23" s="3">
        <f t="shared" si="0"/>
        <v>95.066666666666663</v>
      </c>
      <c r="K23" s="4">
        <f t="shared" si="2"/>
        <v>0.43333333333333712</v>
      </c>
      <c r="L23" s="4">
        <f t="shared" si="3"/>
        <v>0.36666666666666003</v>
      </c>
      <c r="M23" s="19">
        <f t="shared" si="4"/>
        <v>4.55820476858349E-3</v>
      </c>
      <c r="N23" s="19">
        <f t="shared" si="1"/>
        <v>3.8569424964936191E-3</v>
      </c>
      <c r="O23" s="4">
        <f>+AVERAGE(D23,F23,H23)</f>
        <v>97.733333333333334</v>
      </c>
      <c r="P23" s="18">
        <f>+MAX(D23,F23,H23)-O23</f>
        <v>0.36666666666666003</v>
      </c>
      <c r="Q23" s="18">
        <f>O23-MIN(D23,F23,H23)</f>
        <v>0.63333333333333997</v>
      </c>
      <c r="R23" s="19">
        <f t="shared" si="5"/>
        <v>3.7517053206002049E-3</v>
      </c>
      <c r="S23" s="19">
        <f t="shared" si="6"/>
        <v>6.4802182810369023E-3</v>
      </c>
    </row>
    <row r="24" spans="2:19">
      <c r="B24" s="1">
        <v>10</v>
      </c>
      <c r="C24" s="2">
        <v>98.8</v>
      </c>
      <c r="D24" s="1">
        <v>100.3</v>
      </c>
      <c r="E24" s="1">
        <v>95.3</v>
      </c>
      <c r="F24" s="3">
        <v>101.2</v>
      </c>
      <c r="G24" s="1">
        <v>98.2</v>
      </c>
      <c r="H24" s="1">
        <v>101.5</v>
      </c>
      <c r="J24" s="3">
        <f t="shared" si="0"/>
        <v>97.433333333333337</v>
      </c>
      <c r="K24" s="4">
        <f t="shared" si="2"/>
        <v>1.36666666666666</v>
      </c>
      <c r="L24" s="4">
        <f t="shared" si="3"/>
        <v>2.13333333333334</v>
      </c>
      <c r="M24" s="19">
        <f t="shared" si="4"/>
        <v>1.4026684912760793E-2</v>
      </c>
      <c r="N24" s="19">
        <f t="shared" si="1"/>
        <v>2.189531303455361E-2</v>
      </c>
      <c r="O24" s="4">
        <f>+AVERAGE(D24,F24,H24)</f>
        <v>101</v>
      </c>
      <c r="P24" s="18">
        <f>+MAX(D24,F24,H24)-O24</f>
        <v>0.5</v>
      </c>
      <c r="Q24" s="18">
        <f>O24-MIN(D24,F24,H24)</f>
        <v>0.70000000000000284</v>
      </c>
      <c r="R24" s="19">
        <f t="shared" si="5"/>
        <v>4.9504950495049506E-3</v>
      </c>
      <c r="S24" s="19">
        <f t="shared" si="6"/>
        <v>6.9306930693069585E-3</v>
      </c>
    </row>
    <row r="25" spans="2:19">
      <c r="B25" s="1">
        <v>10.5</v>
      </c>
      <c r="C25" s="2">
        <v>103.2</v>
      </c>
      <c r="D25" s="1">
        <v>105</v>
      </c>
      <c r="E25" s="1">
        <v>100.2</v>
      </c>
      <c r="F25" s="3">
        <v>106.6</v>
      </c>
      <c r="G25" s="1">
        <v>102.1</v>
      </c>
      <c r="H25" s="1">
        <v>106.3</v>
      </c>
      <c r="J25" s="3">
        <f t="shared" si="0"/>
        <v>101.83333333333333</v>
      </c>
      <c r="K25" s="4">
        <f t="shared" si="2"/>
        <v>1.3666666666666742</v>
      </c>
      <c r="L25" s="4">
        <f t="shared" si="3"/>
        <v>1.6333333333333258</v>
      </c>
      <c r="M25" s="19">
        <f t="shared" si="4"/>
        <v>1.3420621931260304E-2</v>
      </c>
      <c r="N25" s="19">
        <f t="shared" si="1"/>
        <v>1.603927986906703E-2</v>
      </c>
      <c r="O25" s="4">
        <f>+AVERAGE(D25,F25,H25)</f>
        <v>105.96666666666665</v>
      </c>
      <c r="P25" s="18">
        <f>+MAX(D25,F25,H25)-O25</f>
        <v>0.63333333333333997</v>
      </c>
      <c r="Q25" s="18">
        <f>O25-MIN(D25,F25,H25)</f>
        <v>0.96666666666665435</v>
      </c>
      <c r="R25" s="19">
        <f t="shared" si="5"/>
        <v>5.9767222396980811E-3</v>
      </c>
      <c r="S25" s="19">
        <f t="shared" si="6"/>
        <v>9.122365523749492E-3</v>
      </c>
    </row>
    <row r="26" spans="2:19">
      <c r="B26" s="1">
        <v>11</v>
      </c>
      <c r="C26" s="2">
        <v>108.3</v>
      </c>
      <c r="D26" s="1">
        <v>110.7</v>
      </c>
      <c r="E26" s="1">
        <v>105.2</v>
      </c>
      <c r="F26" s="3">
        <v>113.5</v>
      </c>
      <c r="G26" s="1">
        <v>106.2</v>
      </c>
      <c r="H26" s="1">
        <v>112.5</v>
      </c>
      <c r="J26" s="3">
        <f t="shared" si="0"/>
        <v>106.56666666666666</v>
      </c>
      <c r="K26" s="4">
        <f t="shared" si="2"/>
        <v>1.7333333333333343</v>
      </c>
      <c r="L26" s="4">
        <f t="shared" si="3"/>
        <v>1.36666666666666</v>
      </c>
      <c r="M26" s="19">
        <f t="shared" si="4"/>
        <v>1.6265248670628722E-2</v>
      </c>
      <c r="N26" s="19">
        <f t="shared" si="1"/>
        <v>1.2824522990303348E-2</v>
      </c>
      <c r="O26" s="4">
        <f>+AVERAGE(D26,F26,H26)</f>
        <v>112.23333333333333</v>
      </c>
      <c r="P26" s="18">
        <f>+MAX(D26,F26,H26)-O26</f>
        <v>1.2666666666666657</v>
      </c>
      <c r="Q26" s="18">
        <f>O26-MIN(D26,F26,H26)</f>
        <v>1.5333333333333314</v>
      </c>
      <c r="R26" s="19">
        <f t="shared" si="5"/>
        <v>1.1286011286011277E-2</v>
      </c>
      <c r="S26" s="19">
        <f t="shared" si="6"/>
        <v>1.3662013662013644E-2</v>
      </c>
    </row>
    <row r="27" spans="2:19">
      <c r="B27" s="1">
        <v>11.5</v>
      </c>
      <c r="C27" s="2">
        <v>112.2</v>
      </c>
      <c r="D27" s="1">
        <v>115.7</v>
      </c>
      <c r="E27" s="1">
        <v>107.5</v>
      </c>
      <c r="F27" s="3">
        <v>120.5</v>
      </c>
      <c r="G27" s="1">
        <v>111.6</v>
      </c>
      <c r="H27" s="1">
        <v>117.9</v>
      </c>
      <c r="J27" s="3">
        <f t="shared" si="0"/>
        <v>110.43333333333332</v>
      </c>
      <c r="K27" s="4">
        <f t="shared" si="2"/>
        <v>1.7666666666666799</v>
      </c>
      <c r="L27" s="4">
        <f t="shared" si="3"/>
        <v>2.9333333333333229</v>
      </c>
      <c r="M27" s="19">
        <f t="shared" si="4"/>
        <v>1.5997585270148024E-2</v>
      </c>
      <c r="N27" s="19">
        <f t="shared" si="1"/>
        <v>2.6562028373075669E-2</v>
      </c>
      <c r="O27" s="4">
        <f>+AVERAGE(D27,F27,H27)</f>
        <v>118.03333333333335</v>
      </c>
      <c r="P27" s="18">
        <f>+MAX(D27,F27,H27)-O27</f>
        <v>2.4666666666666544</v>
      </c>
      <c r="Q27" s="18">
        <f>O27-MIN(D27,F27,H27)</f>
        <v>2.3333333333333428</v>
      </c>
      <c r="R27" s="19">
        <f t="shared" si="5"/>
        <v>2.0898051397910088E-2</v>
      </c>
      <c r="S27" s="19">
        <f t="shared" si="6"/>
        <v>1.9768426998023236E-2</v>
      </c>
    </row>
    <row r="28" spans="2:19">
      <c r="B28" s="7">
        <v>12</v>
      </c>
      <c r="C28" s="8">
        <v>115.4</v>
      </c>
      <c r="D28" s="7">
        <v>119.6</v>
      </c>
      <c r="E28" s="7">
        <v>117.1</v>
      </c>
      <c r="F28" s="9">
        <v>124.5</v>
      </c>
      <c r="G28" s="7">
        <v>116.4</v>
      </c>
      <c r="H28" s="7">
        <v>122.8</v>
      </c>
      <c r="J28" s="9">
        <f t="shared" si="0"/>
        <v>116.3</v>
      </c>
      <c r="K28" s="4">
        <f>+MAX(C28,E28,G28)-J28</f>
        <v>0.79999999999999716</v>
      </c>
      <c r="L28" s="4">
        <f t="shared" si="3"/>
        <v>0.89999999999999147</v>
      </c>
      <c r="M28" s="19">
        <f>+K28/J28</f>
        <v>6.8787618228718589E-3</v>
      </c>
      <c r="N28" s="19">
        <f>+L28/J28</f>
        <v>7.7386070507307952E-3</v>
      </c>
      <c r="O28" s="4">
        <f>+AVERAGE(D28,F28,H28)</f>
        <v>122.3</v>
      </c>
      <c r="P28" s="18">
        <f>+MAX(D28,F28,H28)-O28</f>
        <v>2.2000000000000028</v>
      </c>
      <c r="Q28" s="18">
        <f>O28-MIN(D28,F28,H28)</f>
        <v>2.7000000000000028</v>
      </c>
      <c r="R28" s="19">
        <f t="shared" si="5"/>
        <v>1.7988552739166008E-2</v>
      </c>
      <c r="S28" s="19">
        <f t="shared" si="6"/>
        <v>2.2076860179885551E-2</v>
      </c>
    </row>
    <row r="29" spans="2:19">
      <c r="K29" s="10">
        <f>+AVERAGE(K6:K28)</f>
        <v>2.1579710144927544</v>
      </c>
      <c r="L29" s="10">
        <f>+AVERAGE(L6:L28)</f>
        <v>1.8724637681159406</v>
      </c>
      <c r="M29" s="19">
        <f>+AVERAGE(M6:M28)</f>
        <v>3.7628802939806777E-2</v>
      </c>
      <c r="N29" s="19">
        <f>+AVERAGE(N6:N28)</f>
        <v>3.2891202564777393E-2</v>
      </c>
      <c r="P29" s="10">
        <f>+AVERAGE(P6:P28)</f>
        <v>1.7507246376811587</v>
      </c>
      <c r="Q29" s="10">
        <f>+AVERAGE(Q6:Q28)</f>
        <v>1.8318840579710147</v>
      </c>
      <c r="R29" s="19">
        <f>+AVERAGE(R6:R28)</f>
        <v>3.250161287557523E-2</v>
      </c>
      <c r="S29" s="19">
        <f>+AVERAGE(S6:S28)</f>
        <v>3.3063811081300652E-2</v>
      </c>
    </row>
    <row r="30" spans="2:19">
      <c r="K30">
        <f>+AVERAGE(K29,L29)</f>
        <v>2.0152173913043474</v>
      </c>
      <c r="M30" s="20">
        <f>+AVERAGE(M29:N29)</f>
        <v>3.5260002752292088E-2</v>
      </c>
      <c r="R30" s="20">
        <f>+AVERAGE(R29:S29)</f>
        <v>3.2782711978437941E-2</v>
      </c>
    </row>
    <row r="32" spans="2:19">
      <c r="C32" s="16" t="s">
        <v>9</v>
      </c>
      <c r="D32" s="17"/>
      <c r="E32" s="16">
        <v>-3</v>
      </c>
      <c r="F32" s="17"/>
      <c r="G32" s="16"/>
      <c r="H32" s="16"/>
    </row>
    <row r="33" spans="2:11">
      <c r="B33" s="1" t="s">
        <v>3</v>
      </c>
      <c r="C33" s="1" t="s">
        <v>4</v>
      </c>
      <c r="D33" s="3" t="s">
        <v>5</v>
      </c>
      <c r="E33" s="1" t="s">
        <v>4</v>
      </c>
      <c r="F33" s="3" t="s">
        <v>5</v>
      </c>
      <c r="G33" s="1" t="s">
        <v>4</v>
      </c>
      <c r="H33" s="1" t="s">
        <v>5</v>
      </c>
      <c r="K33" s="21"/>
    </row>
    <row r="34" spans="2:11">
      <c r="B34" s="1">
        <v>1</v>
      </c>
      <c r="C34" s="1">
        <v>20</v>
      </c>
      <c r="D34" s="3">
        <v>20</v>
      </c>
      <c r="E34" s="1">
        <v>22</v>
      </c>
      <c r="F34" s="3">
        <v>23</v>
      </c>
      <c r="G34" s="1"/>
      <c r="H34" s="1"/>
    </row>
    <row r="35" spans="2:11">
      <c r="B35" s="1">
        <v>1.5</v>
      </c>
      <c r="C35" s="1">
        <v>21</v>
      </c>
      <c r="D35" s="3">
        <v>22</v>
      </c>
      <c r="E35" s="1">
        <v>24</v>
      </c>
      <c r="F35" s="3">
        <v>25</v>
      </c>
      <c r="G35" s="1"/>
      <c r="H35" s="1"/>
    </row>
    <row r="36" spans="2:11">
      <c r="B36" s="1">
        <v>2</v>
      </c>
      <c r="C36" s="1">
        <v>22</v>
      </c>
      <c r="D36" s="3">
        <v>23</v>
      </c>
      <c r="E36" s="1">
        <v>26</v>
      </c>
      <c r="F36" s="3">
        <v>27</v>
      </c>
      <c r="G36" s="1"/>
      <c r="H36" s="1"/>
    </row>
    <row r="37" spans="2:11">
      <c r="B37" s="1">
        <v>2.5</v>
      </c>
      <c r="C37" s="1">
        <v>24</v>
      </c>
      <c r="D37" s="3">
        <v>25</v>
      </c>
      <c r="E37" s="1">
        <v>27</v>
      </c>
      <c r="F37" s="3">
        <v>29</v>
      </c>
      <c r="G37" s="1"/>
      <c r="H37" s="1"/>
    </row>
    <row r="38" spans="2:11">
      <c r="B38" s="1">
        <v>3</v>
      </c>
      <c r="C38" s="1">
        <v>26</v>
      </c>
      <c r="D38" s="3">
        <v>27</v>
      </c>
      <c r="E38" s="1">
        <v>29</v>
      </c>
      <c r="F38" s="3">
        <v>30</v>
      </c>
      <c r="G38" s="1"/>
      <c r="H38" s="1"/>
    </row>
    <row r="39" spans="2:11">
      <c r="B39" s="1">
        <v>3.5</v>
      </c>
      <c r="C39" s="1">
        <v>28</v>
      </c>
      <c r="D39" s="3">
        <v>29</v>
      </c>
      <c r="E39" s="1">
        <v>32</v>
      </c>
      <c r="F39" s="3">
        <v>33</v>
      </c>
      <c r="G39" s="1"/>
      <c r="H39" s="1"/>
    </row>
    <row r="40" spans="2:11">
      <c r="B40" s="1">
        <v>4</v>
      </c>
      <c r="C40" s="1">
        <v>25</v>
      </c>
      <c r="D40" s="3">
        <v>27</v>
      </c>
      <c r="E40" s="1">
        <v>36</v>
      </c>
      <c r="F40" s="3">
        <v>42</v>
      </c>
      <c r="G40" s="1"/>
      <c r="H40" s="1"/>
    </row>
    <row r="41" spans="2:11">
      <c r="B41" s="1">
        <v>4.5</v>
      </c>
      <c r="C41" s="1">
        <v>30</v>
      </c>
      <c r="D41" s="3">
        <v>33</v>
      </c>
      <c r="E41" s="1">
        <v>43</v>
      </c>
      <c r="F41" s="3">
        <v>48</v>
      </c>
      <c r="G41" s="1"/>
      <c r="H41" s="1"/>
    </row>
    <row r="42" spans="2:11">
      <c r="B42" s="1">
        <v>5</v>
      </c>
      <c r="C42" s="1">
        <v>37</v>
      </c>
      <c r="D42" s="3">
        <v>39</v>
      </c>
      <c r="E42" s="1">
        <v>42</v>
      </c>
      <c r="F42" s="3">
        <v>44</v>
      </c>
      <c r="G42" s="1"/>
      <c r="H42" s="1"/>
    </row>
    <row r="43" spans="2:11">
      <c r="B43" s="1">
        <v>5.5</v>
      </c>
      <c r="C43" s="1">
        <v>42</v>
      </c>
      <c r="D43" s="3">
        <v>44</v>
      </c>
      <c r="E43" s="1"/>
      <c r="F43" s="3"/>
      <c r="G43" s="1"/>
      <c r="H43" s="1"/>
    </row>
    <row r="44" spans="2:11">
      <c r="B44" s="1">
        <v>6</v>
      </c>
      <c r="C44" s="1">
        <v>50</v>
      </c>
      <c r="D44" s="3">
        <v>53</v>
      </c>
      <c r="E44" s="1"/>
      <c r="F44" s="3"/>
      <c r="G44" s="1"/>
      <c r="H44" s="1"/>
    </row>
    <row r="45" spans="2:11">
      <c r="B45" s="1">
        <v>6.5</v>
      </c>
      <c r="C45" s="1">
        <v>57</v>
      </c>
      <c r="D45" s="3">
        <v>61</v>
      </c>
      <c r="E45" s="1"/>
      <c r="F45" s="3"/>
      <c r="G45" s="1"/>
      <c r="H45" s="1"/>
    </row>
    <row r="46" spans="2:11">
      <c r="B46" s="1">
        <v>7</v>
      </c>
      <c r="C46" s="1">
        <v>64</v>
      </c>
      <c r="D46" s="3">
        <v>68</v>
      </c>
      <c r="E46" s="1"/>
      <c r="F46" s="3"/>
      <c r="G46" s="1"/>
      <c r="H46" s="1"/>
    </row>
    <row r="47" spans="2:11">
      <c r="B47" s="1">
        <v>7.5</v>
      </c>
      <c r="C47" s="1">
        <v>70</v>
      </c>
      <c r="D47" s="3">
        <v>74</v>
      </c>
      <c r="E47" s="1"/>
      <c r="F47" s="3"/>
      <c r="G47" s="1"/>
      <c r="H47" s="1"/>
    </row>
    <row r="48" spans="2:11">
      <c r="B48" s="1">
        <v>8</v>
      </c>
      <c r="C48" s="1">
        <v>76</v>
      </c>
      <c r="D48" s="3">
        <v>80</v>
      </c>
      <c r="E48" s="1"/>
      <c r="F48" s="3"/>
      <c r="G48" s="1"/>
      <c r="H48" s="1"/>
    </row>
    <row r="49" spans="2:8">
      <c r="B49" s="1">
        <v>8.5</v>
      </c>
      <c r="C49" s="1">
        <v>83</v>
      </c>
      <c r="D49" s="3">
        <v>87</v>
      </c>
      <c r="E49" s="1"/>
      <c r="F49" s="3"/>
      <c r="G49" s="1"/>
      <c r="H49" s="1"/>
    </row>
    <row r="50" spans="2:8">
      <c r="B50" s="1">
        <v>9</v>
      </c>
      <c r="C50" s="1">
        <v>90</v>
      </c>
      <c r="D50" s="3">
        <v>94</v>
      </c>
      <c r="E50" s="1"/>
      <c r="F50" s="3"/>
      <c r="G50" s="1"/>
      <c r="H50" s="1"/>
    </row>
    <row r="51" spans="2:8">
      <c r="B51" s="1">
        <v>9.5</v>
      </c>
      <c r="C51" s="1">
        <v>94</v>
      </c>
      <c r="D51" s="3">
        <v>96</v>
      </c>
      <c r="E51" s="1"/>
      <c r="F51" s="3"/>
      <c r="G51" s="1"/>
      <c r="H51" s="1"/>
    </row>
    <row r="52" spans="2:8">
      <c r="B52" s="1">
        <v>10</v>
      </c>
      <c r="C52" s="1">
        <v>97</v>
      </c>
      <c r="D52" s="3">
        <v>99</v>
      </c>
      <c r="E52" s="1"/>
      <c r="F52" s="3"/>
      <c r="G52" s="1"/>
      <c r="H52" s="1"/>
    </row>
    <row r="53" spans="2:8">
      <c r="B53" s="1">
        <v>10.5</v>
      </c>
      <c r="C53" s="1">
        <v>99</v>
      </c>
      <c r="D53" s="3">
        <v>102</v>
      </c>
      <c r="E53" s="1"/>
      <c r="F53" s="3"/>
      <c r="G53" s="1"/>
      <c r="H53" s="1"/>
    </row>
    <row r="54" spans="2:8">
      <c r="B54" s="1">
        <v>11</v>
      </c>
      <c r="C54" s="1">
        <v>103</v>
      </c>
      <c r="D54" s="3">
        <v>105</v>
      </c>
      <c r="E54" s="1"/>
      <c r="F54" s="3"/>
      <c r="G54" s="1"/>
      <c r="H54" s="1"/>
    </row>
    <row r="55" spans="2:8">
      <c r="B55" s="1">
        <v>11.5</v>
      </c>
      <c r="C55" s="1">
        <v>106</v>
      </c>
      <c r="D55" s="3">
        <v>109</v>
      </c>
      <c r="E55" s="1"/>
      <c r="F55" s="3"/>
      <c r="G55" s="1"/>
      <c r="H55" s="1"/>
    </row>
    <row r="56" spans="2:8">
      <c r="B56" s="1">
        <v>12</v>
      </c>
      <c r="C56" s="1">
        <v>110</v>
      </c>
      <c r="D56" s="3">
        <v>113</v>
      </c>
      <c r="E56" s="1"/>
      <c r="F56" s="3"/>
      <c r="G56" s="1"/>
      <c r="H56" s="1"/>
    </row>
  </sheetData>
  <mergeCells count="6">
    <mergeCell ref="C4:D4"/>
    <mergeCell ref="E4:F4"/>
    <mergeCell ref="G4:H4"/>
    <mergeCell ref="C32:D32"/>
    <mergeCell ref="E32:F32"/>
    <mergeCell ref="G32:H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22AC-711C-41E9-BC1F-24BD4B074BB1}">
  <dimension ref="D2:W78"/>
  <sheetViews>
    <sheetView tabSelected="1" topLeftCell="G42" zoomScale="62" zoomScaleNormal="89" workbookViewId="0">
      <selection activeCell="V63" sqref="V63"/>
    </sheetView>
  </sheetViews>
  <sheetFormatPr defaultColWidth="11.42578125" defaultRowHeight="14.45"/>
  <cols>
    <col min="2" max="2" width="15.7109375" bestFit="1" customWidth="1"/>
    <col min="5" max="5" width="23.42578125" customWidth="1"/>
    <col min="9" max="9" width="15.42578125" bestFit="1" customWidth="1"/>
    <col min="10" max="10" width="21.28515625" bestFit="1" customWidth="1"/>
    <col min="12" max="12" width="13.85546875" bestFit="1" customWidth="1"/>
    <col min="13" max="13" width="12.28515625" bestFit="1" customWidth="1"/>
    <col min="22" max="22" width="13.42578125" customWidth="1"/>
  </cols>
  <sheetData>
    <row r="2" spans="5:22">
      <c r="H2" t="s">
        <v>10</v>
      </c>
    </row>
    <row r="3" spans="5:22">
      <c r="G3" t="s">
        <v>11</v>
      </c>
      <c r="H3" t="s">
        <v>12</v>
      </c>
    </row>
    <row r="4" spans="5:22">
      <c r="F4" t="s">
        <v>13</v>
      </c>
      <c r="H4" t="s">
        <v>14</v>
      </c>
      <c r="J4" t="s">
        <v>15</v>
      </c>
    </row>
    <row r="5" spans="5:22">
      <c r="E5" s="3" t="s">
        <v>3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  <c r="M5" s="4" t="s">
        <v>4</v>
      </c>
      <c r="R5" s="6" t="s">
        <v>5</v>
      </c>
    </row>
    <row r="6" spans="5:22">
      <c r="E6" s="3">
        <v>1</v>
      </c>
      <c r="F6" s="4">
        <f>+AVERAGE(23.82,24.14,24.53)</f>
        <v>24.163333333333338</v>
      </c>
      <c r="G6" s="4">
        <f>+AVERAGE(24.75,24.9,25.36)</f>
        <v>25.00333333333333</v>
      </c>
      <c r="H6" s="4">
        <f>+AVERAGE(24.85,24.02,25.23)</f>
        <v>24.700000000000003</v>
      </c>
      <c r="I6" s="4">
        <f>+AVERAGE(25.42,25.11,24.87)</f>
        <v>25.133333333333336</v>
      </c>
      <c r="J6" s="4">
        <f>+AVERAGE(25.46,24.66,24.89)</f>
        <v>25.003333333333334</v>
      </c>
      <c r="K6" s="4">
        <f>+AVERAGE(26.24,26.23,25.6)</f>
        <v>26.02333333333333</v>
      </c>
      <c r="M6" s="4">
        <f>+AVERAGE(F6,H6,J6)</f>
        <v>24.622222222222224</v>
      </c>
      <c r="N6" s="4">
        <f>MAX(F6,H6,J6)-M6</f>
        <v>0.38111111111111029</v>
      </c>
      <c r="O6" s="4">
        <f>M6-MIN(F6,H6,J6)</f>
        <v>0.45888888888888602</v>
      </c>
      <c r="P6" s="19">
        <f>+N6/M6</f>
        <v>1.547833935018047E-2</v>
      </c>
      <c r="Q6" s="19">
        <f>+O6/M6</f>
        <v>1.8637184115523349E-2</v>
      </c>
      <c r="R6" s="4">
        <f>+AVERAGE(G6,I6,K6)</f>
        <v>25.386666666666667</v>
      </c>
      <c r="S6" s="4">
        <f>MAX(G6,I6,K6)-R6</f>
        <v>0.63666666666666316</v>
      </c>
      <c r="T6" s="4">
        <f>R6-MIN(G6,I6,K6)</f>
        <v>0.38333333333333641</v>
      </c>
      <c r="U6" s="19">
        <f>+S6/R6</f>
        <v>2.5078781512604904E-2</v>
      </c>
      <c r="V6" s="19">
        <f>+T6/R6</f>
        <v>1.5099789915966508E-2</v>
      </c>
    </row>
    <row r="7" spans="5:22">
      <c r="E7" s="3">
        <v>1.5</v>
      </c>
      <c r="F7" s="4">
        <f>+AVERAGE(28.8,27.71,26.06)</f>
        <v>27.523333333333337</v>
      </c>
      <c r="G7" s="4">
        <f>+AVERAGE(27.94,29.59,27.01)</f>
        <v>28.180000000000003</v>
      </c>
      <c r="H7" s="4">
        <f>+AVERAGE(26.8,26.76,26.01)</f>
        <v>26.523333333333337</v>
      </c>
      <c r="I7" s="4">
        <f>+AVERAGE(27.6,27.9,28.01)</f>
        <v>27.83666666666667</v>
      </c>
      <c r="J7" s="4">
        <f>+AVERAGE(26.72,26.85,26.79)</f>
        <v>26.786666666666665</v>
      </c>
      <c r="K7" s="4">
        <f>+AVERAGE(27.5,28.15,27.96)</f>
        <v>27.87</v>
      </c>
      <c r="M7" s="4">
        <f t="shared" ref="M7:M28" si="0">+AVERAGE(F7,H7,J7)</f>
        <v>26.944444444444446</v>
      </c>
      <c r="N7" s="4">
        <f t="shared" ref="N7:N28" si="1">MAX(F7,H7,J7)-M7</f>
        <v>0.57888888888889056</v>
      </c>
      <c r="O7" s="4">
        <f t="shared" ref="O7:O28" si="2">M7-MIN(F7,H7,J7)</f>
        <v>0.42111111111110944</v>
      </c>
      <c r="P7" s="19">
        <f t="shared" ref="P7:P28" si="3">+N7/M7</f>
        <v>2.1484536082474286E-2</v>
      </c>
      <c r="Q7" s="19">
        <f t="shared" ref="Q7:Q28" si="4">+O7/M7</f>
        <v>1.562886597938138E-2</v>
      </c>
      <c r="R7" s="4">
        <f>+AVERAGE(G7,I7,K7)</f>
        <v>27.962222222222223</v>
      </c>
      <c r="S7" s="4">
        <f>MAX(G7,I7,K7)-R7</f>
        <v>0.21777777777777985</v>
      </c>
      <c r="T7" s="4">
        <f>R7-MIN(G7,I7,K7)</f>
        <v>0.12555555555555387</v>
      </c>
      <c r="U7" s="19">
        <f t="shared" ref="U7:U28" si="5">+S7/R7</f>
        <v>7.7882857824049054E-3</v>
      </c>
      <c r="V7" s="19">
        <f t="shared" ref="V7:V28" si="6">+T7/R7</f>
        <v>4.490185170468031E-3</v>
      </c>
    </row>
    <row r="8" spans="5:22">
      <c r="E8" s="3">
        <v>2</v>
      </c>
      <c r="F8" s="4">
        <f>+AVERAGE(27.12,28.04,27.44)</f>
        <v>27.533333333333331</v>
      </c>
      <c r="G8" s="4">
        <f>+AVERAGE(31.04,28.28,30.04)</f>
        <v>29.786666666666665</v>
      </c>
      <c r="H8" s="4">
        <f>+AVERAGE(26.04,26.57,27.12,27.87)</f>
        <v>26.900000000000002</v>
      </c>
      <c r="I8" s="4">
        <f>+AVERAGE(28.73,27.46,29.05)</f>
        <v>28.41333333333333</v>
      </c>
      <c r="J8" s="4">
        <f>+AVERAGE(28.21,28.44,29.37)</f>
        <v>28.673333333333336</v>
      </c>
      <c r="K8" s="4">
        <f>+AVERAGE(29.26,28.77,29.38)</f>
        <v>29.136666666666667</v>
      </c>
      <c r="M8" s="4">
        <f t="shared" si="0"/>
        <v>27.702222222222222</v>
      </c>
      <c r="N8" s="4">
        <f t="shared" si="1"/>
        <v>0.9711111111111137</v>
      </c>
      <c r="O8" s="4">
        <f t="shared" si="2"/>
        <v>0.80222222222221973</v>
      </c>
      <c r="P8" s="19">
        <f t="shared" si="3"/>
        <v>3.5055350553505629E-2</v>
      </c>
      <c r="Q8" s="19">
        <f t="shared" si="4"/>
        <v>2.8958767848547961E-2</v>
      </c>
      <c r="R8" s="4">
        <f>+AVERAGE(G8,I8,K8)</f>
        <v>29.112222222222218</v>
      </c>
      <c r="S8" s="4">
        <f>MAX(G8,I8,K8)-R8</f>
        <v>0.67444444444444684</v>
      </c>
      <c r="T8" s="4">
        <f>R8-MIN(G8,I8,K8)</f>
        <v>0.698888888888888</v>
      </c>
      <c r="U8" s="19">
        <f t="shared" si="5"/>
        <v>2.3167054692569071E-2</v>
      </c>
      <c r="V8" s="19">
        <f t="shared" si="6"/>
        <v>2.4006717300866353E-2</v>
      </c>
    </row>
    <row r="9" spans="5:22">
      <c r="E9" s="3">
        <v>2.5</v>
      </c>
      <c r="F9" s="4">
        <f>+AVERAGE(31.78,31.64,31.84)</f>
        <v>31.753333333333334</v>
      </c>
      <c r="G9" s="4">
        <f>+AVERAGE(33.18,33.03,34.01)</f>
        <v>33.406666666666666</v>
      </c>
      <c r="H9" s="4">
        <f>+AVERAGE(28.37,28.15,28.3)</f>
        <v>28.27333333333333</v>
      </c>
      <c r="I9" s="4">
        <f>+AVERAGE(29.48,31.33,30.27)</f>
        <v>30.36</v>
      </c>
      <c r="J9" s="4">
        <f>+AVERAGE(28.28,29.03,31.39)</f>
        <v>29.566666666666666</v>
      </c>
      <c r="K9" s="4">
        <f>+AVERAGE(31.75,31.49,31.98)</f>
        <v>31.74</v>
      </c>
      <c r="M9" s="4">
        <f>+AVERAGE(F9,H9,J9)</f>
        <v>29.864444444444445</v>
      </c>
      <c r="N9" s="4">
        <f t="shared" si="1"/>
        <v>1.8888888888888893</v>
      </c>
      <c r="O9" s="4">
        <f t="shared" si="2"/>
        <v>1.5911111111111147</v>
      </c>
      <c r="P9" s="19">
        <f t="shared" si="3"/>
        <v>6.3248753627502055E-2</v>
      </c>
      <c r="Q9" s="19">
        <f t="shared" si="4"/>
        <v>5.3277773643872435E-2</v>
      </c>
      <c r="R9" s="4">
        <f>+AVERAGE(G9,I9,K9)</f>
        <v>31.835555555555555</v>
      </c>
      <c r="S9" s="4">
        <f>MAX(G9,I9,K9)-R9</f>
        <v>1.5711111111111116</v>
      </c>
      <c r="T9" s="4">
        <f>R9-MIN(G9,I9,K9)</f>
        <v>1.4755555555555553</v>
      </c>
      <c r="U9" s="19">
        <f t="shared" si="5"/>
        <v>4.9350830657545738E-2</v>
      </c>
      <c r="V9" s="19">
        <f t="shared" si="6"/>
        <v>4.6349294988133456E-2</v>
      </c>
    </row>
    <row r="10" spans="5:22">
      <c r="E10" s="3">
        <v>3</v>
      </c>
      <c r="F10" s="4">
        <f>+AVERAGE(33.21,33.17,31.41)</f>
        <v>32.596666666666664</v>
      </c>
      <c r="G10" s="4">
        <f>+AVERAGE(34.53,32.75,35.22)</f>
        <v>34.166666666666664</v>
      </c>
      <c r="H10" s="4">
        <f>+AVERAGE(29.65,29.69,30.46)</f>
        <v>29.933333333333337</v>
      </c>
      <c r="I10" s="4">
        <f>+AVERAGE(33.25,32.9,33.45)</f>
        <v>33.200000000000003</v>
      </c>
      <c r="J10" s="4">
        <f>+AVERAGE(31.5,32.21,31.21)</f>
        <v>31.64</v>
      </c>
      <c r="K10" s="4">
        <f>+AVERAGE(33.61,33.68,33.9)</f>
        <v>33.729999999999997</v>
      </c>
      <c r="M10" s="4">
        <f t="shared" si="0"/>
        <v>31.39</v>
      </c>
      <c r="N10" s="4">
        <f t="shared" si="1"/>
        <v>1.2066666666666634</v>
      </c>
      <c r="O10" s="4">
        <f t="shared" si="2"/>
        <v>1.4566666666666634</v>
      </c>
      <c r="P10" s="19">
        <f t="shared" si="3"/>
        <v>3.8441117128597116E-2</v>
      </c>
      <c r="Q10" s="19">
        <f t="shared" si="4"/>
        <v>4.6405436975682175E-2</v>
      </c>
      <c r="R10" s="4">
        <f>+AVERAGE(G10,I10,K10)</f>
        <v>33.698888888888888</v>
      </c>
      <c r="S10" s="4">
        <f>MAX(G10,I10,K10)-R10</f>
        <v>0.46777777777777629</v>
      </c>
      <c r="T10" s="4">
        <f>R10-MIN(G10,I10,K10)</f>
        <v>0.49888888888888516</v>
      </c>
      <c r="U10" s="19">
        <f t="shared" si="5"/>
        <v>1.388110389396283E-2</v>
      </c>
      <c r="V10" s="19">
        <f t="shared" si="6"/>
        <v>1.4804312704012551E-2</v>
      </c>
    </row>
    <row r="11" spans="5:22">
      <c r="E11" s="3">
        <v>3.5</v>
      </c>
      <c r="F11" s="4">
        <f>+AVERAGE(32.33,35.49,35.68)</f>
        <v>34.5</v>
      </c>
      <c r="G11" s="4">
        <f>+AVERAGE(40.43,39.54,40.06)</f>
        <v>40.01</v>
      </c>
      <c r="H11" s="4">
        <f>+AVERAGE(33.73,33.93,34.49)</f>
        <v>34.050000000000004</v>
      </c>
      <c r="I11" s="4">
        <f>+AVERAGE(36.21,37.58,37.17)</f>
        <v>36.986666666666665</v>
      </c>
      <c r="J11" s="4">
        <f>+AVERAGE(36.15,34.15,34.25)</f>
        <v>34.85</v>
      </c>
      <c r="K11" s="4">
        <f>+AVERAGE(36.73,37.13,37.96)</f>
        <v>37.273333333333333</v>
      </c>
      <c r="M11" s="4">
        <f t="shared" si="0"/>
        <v>34.466666666666669</v>
      </c>
      <c r="N11" s="4">
        <f t="shared" si="1"/>
        <v>0.38333333333333286</v>
      </c>
      <c r="O11" s="4">
        <f t="shared" si="2"/>
        <v>0.4166666666666643</v>
      </c>
      <c r="P11" s="19">
        <f t="shared" si="3"/>
        <v>1.1121856866537704E-2</v>
      </c>
      <c r="Q11" s="19">
        <f t="shared" si="4"/>
        <v>1.2088974854932232E-2</v>
      </c>
      <c r="R11" s="4">
        <f>+AVERAGE(G11,I11,K11)</f>
        <v>38.090000000000003</v>
      </c>
      <c r="S11" s="4">
        <f>MAX(G11,I11,K11)-R11</f>
        <v>1.9199999999999946</v>
      </c>
      <c r="T11" s="4">
        <f>R11-MIN(G11,I11,K11)</f>
        <v>1.1033333333333388</v>
      </c>
      <c r="U11" s="19">
        <f t="shared" si="5"/>
        <v>5.0406930953005892E-2</v>
      </c>
      <c r="V11" s="19">
        <f t="shared" si="6"/>
        <v>2.8966482891397707E-2</v>
      </c>
    </row>
    <row r="12" spans="5:22">
      <c r="E12" s="3">
        <v>4</v>
      </c>
      <c r="F12" s="4">
        <f>+AVERAGE(39.11,39.66,40.41)</f>
        <v>39.726666666666667</v>
      </c>
      <c r="G12" s="4">
        <f>+AVERAGE(40.6,42.6,43.51)</f>
        <v>42.236666666666672</v>
      </c>
      <c r="H12" s="4">
        <f>+AVERAGE(35.78,36.93,37.51)</f>
        <v>36.74</v>
      </c>
      <c r="I12" s="4">
        <f>+AVERAGE(39.85,44.16,41.71)</f>
        <v>41.906666666666666</v>
      </c>
      <c r="J12" s="4">
        <f>+AVERAGE(37.46,38.78,37.48)</f>
        <v>37.906666666666666</v>
      </c>
      <c r="K12" s="4">
        <f>+AVERAGE(41.31,41.62,42.8)</f>
        <v>41.910000000000004</v>
      </c>
      <c r="M12" s="4">
        <f t="shared" si="0"/>
        <v>38.124444444444443</v>
      </c>
      <c r="N12" s="4">
        <f t="shared" si="1"/>
        <v>1.602222222222224</v>
      </c>
      <c r="O12" s="4">
        <f t="shared" si="2"/>
        <v>1.3844444444444406</v>
      </c>
      <c r="P12" s="19">
        <f t="shared" si="3"/>
        <v>4.2026113313126653E-2</v>
      </c>
      <c r="Q12" s="19">
        <f t="shared" si="4"/>
        <v>3.6313826066682112E-2</v>
      </c>
      <c r="R12" s="4">
        <f>+AVERAGE(G12,I12,K12)</f>
        <v>42.017777777777781</v>
      </c>
      <c r="S12" s="4">
        <f>MAX(G12,I12,K12)-R12</f>
        <v>0.21888888888889113</v>
      </c>
      <c r="T12" s="4">
        <f>R12-MIN(G12,I12,K12)</f>
        <v>0.11111111111111427</v>
      </c>
      <c r="U12" s="19">
        <f t="shared" si="5"/>
        <v>5.2094351597208061E-3</v>
      </c>
      <c r="V12" s="19">
        <f t="shared" si="6"/>
        <v>2.6443833298075638E-3</v>
      </c>
    </row>
    <row r="13" spans="5:22">
      <c r="E13" s="3">
        <v>4.5</v>
      </c>
      <c r="F13" s="4">
        <f>+AVERAGE(40.21,42.23,42.6)</f>
        <v>41.68</v>
      </c>
      <c r="G13" s="4">
        <f>+AVERAGE(45.82,43.26,45.71)</f>
        <v>44.93</v>
      </c>
      <c r="H13" s="4">
        <f>+AVERAGE(38.57,38.64,39.71)</f>
        <v>38.973333333333336</v>
      </c>
      <c r="I13" s="4">
        <f>+AVERAGE(43.76,43.12,44.75)</f>
        <v>43.876666666666665</v>
      </c>
      <c r="J13" s="4">
        <f>+AVERAGE(42.37,42.3,41.2)</f>
        <v>41.956666666666663</v>
      </c>
      <c r="K13" s="4">
        <f>+AVERAGE(43.45,44.52,45.21)</f>
        <v>44.393333333333338</v>
      </c>
      <c r="M13" s="4">
        <f t="shared" si="0"/>
        <v>40.869999999999997</v>
      </c>
      <c r="N13" s="4">
        <f t="shared" si="1"/>
        <v>1.086666666666666</v>
      </c>
      <c r="O13" s="4">
        <f t="shared" si="2"/>
        <v>1.8966666666666612</v>
      </c>
      <c r="P13" s="19">
        <f t="shared" si="3"/>
        <v>2.6588369627273453E-2</v>
      </c>
      <c r="Q13" s="19">
        <f t="shared" si="4"/>
        <v>4.6407307723676565E-2</v>
      </c>
      <c r="R13" s="4">
        <f>+AVERAGE(G13,I13,K13)</f>
        <v>44.400000000000006</v>
      </c>
      <c r="S13" s="4">
        <f>MAX(G13,I13,K13)-R13</f>
        <v>0.52999999999999403</v>
      </c>
      <c r="T13" s="4">
        <f>R13-MIN(G13,I13,K13)</f>
        <v>0.52333333333334053</v>
      </c>
      <c r="U13" s="19">
        <f t="shared" si="5"/>
        <v>1.1936936936936801E-2</v>
      </c>
      <c r="V13" s="19">
        <f t="shared" si="6"/>
        <v>1.1786786786786947E-2</v>
      </c>
    </row>
    <row r="14" spans="5:22">
      <c r="E14" s="3">
        <v>5</v>
      </c>
      <c r="F14" s="4">
        <f>+AVERAGE(43.17,42.94,44.19)</f>
        <v>43.433333333333337</v>
      </c>
      <c r="G14" s="4">
        <f>+AVERAGE(44.81,47.93,47.54)</f>
        <v>46.76</v>
      </c>
      <c r="H14" s="4">
        <f>+AVERAGE(43.83,43.64,44.67)</f>
        <v>44.04666666666666</v>
      </c>
      <c r="I14" s="4">
        <f>+AVERAGE(47.75,48.34,49.01)</f>
        <v>48.366666666666667</v>
      </c>
      <c r="J14" s="4">
        <f>+AVERAGE(44.59,44.23,45.46)</f>
        <v>44.76</v>
      </c>
      <c r="K14" s="4">
        <f>+AVERAGE(47.41,46.66,47.09)</f>
        <v>47.053333333333335</v>
      </c>
      <c r="M14" s="4">
        <f t="shared" si="0"/>
        <v>44.079999999999991</v>
      </c>
      <c r="N14" s="4">
        <f t="shared" si="1"/>
        <v>0.68000000000000682</v>
      </c>
      <c r="O14" s="4">
        <f t="shared" si="2"/>
        <v>0.64666666666665407</v>
      </c>
      <c r="P14" s="19">
        <f t="shared" si="3"/>
        <v>1.542649727767711E-2</v>
      </c>
      <c r="Q14" s="19">
        <f t="shared" si="4"/>
        <v>1.4670296430731719E-2</v>
      </c>
      <c r="R14" s="4">
        <f>+AVERAGE(G14,I14,K14)</f>
        <v>47.393333333333338</v>
      </c>
      <c r="S14" s="4">
        <f>MAX(G14,I14,K14)-R14</f>
        <v>0.97333333333332916</v>
      </c>
      <c r="T14" s="4">
        <f>R14-MIN(G14,I14,K14)</f>
        <v>0.63333333333333997</v>
      </c>
      <c r="U14" s="19">
        <f t="shared" si="5"/>
        <v>2.0537347024897925E-2</v>
      </c>
      <c r="V14" s="19">
        <f t="shared" si="6"/>
        <v>1.33633422422283E-2</v>
      </c>
    </row>
    <row r="15" spans="5:22">
      <c r="E15" s="3">
        <v>5.5</v>
      </c>
      <c r="F15" s="4">
        <f>+AVERAGE(46.39,45.44,48.32)</f>
        <v>46.716666666666669</v>
      </c>
      <c r="G15" s="4">
        <f>+AVERAGE(50.47,53.04,52.99)</f>
        <v>52.166666666666664</v>
      </c>
      <c r="H15" s="4">
        <f>+AVERAGE(44.4,45.18,46.73)</f>
        <v>45.436666666666667</v>
      </c>
      <c r="I15" s="4">
        <f>+AVERAGE(50.55,52.52,52.06)</f>
        <v>51.71</v>
      </c>
      <c r="J15" s="4">
        <f>+AVERAGE(43.81,46.02,47.48)</f>
        <v>45.77</v>
      </c>
      <c r="K15" s="4">
        <f>+AVERAGE(50.79,51.56,52.53)</f>
        <v>51.626666666666665</v>
      </c>
      <c r="M15" s="4">
        <f t="shared" si="0"/>
        <v>45.974444444444451</v>
      </c>
      <c r="N15" s="4">
        <f t="shared" si="1"/>
        <v>0.74222222222221745</v>
      </c>
      <c r="O15" s="4">
        <f t="shared" si="2"/>
        <v>0.53777777777778368</v>
      </c>
      <c r="P15" s="19">
        <f t="shared" si="3"/>
        <v>1.614423471977175E-2</v>
      </c>
      <c r="Q15" s="19">
        <f t="shared" si="4"/>
        <v>1.1697319767020452E-2</v>
      </c>
      <c r="R15" s="4">
        <f>+AVERAGE(G15,I15,K15)</f>
        <v>51.834444444444443</v>
      </c>
      <c r="S15" s="4">
        <f>MAX(G15,I15,K15)-R15</f>
        <v>0.33222222222222086</v>
      </c>
      <c r="T15" s="4">
        <f>R15-MIN(G15,I15,K15)</f>
        <v>0.20777777777777828</v>
      </c>
      <c r="U15" s="19">
        <f t="shared" si="5"/>
        <v>6.4092945488842422E-3</v>
      </c>
      <c r="V15" s="19">
        <f t="shared" si="6"/>
        <v>4.0084885640179297E-3</v>
      </c>
    </row>
    <row r="16" spans="5:22">
      <c r="E16" s="3">
        <v>6</v>
      </c>
      <c r="F16" s="4">
        <f>+AVERAGE(49.92,50.47,52.18)</f>
        <v>50.856666666666662</v>
      </c>
      <c r="G16" s="4">
        <f>+AVERAGE(56.99,56.84,57)</f>
        <v>56.943333333333335</v>
      </c>
      <c r="H16" s="4">
        <f>+AVERAGE(49.1,50.61,51.2)</f>
        <v>50.303333333333342</v>
      </c>
      <c r="I16" s="4">
        <f>+AVERAGE(56.1,56.66,57.98)</f>
        <v>56.913333333333327</v>
      </c>
      <c r="J16" s="4">
        <f>+AVERAGE(52.5,53.13,49.64)</f>
        <v>51.756666666666661</v>
      </c>
      <c r="K16" s="4">
        <f>+AVERAGE(56.2,55.8,56.76)</f>
        <v>56.25333333333333</v>
      </c>
      <c r="M16" s="4">
        <f t="shared" si="0"/>
        <v>50.972222222222221</v>
      </c>
      <c r="N16" s="4">
        <f t="shared" si="1"/>
        <v>0.78444444444443917</v>
      </c>
      <c r="O16" s="4">
        <f t="shared" si="2"/>
        <v>0.66888888888887976</v>
      </c>
      <c r="P16" s="19">
        <f t="shared" si="3"/>
        <v>1.5389645776566653E-2</v>
      </c>
      <c r="Q16" s="19">
        <f t="shared" si="4"/>
        <v>1.3122615803814535E-2</v>
      </c>
      <c r="R16" s="4">
        <f>+AVERAGE(G16,I16,K16)</f>
        <v>56.703333333333326</v>
      </c>
      <c r="S16" s="4">
        <f>MAX(G16,I16,K16)-R16</f>
        <v>0.24000000000000909</v>
      </c>
      <c r="T16" s="4">
        <f>R16-MIN(G16,I16,K16)</f>
        <v>0.44999999999999574</v>
      </c>
      <c r="U16" s="19">
        <f t="shared" si="5"/>
        <v>4.2325554053261267E-3</v>
      </c>
      <c r="V16" s="19">
        <f t="shared" si="6"/>
        <v>7.936041384986112E-3</v>
      </c>
    </row>
    <row r="17" spans="5:22">
      <c r="E17" s="3">
        <v>6.5</v>
      </c>
      <c r="F17" s="4">
        <f>+AVERAGE(52.68,52.31,53.37)</f>
        <v>52.786666666666669</v>
      </c>
      <c r="G17" s="4">
        <f>+AVERAGE(59.07,57.61,59.79)</f>
        <v>58.823333333333331</v>
      </c>
      <c r="H17" s="4">
        <f>+AVERAGE(50.74,51.18,53.03)</f>
        <v>51.65</v>
      </c>
      <c r="I17" s="4">
        <f>+AVERAGE(58.64,60.04,59.93)</f>
        <v>59.536666666666669</v>
      </c>
      <c r="J17" s="4">
        <f>+AVERAGE(53.45,53.88,53.87)</f>
        <v>53.733333333333341</v>
      </c>
      <c r="K17" s="4">
        <f>+AVERAGE(59.38,55.51,61.19)</f>
        <v>58.693333333333328</v>
      </c>
      <c r="M17" s="4">
        <f t="shared" si="0"/>
        <v>52.723333333333336</v>
      </c>
      <c r="N17" s="4">
        <f t="shared" si="1"/>
        <v>1.0100000000000051</v>
      </c>
      <c r="O17" s="4">
        <f t="shared" si="2"/>
        <v>1.0733333333333377</v>
      </c>
      <c r="P17" s="19">
        <f t="shared" si="3"/>
        <v>1.9156603654296108E-2</v>
      </c>
      <c r="Q17" s="19">
        <f t="shared" si="4"/>
        <v>2.0357842827337755E-2</v>
      </c>
      <c r="R17" s="4">
        <f>+AVERAGE(G17,I17,K17)</f>
        <v>59.017777777777781</v>
      </c>
      <c r="S17" s="4">
        <f>MAX(G17,I17,K17)-R17</f>
        <v>0.51888888888888829</v>
      </c>
      <c r="T17" s="4">
        <f>R17-MIN(G17,I17,K17)</f>
        <v>0.32444444444445253</v>
      </c>
      <c r="U17" s="19">
        <f t="shared" si="5"/>
        <v>8.7920777166955229E-3</v>
      </c>
      <c r="V17" s="19">
        <f t="shared" si="6"/>
        <v>5.4974019127947745E-3</v>
      </c>
    </row>
    <row r="18" spans="5:22">
      <c r="E18" s="3">
        <v>7</v>
      </c>
      <c r="F18" s="4">
        <f>+AVERAGE(57.08,59.47,58.45)</f>
        <v>58.333333333333336</v>
      </c>
      <c r="G18" s="4">
        <f>+AVERAGE(64.24,67.73,54.48)</f>
        <v>62.15</v>
      </c>
      <c r="H18" s="4">
        <f>+AVERAGE(56.59,58.48,59.13)</f>
        <v>58.066666666666663</v>
      </c>
      <c r="I18" s="4">
        <f>+AVERAGE(63.63,63.78,64.44)</f>
        <v>63.949999999999996</v>
      </c>
      <c r="J18" s="4">
        <f>+AVERAGE(60.62,55.62,59.91)</f>
        <v>58.716666666666661</v>
      </c>
      <c r="K18" s="4">
        <f>+AVERAGE(63.42,63.57,64.03)</f>
        <v>63.673333333333339</v>
      </c>
      <c r="M18" s="4">
        <f t="shared" si="0"/>
        <v>58.372222222222227</v>
      </c>
      <c r="N18" s="4">
        <f t="shared" si="1"/>
        <v>0.34444444444443434</v>
      </c>
      <c r="O18" s="4">
        <f t="shared" si="2"/>
        <v>0.30555555555556424</v>
      </c>
      <c r="P18" s="19">
        <f t="shared" si="3"/>
        <v>5.9008280194154539E-3</v>
      </c>
      <c r="Q18" s="19">
        <f t="shared" si="4"/>
        <v>5.2346055010946569E-3</v>
      </c>
      <c r="R18" s="4">
        <f>+AVERAGE(G18,I18,K18)</f>
        <v>63.257777777777783</v>
      </c>
      <c r="S18" s="4">
        <f>MAX(G18,I18,K18)-R18</f>
        <v>0.69222222222221319</v>
      </c>
      <c r="T18" s="4">
        <f>R18-MIN(G18,I18,K18)</f>
        <v>1.107777777777784</v>
      </c>
      <c r="U18" s="19">
        <f t="shared" si="5"/>
        <v>1.0942879224337662E-2</v>
      </c>
      <c r="V18" s="19">
        <f t="shared" si="6"/>
        <v>1.7512119721773439E-2</v>
      </c>
    </row>
    <row r="19" spans="5:22">
      <c r="E19" s="3">
        <v>7.5</v>
      </c>
      <c r="F19" s="4">
        <f>+AVERAGE(59.21,60.27,61.69)</f>
        <v>60.390000000000008</v>
      </c>
      <c r="G19" s="4">
        <f>+AVERAGE(68.79,68.57,68.31)</f>
        <v>68.556666666666672</v>
      </c>
      <c r="H19" s="4">
        <f>+AVERAGE(59.25,58.68,61.89)</f>
        <v>59.94</v>
      </c>
      <c r="I19" s="4">
        <f>+AVERAGE(68.91,69.66,70.43)</f>
        <v>69.666666666666671</v>
      </c>
      <c r="J19" s="4">
        <f>+AVERAGE(58.29,62.34,64.67)</f>
        <v>61.766666666666673</v>
      </c>
      <c r="K19" s="4">
        <f>+AVERAGE(67.99,70.87,71.96)</f>
        <v>70.273333333333326</v>
      </c>
      <c r="M19" s="4">
        <f t="shared" si="0"/>
        <v>60.698888888888895</v>
      </c>
      <c r="N19" s="4">
        <f t="shared" si="1"/>
        <v>1.0677777777777777</v>
      </c>
      <c r="O19" s="4">
        <f t="shared" si="2"/>
        <v>0.75888888888889738</v>
      </c>
      <c r="P19" s="19">
        <f t="shared" si="3"/>
        <v>1.7591389188892345E-2</v>
      </c>
      <c r="Q19" s="19">
        <f t="shared" si="4"/>
        <v>1.2502516978161921E-2</v>
      </c>
      <c r="R19" s="4">
        <f>+AVERAGE(G19,I19,K19)</f>
        <v>69.498888888888885</v>
      </c>
      <c r="S19" s="4">
        <f>MAX(G19,I19,K19)-R19</f>
        <v>0.77444444444444116</v>
      </c>
      <c r="T19" s="4">
        <f>R19-MIN(G19,I19,K19)</f>
        <v>0.94222222222221319</v>
      </c>
      <c r="U19" s="19">
        <f t="shared" si="5"/>
        <v>1.1143263681273835E-2</v>
      </c>
      <c r="V19" s="19">
        <f t="shared" si="6"/>
        <v>1.3557371021119313E-2</v>
      </c>
    </row>
    <row r="20" spans="5:22">
      <c r="E20" s="3">
        <v>8</v>
      </c>
      <c r="F20" s="4">
        <f>+AVERAGE(63.88,63.54,65.89)</f>
        <v>64.436666666666667</v>
      </c>
      <c r="G20" s="4">
        <f>+AVERAGE(70.34,71.38,72.49)</f>
        <v>71.403333333333322</v>
      </c>
      <c r="H20" s="4">
        <f>+AVERAGE(62.68,63.79,66.14)</f>
        <v>64.203333333333333</v>
      </c>
      <c r="I20" s="4">
        <f>+AVERAGE(69.99,71.52,72.26)</f>
        <v>71.256666666666661</v>
      </c>
      <c r="J20" s="4">
        <f>+AVERAGE(62.98,64.44,66.45)</f>
        <v>64.623333333333335</v>
      </c>
      <c r="K20" s="4">
        <f>+AVERAGE(72.14,72.29,73.57)</f>
        <v>72.666666666666671</v>
      </c>
      <c r="M20" s="4">
        <f t="shared" si="0"/>
        <v>64.421111111111102</v>
      </c>
      <c r="N20" s="4">
        <f t="shared" si="1"/>
        <v>0.20222222222223252</v>
      </c>
      <c r="O20" s="4">
        <f t="shared" si="2"/>
        <v>0.21777777777776919</v>
      </c>
      <c r="P20" s="19">
        <f t="shared" si="3"/>
        <v>3.1390675934391639E-3</v>
      </c>
      <c r="Q20" s="19">
        <f t="shared" si="4"/>
        <v>3.3805343313957174E-3</v>
      </c>
      <c r="R20" s="4">
        <f>+AVERAGE(G20,I20,K20)</f>
        <v>71.775555555555556</v>
      </c>
      <c r="S20" s="4">
        <f>MAX(G20,I20,K20)-R20</f>
        <v>0.89111111111111541</v>
      </c>
      <c r="T20" s="4">
        <f>R20-MIN(G20,I20,K20)</f>
        <v>0.51888888888889539</v>
      </c>
      <c r="U20" s="19">
        <f t="shared" si="5"/>
        <v>1.24152450540265E-2</v>
      </c>
      <c r="V20" s="19">
        <f t="shared" si="6"/>
        <v>7.2293259853247133E-3</v>
      </c>
    </row>
    <row r="21" spans="5:22">
      <c r="E21" s="3">
        <v>8.5</v>
      </c>
      <c r="F21" s="4">
        <f>+AVERAGE(68.18,70.58,71.55)</f>
        <v>70.103333333333339</v>
      </c>
      <c r="G21" s="4">
        <f>+AVERAGE(78.58,78.33,77.79)</f>
        <v>78.233333333333334</v>
      </c>
      <c r="H21" s="4">
        <f>+AVERAGE(68.35,70.61,71.59)</f>
        <v>70.183333333333323</v>
      </c>
      <c r="I21" s="4">
        <f>+AVERAGE(77.99,77.57,77.97)</f>
        <v>77.843333333333334</v>
      </c>
      <c r="J21" s="4">
        <f>+AVERAGE(69.59,72.12,70.28)</f>
        <v>70.663333333333341</v>
      </c>
      <c r="K21" s="4">
        <f>+AVERAGE(79.62,75.52,77.31)</f>
        <v>77.483333333333334</v>
      </c>
      <c r="M21" s="4">
        <f t="shared" si="0"/>
        <v>70.316666666666663</v>
      </c>
      <c r="N21" s="4">
        <f t="shared" si="1"/>
        <v>0.34666666666667822</v>
      </c>
      <c r="O21" s="4">
        <f t="shared" si="2"/>
        <v>0.21333333333332405</v>
      </c>
      <c r="P21" s="19">
        <f t="shared" si="3"/>
        <v>4.9300782175872703E-3</v>
      </c>
      <c r="Q21" s="19">
        <f t="shared" si="4"/>
        <v>3.0338942877457795E-3</v>
      </c>
      <c r="R21" s="4">
        <f>+AVERAGE(G21,I21,K21)</f>
        <v>77.853333333333339</v>
      </c>
      <c r="S21" s="4">
        <f>MAX(G21,I21,K21)-R21</f>
        <v>0.37999999999999545</v>
      </c>
      <c r="T21" s="4">
        <f>R21-MIN(G21,I21,K21)</f>
        <v>0.37000000000000455</v>
      </c>
      <c r="U21" s="19">
        <f t="shared" si="5"/>
        <v>4.8809727693097547E-3</v>
      </c>
      <c r="V21" s="19">
        <f t="shared" si="6"/>
        <v>4.7525261174859289E-3</v>
      </c>
    </row>
    <row r="22" spans="5:22">
      <c r="E22" s="3">
        <v>9</v>
      </c>
      <c r="F22" s="4">
        <f>+AVERAGE(72.99,71.05,70.88)</f>
        <v>71.64</v>
      </c>
      <c r="G22" s="4">
        <f>+AVERAGE(81.92,79.41,80.8)</f>
        <v>80.709999999999994</v>
      </c>
      <c r="H22" s="4">
        <f>+AVERAGE(71.55,76.69,73.54)</f>
        <v>73.926666666666677</v>
      </c>
      <c r="I22" s="4">
        <f>+AVERAGE(82.61,82.29,82.7)</f>
        <v>82.533333333333346</v>
      </c>
      <c r="J22" s="4">
        <f>+AVERAGE(72.5,75.23,69.48)</f>
        <v>72.40333333333335</v>
      </c>
      <c r="K22" s="4">
        <f>+AVERAGE(80.44,83.7,82.53)</f>
        <v>82.223333333333329</v>
      </c>
      <c r="M22" s="4">
        <f t="shared" si="0"/>
        <v>72.65666666666668</v>
      </c>
      <c r="N22" s="4">
        <f t="shared" si="1"/>
        <v>1.269999999999996</v>
      </c>
      <c r="O22" s="4">
        <f t="shared" si="2"/>
        <v>1.0166666666666799</v>
      </c>
      <c r="P22" s="19">
        <f t="shared" si="3"/>
        <v>1.7479469651786886E-2</v>
      </c>
      <c r="Q22" s="19">
        <f t="shared" si="4"/>
        <v>1.3992751296050095E-2</v>
      </c>
      <c r="R22" s="4">
        <f>+AVERAGE(G22,I22,K22)</f>
        <v>81.822222222222223</v>
      </c>
      <c r="S22" s="4">
        <f>MAX(G22,I22,K22)-R22</f>
        <v>0.7111111111111228</v>
      </c>
      <c r="T22" s="4">
        <f>R22-MIN(G22,I22,K22)</f>
        <v>1.1122222222222291</v>
      </c>
      <c r="U22" s="19">
        <f t="shared" si="5"/>
        <v>8.690928843020241E-3</v>
      </c>
      <c r="V22" s="19">
        <f t="shared" si="6"/>
        <v>1.3593155893536206E-2</v>
      </c>
    </row>
    <row r="23" spans="5:22">
      <c r="E23" s="3">
        <v>9.5</v>
      </c>
      <c r="F23" s="4">
        <f>+AVERAGE(72.46,76.04,77.14)</f>
        <v>75.213333333333324</v>
      </c>
      <c r="G23" s="4">
        <f>+AVERAGE(83.78,83.99,84.58)</f>
        <v>84.11666666666666</v>
      </c>
      <c r="H23" s="4">
        <f>+AVERAGE(72.05,76.89,78.37)</f>
        <v>75.77</v>
      </c>
      <c r="I23" s="4">
        <f>+AVERAGE(83.94,88.63,87.41)</f>
        <v>86.660000000000011</v>
      </c>
      <c r="J23" s="4">
        <f>+AVERAGE(77.36,75.8,74.9)</f>
        <v>76.02</v>
      </c>
      <c r="K23" s="4">
        <f>+AVERAGE(85.05,86.76,88.75)</f>
        <v>86.853333333333339</v>
      </c>
      <c r="M23" s="4">
        <f t="shared" si="0"/>
        <v>75.667777777777772</v>
      </c>
      <c r="N23" s="4">
        <f t="shared" si="1"/>
        <v>0.35222222222222399</v>
      </c>
      <c r="O23" s="4">
        <f t="shared" si="2"/>
        <v>0.45444444444444798</v>
      </c>
      <c r="P23" s="19">
        <f t="shared" si="3"/>
        <v>4.6548508832469655E-3</v>
      </c>
      <c r="Q23" s="19">
        <f t="shared" si="4"/>
        <v>6.005785524441685E-3</v>
      </c>
      <c r="R23" s="4">
        <f>+AVERAGE(G23,I23,K23)</f>
        <v>85.876666666666665</v>
      </c>
      <c r="S23" s="4">
        <f>MAX(G23,I23,K23)-R23</f>
        <v>0.97666666666667368</v>
      </c>
      <c r="T23" s="4">
        <f>R23-MIN(G23,I23,K23)</f>
        <v>1.7600000000000051</v>
      </c>
      <c r="U23" s="19">
        <f t="shared" si="5"/>
        <v>1.1372899118891515E-2</v>
      </c>
      <c r="V23" s="19">
        <f t="shared" si="6"/>
        <v>2.0494507627217388E-2</v>
      </c>
    </row>
    <row r="24" spans="5:22">
      <c r="E24" s="3">
        <v>10</v>
      </c>
      <c r="F24" s="4">
        <f>+AVERAGE(79.04,82.76,78.91)</f>
        <v>80.236666666666665</v>
      </c>
      <c r="G24" s="4">
        <f>+AVERAGE(90.45,87.93,91.06)</f>
        <v>89.813333333333333</v>
      </c>
      <c r="H24" s="4">
        <f>+AVERAGE(81.15,84.37,77.12)</f>
        <v>80.88000000000001</v>
      </c>
      <c r="I24" s="4">
        <f>+AVERAGE(92.19,91.25,90.29)</f>
        <v>91.243333333333339</v>
      </c>
      <c r="J24" s="4">
        <f>+AVERAGE(78.4,82.5,84.19)</f>
        <v>81.696666666666673</v>
      </c>
      <c r="K24" s="4">
        <f>+AVERAGE(90.23,90.87,91.36)</f>
        <v>90.820000000000007</v>
      </c>
      <c r="M24" s="4">
        <f t="shared" si="0"/>
        <v>80.937777777777782</v>
      </c>
      <c r="N24" s="4">
        <f t="shared" si="1"/>
        <v>0.75888888888889028</v>
      </c>
      <c r="O24" s="4">
        <f t="shared" si="2"/>
        <v>0.70111111111111768</v>
      </c>
      <c r="P24" s="19">
        <f t="shared" si="3"/>
        <v>9.3762011970787047E-3</v>
      </c>
      <c r="Q24" s="19">
        <f t="shared" si="4"/>
        <v>8.6623469331723393E-3</v>
      </c>
      <c r="R24" s="4">
        <f>+AVERAGE(G24,I24,K24)</f>
        <v>90.62555555555555</v>
      </c>
      <c r="S24" s="4">
        <f>MAX(G24,I24,K24)-R24</f>
        <v>0.61777777777778908</v>
      </c>
      <c r="T24" s="4">
        <f>R24-MIN(G24,I24,K24)</f>
        <v>0.81222222222221774</v>
      </c>
      <c r="U24" s="19">
        <f t="shared" si="5"/>
        <v>6.8168164486349225E-3</v>
      </c>
      <c r="V24" s="19">
        <f t="shared" si="6"/>
        <v>8.9623971653813132E-3</v>
      </c>
    </row>
    <row r="25" spans="5:22">
      <c r="E25" s="3">
        <v>10.5</v>
      </c>
      <c r="F25" s="4">
        <f>+AVERAGE(82.75,84.99,86.36)</f>
        <v>84.7</v>
      </c>
      <c r="G25" s="4">
        <f>+AVERAGE(93.07,93.82,94.94)</f>
        <v>93.943333333333328</v>
      </c>
      <c r="H25" s="4">
        <f>+AVERAGE(79.84,84.73,86.71)</f>
        <v>83.759999999999991</v>
      </c>
      <c r="I25" s="4">
        <f>+AVERAGE(96.76,95.51,95.75)</f>
        <v>96.006666666666661</v>
      </c>
      <c r="J25" s="4">
        <f>+AVERAGE(85.6,85.1,83.75)</f>
        <v>84.816666666666663</v>
      </c>
      <c r="K25" s="4">
        <f>+AVERAGE(94.62,97.5,100.55)</f>
        <v>97.556666666666672</v>
      </c>
      <c r="M25" s="4">
        <f t="shared" si="0"/>
        <v>84.425555555555547</v>
      </c>
      <c r="N25" s="4">
        <f t="shared" si="1"/>
        <v>0.39111111111111541</v>
      </c>
      <c r="O25" s="4">
        <f t="shared" si="2"/>
        <v>0.66555555555555657</v>
      </c>
      <c r="P25" s="19">
        <f t="shared" si="3"/>
        <v>4.6326151902399736E-3</v>
      </c>
      <c r="Q25" s="19">
        <f t="shared" si="4"/>
        <v>7.8833423265730618E-3</v>
      </c>
      <c r="R25" s="4">
        <f>+AVERAGE(G25,I25,K25)</f>
        <v>95.835555555555558</v>
      </c>
      <c r="S25" s="4">
        <f>MAX(G25,I25,K25)-R25</f>
        <v>1.7211111111111137</v>
      </c>
      <c r="T25" s="4">
        <f>R25-MIN(G25,I25,K25)</f>
        <v>1.8922222222222302</v>
      </c>
      <c r="U25" s="19">
        <f t="shared" si="5"/>
        <v>1.7959003849186132E-2</v>
      </c>
      <c r="V25" s="19">
        <f t="shared" si="6"/>
        <v>1.9744469693456466E-2</v>
      </c>
    </row>
    <row r="26" spans="5:22">
      <c r="E26" s="3">
        <v>11</v>
      </c>
      <c r="F26" s="4">
        <f>+AVERAGE(90.65,85.52,88.91)</f>
        <v>88.360000000000014</v>
      </c>
      <c r="G26" s="4">
        <f>+AVERAGE(98.89,99.37,98.93)</f>
        <v>99.063333333333333</v>
      </c>
      <c r="H26" s="4">
        <f>+AVERAGE(87.89,92.25,92.46)</f>
        <v>90.86666666666666</v>
      </c>
      <c r="I26" s="4">
        <f>+AVERAGE(98.9,100.65,99.47)</f>
        <v>99.673333333333332</v>
      </c>
      <c r="J26" s="4">
        <f>+AVERAGE(90.6,89.3,89.34)</f>
        <v>89.74666666666667</v>
      </c>
      <c r="K26" s="4">
        <f>+AVERAGE(99.76,100.41,101.23)</f>
        <v>100.46666666666668</v>
      </c>
      <c r="M26" s="4">
        <f t="shared" si="0"/>
        <v>89.657777777777781</v>
      </c>
      <c r="N26" s="4">
        <f t="shared" si="1"/>
        <v>1.2088888888888789</v>
      </c>
      <c r="O26" s="4">
        <f t="shared" si="2"/>
        <v>1.2977777777777675</v>
      </c>
      <c r="P26" s="19">
        <f t="shared" si="3"/>
        <v>1.3483368859366369E-2</v>
      </c>
      <c r="Q26" s="19">
        <f t="shared" si="4"/>
        <v>1.4474793040202135E-2</v>
      </c>
      <c r="R26" s="4">
        <f>+AVERAGE(G26,I26,K26)</f>
        <v>99.734444444444463</v>
      </c>
      <c r="S26" s="4">
        <f>MAX(G26,I26,K26)-R26</f>
        <v>0.73222222222221944</v>
      </c>
      <c r="T26" s="4">
        <f>R26-MIN(G26,I26,K26)</f>
        <v>0.67111111111113075</v>
      </c>
      <c r="U26" s="19">
        <f t="shared" si="5"/>
        <v>7.341718563741462E-3</v>
      </c>
      <c r="V26" s="19">
        <f t="shared" si="6"/>
        <v>6.7289802921092412E-3</v>
      </c>
    </row>
    <row r="27" spans="5:22">
      <c r="E27" s="5">
        <v>11.5</v>
      </c>
      <c r="F27" s="6">
        <f>+AVERAGE(98.89,93.16,99.45)</f>
        <v>97.166666666666671</v>
      </c>
      <c r="G27" s="6">
        <f>+AVERAGE(105.11,111.05,103.65)</f>
        <v>106.60333333333334</v>
      </c>
      <c r="H27" s="6">
        <f>+AVERAGE(98.5,98.66,99.93)</f>
        <v>99.030000000000015</v>
      </c>
      <c r="I27" s="6">
        <f>+AVERAGE(105.57,106.25,108.33)</f>
        <v>106.71666666666665</v>
      </c>
      <c r="J27" s="6">
        <f>+AVERAGE(101.36,99.5,99.74)</f>
        <v>100.2</v>
      </c>
      <c r="K27" s="6">
        <f>+AVERAGE(105.32,108.66,110.65)</f>
        <v>108.21</v>
      </c>
      <c r="M27" s="4">
        <f t="shared" si="0"/>
        <v>98.798888888888897</v>
      </c>
      <c r="N27" s="4">
        <f t="shared" si="1"/>
        <v>1.4011111111111063</v>
      </c>
      <c r="O27" s="4">
        <f t="shared" si="2"/>
        <v>1.6322222222222251</v>
      </c>
      <c r="P27" s="19">
        <f t="shared" si="3"/>
        <v>1.4181446035155542E-2</v>
      </c>
      <c r="Q27" s="19">
        <f t="shared" si="4"/>
        <v>1.6520653628583345E-2</v>
      </c>
      <c r="R27" s="4">
        <f>+AVERAGE(G27,I27,K27)</f>
        <v>107.17666666666666</v>
      </c>
      <c r="S27" s="4">
        <f>MAX(G27,I27,K27)-R27</f>
        <v>1.0333333333333314</v>
      </c>
      <c r="T27" s="4">
        <f>R27-MIN(G27,I27,K27)</f>
        <v>0.57333333333332348</v>
      </c>
      <c r="U27" s="19">
        <f t="shared" si="5"/>
        <v>9.6414020464653197E-3</v>
      </c>
      <c r="V27" s="19">
        <f t="shared" si="6"/>
        <v>5.3494230709419666E-3</v>
      </c>
    </row>
    <row r="28" spans="5:22">
      <c r="E28" s="4">
        <v>12</v>
      </c>
      <c r="F28" s="4">
        <f>+AVERAGE(103.2,103.74,104.55)</f>
        <v>103.83</v>
      </c>
      <c r="G28" s="4">
        <f>+AVERAGE(117.69,119.38,121.18)</f>
        <v>119.41666666666667</v>
      </c>
      <c r="H28" s="4">
        <f>+AVERAGE(106.71,100.35,101.21)</f>
        <v>102.75666666666666</v>
      </c>
      <c r="I28" s="4">
        <f>+AVERAGE(125.57,117.36,125.71)</f>
        <v>122.88</v>
      </c>
      <c r="J28" s="4">
        <f>+AVERAGE(99.43,103.9,105.89)</f>
        <v>103.07333333333334</v>
      </c>
      <c r="K28" s="4">
        <f>+AVERAGE(119.79,120.63,121.75)</f>
        <v>120.72333333333334</v>
      </c>
      <c r="M28" s="4">
        <f t="shared" si="0"/>
        <v>103.21999999999998</v>
      </c>
      <c r="N28" s="4">
        <f t="shared" si="1"/>
        <v>0.61000000000001364</v>
      </c>
      <c r="O28" s="4">
        <f t="shared" si="2"/>
        <v>0.46333333333332405</v>
      </c>
      <c r="P28" s="19">
        <f t="shared" si="3"/>
        <v>5.9097074210425664E-3</v>
      </c>
      <c r="Q28" s="19">
        <f t="shared" si="4"/>
        <v>4.4887941613381529E-3</v>
      </c>
      <c r="R28" s="4">
        <f>+AVERAGE(G28,I28,K28)</f>
        <v>121.00666666666667</v>
      </c>
      <c r="S28" s="4">
        <f>MAX(G28,I28,K28)-R28</f>
        <v>1.8733333333333206</v>
      </c>
      <c r="T28" s="4">
        <f>R28-MIN(G28,I28,K28)</f>
        <v>1.5900000000000034</v>
      </c>
      <c r="U28" s="19">
        <f t="shared" si="5"/>
        <v>1.5481240702991464E-2</v>
      </c>
      <c r="V28" s="19">
        <f t="shared" si="6"/>
        <v>1.3139771913393229E-2</v>
      </c>
    </row>
    <row r="29" spans="5:22">
      <c r="N29" s="13">
        <f>+AVERAGE(N6:N28)</f>
        <v>0.83777777777777851</v>
      </c>
      <c r="O29" s="13">
        <f>AVERAGE(O6:O28)</f>
        <v>0.82961352657004728</v>
      </c>
      <c r="P29" s="19">
        <f>+AVERAGE(P6:P28)</f>
        <v>1.8297410444989577E-2</v>
      </c>
      <c r="Q29" s="19">
        <f>+AVERAGE(Q6:Q28)</f>
        <v>1.7988966523737458E-2</v>
      </c>
      <c r="S29" s="10">
        <f>+AVERAGE(S6:S28)</f>
        <v>0.81323671497584527</v>
      </c>
      <c r="T29" s="10">
        <f>+AVERAGE(T6:T28)</f>
        <v>0.77763285024154849</v>
      </c>
      <c r="U29" s="19">
        <f>+AVERAGE(U6:U28)</f>
        <v>1.4933782808105806E-2</v>
      </c>
      <c r="V29" s="19">
        <f>+AVERAGE(V6:V28)</f>
        <v>1.3479011986661103E-2</v>
      </c>
    </row>
    <row r="30" spans="5:22">
      <c r="P30" s="20">
        <f>+AVERAGE(P29:Q29)</f>
        <v>1.8143188484363519E-2</v>
      </c>
      <c r="U30" s="20">
        <f>+AVERAGE(U29:V29)</f>
        <v>1.4206397397383455E-2</v>
      </c>
    </row>
    <row r="46" spans="4:21">
      <c r="E46" t="s">
        <v>16</v>
      </c>
      <c r="F46" t="s">
        <v>17</v>
      </c>
    </row>
    <row r="47" spans="4:21">
      <c r="F47" t="s">
        <v>18</v>
      </c>
    </row>
    <row r="48" spans="4:21">
      <c r="D48" t="s">
        <v>19</v>
      </c>
      <c r="E48" s="4" t="s">
        <v>20</v>
      </c>
      <c r="F48" s="4" t="s">
        <v>21</v>
      </c>
      <c r="G48" s="4" t="s">
        <v>22</v>
      </c>
      <c r="H48" s="4" t="s">
        <v>21</v>
      </c>
      <c r="I48" s="4" t="s">
        <v>22</v>
      </c>
      <c r="J48" s="4" t="s">
        <v>21</v>
      </c>
      <c r="K48" s="4" t="s">
        <v>22</v>
      </c>
      <c r="L48" s="4" t="s">
        <v>23</v>
      </c>
      <c r="M48" s="4" t="s">
        <v>24</v>
      </c>
      <c r="N48" s="4" t="s">
        <v>25</v>
      </c>
      <c r="S48" s="4" t="s">
        <v>26</v>
      </c>
      <c r="T48" s="4" t="s">
        <v>24</v>
      </c>
      <c r="U48" s="4" t="s">
        <v>25</v>
      </c>
    </row>
    <row r="49" spans="4:23">
      <c r="D49">
        <v>0</v>
      </c>
      <c r="E49" s="4">
        <v>0</v>
      </c>
      <c r="F49" s="4">
        <v>23</v>
      </c>
      <c r="G49" s="4">
        <v>24.68</v>
      </c>
      <c r="H49" s="4">
        <v>22.7</v>
      </c>
      <c r="I49" s="4">
        <v>24.15</v>
      </c>
      <c r="J49" s="4">
        <v>22.7</v>
      </c>
      <c r="K49" s="4">
        <v>23.98</v>
      </c>
      <c r="L49" s="4">
        <f>AVERAGE(F49,H49,J49)</f>
        <v>22.8</v>
      </c>
      <c r="M49" s="4">
        <f>MAX(F49,H49,J49)-L49</f>
        <v>0.19999999999999929</v>
      </c>
      <c r="N49" s="4">
        <f>L49-MIN(F49,H49,J49)</f>
        <v>0.10000000000000142</v>
      </c>
      <c r="O49" s="19">
        <f>+M49/L49</f>
        <v>8.7719298245613718E-3</v>
      </c>
      <c r="P49" s="19">
        <f>+N49/L49</f>
        <v>4.385964912280764E-3</v>
      </c>
      <c r="S49" s="4">
        <f>AVERAGE(G49,I49,K49)</f>
        <v>24.27</v>
      </c>
      <c r="T49" s="4">
        <f>MAX(G49,I49,K49)-S49</f>
        <v>0.41000000000000014</v>
      </c>
      <c r="U49" s="4">
        <f>S49-MIN(G49,I49,K49)</f>
        <v>0.28999999999999915</v>
      </c>
      <c r="V49" s="19">
        <f>+T49/S49</f>
        <v>1.6893283889575613E-2</v>
      </c>
      <c r="W49" s="19">
        <f>+U49/S49</f>
        <v>1.1948908117016859E-2</v>
      </c>
    </row>
    <row r="50" spans="4:23">
      <c r="D50">
        <v>12</v>
      </c>
      <c r="E50" s="4">
        <v>30</v>
      </c>
      <c r="F50" s="4">
        <v>77.099999999999994</v>
      </c>
      <c r="G50" s="4">
        <v>71.91</v>
      </c>
      <c r="H50" s="4">
        <v>79.7</v>
      </c>
      <c r="I50" s="4">
        <v>82.7</v>
      </c>
      <c r="J50" s="4">
        <v>80.099999999999994</v>
      </c>
      <c r="K50" s="4">
        <v>84.7</v>
      </c>
      <c r="L50" s="4">
        <f>AVERAGE(F50,H50,J50)</f>
        <v>78.966666666666669</v>
      </c>
      <c r="M50" s="4">
        <f>MAX(F50,H50,J50)-L50</f>
        <v>1.1333333333333258</v>
      </c>
      <c r="N50" s="4">
        <f>L50-MIN(F50,H50,J50)</f>
        <v>1.8666666666666742</v>
      </c>
      <c r="O50" s="19">
        <f t="shared" ref="O50:O61" si="7">+M50/L50</f>
        <v>1.4352047277332112E-2</v>
      </c>
      <c r="P50" s="19">
        <f t="shared" ref="P50:P61" si="8">+N50/L50</f>
        <v>2.3638666103841379E-2</v>
      </c>
      <c r="S50" s="4">
        <f>AVERAGE(G50,I50,K50)</f>
        <v>79.77</v>
      </c>
      <c r="T50" s="4">
        <f>MAX(G50,I50,K50)-S50</f>
        <v>4.9300000000000068</v>
      </c>
      <c r="U50" s="4">
        <f>S50-MIN(G50,I50,K50)</f>
        <v>7.8599999999999994</v>
      </c>
      <c r="V50" s="19">
        <f t="shared" ref="V50:V61" si="9">+T50/S50</f>
        <v>6.1802682712799387E-2</v>
      </c>
      <c r="W50" s="19">
        <f t="shared" ref="W50:W61" si="10">+U50/S50</f>
        <v>9.853328318916886E-2</v>
      </c>
    </row>
    <row r="51" spans="4:23">
      <c r="D51">
        <v>12</v>
      </c>
      <c r="E51" s="4">
        <v>60</v>
      </c>
      <c r="F51" s="4">
        <v>106.6</v>
      </c>
      <c r="G51" s="4">
        <v>104.21</v>
      </c>
      <c r="H51" s="4">
        <v>105.5</v>
      </c>
      <c r="I51" s="4">
        <v>103.58</v>
      </c>
      <c r="J51" s="4">
        <v>105.5</v>
      </c>
      <c r="K51" s="4">
        <v>104.31</v>
      </c>
      <c r="L51" s="4">
        <f t="shared" ref="L51:L61" si="11">AVERAGE(F51,H51,J51)</f>
        <v>105.86666666666667</v>
      </c>
      <c r="M51" s="4">
        <f t="shared" ref="M51:M61" si="12">MAX(F51,H51,J51)-L51</f>
        <v>0.73333333333332007</v>
      </c>
      <c r="N51" s="4">
        <f t="shared" ref="N51:N61" si="13">L51-MIN(F51,H51,J51)</f>
        <v>0.36666666666667425</v>
      </c>
      <c r="O51" s="19">
        <f t="shared" si="7"/>
        <v>6.9269521410578088E-3</v>
      </c>
      <c r="P51" s="19">
        <f t="shared" si="8"/>
        <v>3.4634760705290384E-3</v>
      </c>
      <c r="S51" s="4">
        <f>AVERAGE(G51,I51,K51)</f>
        <v>104.03333333333335</v>
      </c>
      <c r="T51" s="4">
        <f>MAX(G51,I51,K51)-S51</f>
        <v>0.27666666666665662</v>
      </c>
      <c r="U51" s="4">
        <f>S51-MIN(G51,I51,K51)</f>
        <v>0.45333333333334735</v>
      </c>
      <c r="V51" s="19">
        <f t="shared" si="9"/>
        <v>2.6594040371674776E-3</v>
      </c>
      <c r="W51" s="19">
        <f t="shared" si="10"/>
        <v>4.3575776994554368E-3</v>
      </c>
    </row>
    <row r="52" spans="4:23">
      <c r="D52">
        <v>12</v>
      </c>
      <c r="E52" s="4">
        <v>90</v>
      </c>
      <c r="F52" s="4">
        <v>116</v>
      </c>
      <c r="G52" s="4">
        <v>114.55</v>
      </c>
      <c r="H52" s="4">
        <v>115.5</v>
      </c>
      <c r="I52" s="4">
        <v>114.2</v>
      </c>
      <c r="J52" s="4">
        <v>112.3</v>
      </c>
      <c r="K52" s="4">
        <v>115</v>
      </c>
      <c r="L52" s="4">
        <f t="shared" si="11"/>
        <v>114.60000000000001</v>
      </c>
      <c r="M52" s="4">
        <f t="shared" si="12"/>
        <v>1.3999999999999915</v>
      </c>
      <c r="N52" s="4">
        <f t="shared" si="13"/>
        <v>2.3000000000000114</v>
      </c>
      <c r="O52" s="19">
        <f t="shared" si="7"/>
        <v>1.221640488656188E-2</v>
      </c>
      <c r="P52" s="19">
        <f t="shared" si="8"/>
        <v>2.0069808027923308E-2</v>
      </c>
      <c r="S52" s="4">
        <f>AVERAGE(G52,I52,K52)</f>
        <v>114.58333333333333</v>
      </c>
      <c r="T52" s="4">
        <f>MAX(G52,I52,K52)-S52</f>
        <v>0.4166666666666714</v>
      </c>
      <c r="U52" s="4">
        <f>S52-MIN(G52,I52,K52)</f>
        <v>0.38333333333332575</v>
      </c>
      <c r="V52" s="19">
        <f t="shared" si="9"/>
        <v>3.636363636363678E-3</v>
      </c>
      <c r="W52" s="19">
        <f t="shared" si="10"/>
        <v>3.3454545454544796E-3</v>
      </c>
    </row>
    <row r="53" spans="4:23">
      <c r="D53">
        <v>12</v>
      </c>
      <c r="E53" s="4">
        <v>120</v>
      </c>
      <c r="F53" s="4">
        <v>120.2</v>
      </c>
      <c r="G53" s="4">
        <v>120.65</v>
      </c>
      <c r="H53" s="4">
        <v>125</v>
      </c>
      <c r="I53" s="4">
        <v>121.19</v>
      </c>
      <c r="J53" s="4">
        <v>122.33</v>
      </c>
      <c r="K53" s="4">
        <v>121.83</v>
      </c>
      <c r="L53" s="4">
        <f t="shared" si="11"/>
        <v>122.50999999999999</v>
      </c>
      <c r="M53" s="4">
        <f t="shared" si="12"/>
        <v>2.4900000000000091</v>
      </c>
      <c r="N53" s="4">
        <f t="shared" si="13"/>
        <v>2.3099999999999881</v>
      </c>
      <c r="O53" s="19">
        <f t="shared" si="7"/>
        <v>2.0324871439066274E-2</v>
      </c>
      <c r="P53" s="19">
        <f t="shared" si="8"/>
        <v>1.8855603624193848E-2</v>
      </c>
      <c r="S53" s="4">
        <f>AVERAGE(G53,I53,K53)</f>
        <v>121.22333333333334</v>
      </c>
      <c r="T53" s="4">
        <f>MAX(G53,I53,K53)-S53</f>
        <v>0.60666666666665492</v>
      </c>
      <c r="U53" s="4">
        <f>S53-MIN(G53,I53,K53)</f>
        <v>0.57333333333333769</v>
      </c>
      <c r="V53" s="19">
        <f t="shared" si="9"/>
        <v>5.0045370803199728E-3</v>
      </c>
      <c r="W53" s="19">
        <f t="shared" si="10"/>
        <v>4.7295625154673551E-3</v>
      </c>
    </row>
    <row r="54" spans="4:23">
      <c r="D54">
        <v>12</v>
      </c>
      <c r="E54" s="4">
        <v>150</v>
      </c>
      <c r="F54" s="4">
        <v>124.5</v>
      </c>
      <c r="G54" s="4">
        <v>125.5</v>
      </c>
      <c r="H54" s="4">
        <v>126.5</v>
      </c>
      <c r="I54" s="4">
        <v>124.1</v>
      </c>
      <c r="J54" s="4">
        <v>127</v>
      </c>
      <c r="K54" s="4">
        <v>125.07</v>
      </c>
      <c r="L54" s="4">
        <f t="shared" si="11"/>
        <v>126</v>
      </c>
      <c r="M54" s="4">
        <f t="shared" si="12"/>
        <v>1</v>
      </c>
      <c r="N54" s="4">
        <f t="shared" si="13"/>
        <v>1.5</v>
      </c>
      <c r="O54" s="19">
        <f t="shared" si="7"/>
        <v>7.9365079365079361E-3</v>
      </c>
      <c r="P54" s="19">
        <f t="shared" si="8"/>
        <v>1.1904761904761904E-2</v>
      </c>
      <c r="S54" s="4">
        <f>AVERAGE(G54,I54,K54)</f>
        <v>124.88999999999999</v>
      </c>
      <c r="T54" s="4">
        <f>MAX(G54,I54,K54)-S54</f>
        <v>0.61000000000001364</v>
      </c>
      <c r="U54" s="4">
        <f>S54-MIN(G54,I54,K54)</f>
        <v>0.78999999999999204</v>
      </c>
      <c r="V54" s="19">
        <f t="shared" si="9"/>
        <v>4.884298182400622E-3</v>
      </c>
      <c r="W54" s="19">
        <f t="shared" si="10"/>
        <v>6.3255664985186338E-3</v>
      </c>
    </row>
    <row r="55" spans="4:23">
      <c r="D55">
        <v>12</v>
      </c>
      <c r="E55" s="4">
        <v>180</v>
      </c>
      <c r="F55" s="4">
        <v>125.5</v>
      </c>
      <c r="G55" s="4">
        <v>126.18</v>
      </c>
      <c r="H55" s="4">
        <v>127.1</v>
      </c>
      <c r="I55" s="4">
        <v>125.35</v>
      </c>
      <c r="J55" s="4">
        <v>127</v>
      </c>
      <c r="K55" s="4">
        <v>126.74</v>
      </c>
      <c r="L55" s="4">
        <f t="shared" si="11"/>
        <v>126.53333333333335</v>
      </c>
      <c r="M55" s="4">
        <f t="shared" si="12"/>
        <v>0.56666666666664867</v>
      </c>
      <c r="N55" s="4">
        <f t="shared" si="13"/>
        <v>1.0333333333333456</v>
      </c>
      <c r="O55" s="19">
        <f t="shared" si="7"/>
        <v>4.4783983140146101E-3</v>
      </c>
      <c r="P55" s="19">
        <f t="shared" si="8"/>
        <v>8.1664910432034683E-3</v>
      </c>
      <c r="S55" s="4">
        <f>AVERAGE(G55,I55,K55)</f>
        <v>126.08999999999999</v>
      </c>
      <c r="T55" s="4">
        <f>MAX(G55,I55,K55)-S55</f>
        <v>0.65000000000000568</v>
      </c>
      <c r="U55" s="4">
        <f>S55-MIN(G55,I55,K55)</f>
        <v>0.73999999999999488</v>
      </c>
      <c r="V55" s="19">
        <f t="shared" si="9"/>
        <v>5.1550479816004895E-3</v>
      </c>
      <c r="W55" s="19">
        <f t="shared" si="10"/>
        <v>5.8688238559758505E-3</v>
      </c>
    </row>
    <row r="56" spans="4:23">
      <c r="D56">
        <v>12</v>
      </c>
      <c r="E56" s="4">
        <v>210</v>
      </c>
      <c r="F56" s="4">
        <v>125.5</v>
      </c>
      <c r="G56" s="4">
        <v>126.55</v>
      </c>
      <c r="H56" s="4">
        <v>131</v>
      </c>
      <c r="I56" s="4">
        <v>125.46</v>
      </c>
      <c r="J56" s="4">
        <v>128</v>
      </c>
      <c r="K56" s="4">
        <v>126.11</v>
      </c>
      <c r="L56" s="4">
        <f t="shared" si="11"/>
        <v>128.16666666666666</v>
      </c>
      <c r="M56" s="4">
        <f t="shared" si="12"/>
        <v>2.8333333333333428</v>
      </c>
      <c r="N56" s="4">
        <f t="shared" si="13"/>
        <v>2.6666666666666572</v>
      </c>
      <c r="O56" s="19">
        <f t="shared" si="7"/>
        <v>2.2106631989596955E-2</v>
      </c>
      <c r="P56" s="19">
        <f t="shared" si="8"/>
        <v>2.0806241872561696E-2</v>
      </c>
      <c r="S56" s="4">
        <f>AVERAGE(G56,I56,K56)</f>
        <v>126.04</v>
      </c>
      <c r="T56" s="4">
        <f>MAX(G56,I56,K56)-S56</f>
        <v>0.50999999999999091</v>
      </c>
      <c r="U56" s="4">
        <f>S56-MIN(G56,I56,K56)</f>
        <v>0.58000000000001251</v>
      </c>
      <c r="V56" s="19">
        <f t="shared" si="9"/>
        <v>4.0463344969850117E-3</v>
      </c>
      <c r="W56" s="19">
        <f t="shared" si="10"/>
        <v>4.6017137416694102E-3</v>
      </c>
    </row>
    <row r="57" spans="4:23">
      <c r="D57">
        <v>12</v>
      </c>
      <c r="E57" s="4">
        <v>240</v>
      </c>
      <c r="F57" s="4">
        <v>128</v>
      </c>
      <c r="G57" s="4">
        <v>127.8</v>
      </c>
      <c r="H57" s="4">
        <v>132.5</v>
      </c>
      <c r="I57" s="4">
        <v>126.91</v>
      </c>
      <c r="J57" s="4">
        <v>129.19999999999999</v>
      </c>
      <c r="K57" s="4">
        <v>126.71</v>
      </c>
      <c r="L57" s="4">
        <f t="shared" si="11"/>
        <v>129.9</v>
      </c>
      <c r="M57" s="4">
        <f t="shared" si="12"/>
        <v>2.5999999999999943</v>
      </c>
      <c r="N57" s="4">
        <f t="shared" si="13"/>
        <v>1.9000000000000057</v>
      </c>
      <c r="O57" s="19">
        <f t="shared" si="7"/>
        <v>2.0015396458814429E-2</v>
      </c>
      <c r="P57" s="19">
        <f t="shared" si="8"/>
        <v>1.4626635873749081E-2</v>
      </c>
      <c r="S57" s="4">
        <f>AVERAGE(G57,I57,K57)</f>
        <v>127.13999999999999</v>
      </c>
      <c r="T57" s="4">
        <f>MAX(G57,I57,K57)-S57</f>
        <v>0.6600000000000108</v>
      </c>
      <c r="U57" s="4">
        <f>S57-MIN(G57,I57,K57)</f>
        <v>0.42999999999999261</v>
      </c>
      <c r="V57" s="19">
        <f t="shared" si="9"/>
        <v>5.1911278905144792E-3</v>
      </c>
      <c r="W57" s="19">
        <f t="shared" si="10"/>
        <v>3.3820984741229562E-3</v>
      </c>
    </row>
    <row r="58" spans="4:23">
      <c r="D58">
        <v>12</v>
      </c>
      <c r="E58" s="4">
        <v>270</v>
      </c>
      <c r="F58" s="4">
        <v>127.7</v>
      </c>
      <c r="G58" s="4">
        <v>126.48</v>
      </c>
      <c r="H58" s="4">
        <v>130.30000000000001</v>
      </c>
      <c r="I58" s="4">
        <v>126.35</v>
      </c>
      <c r="J58" s="4">
        <v>129.5</v>
      </c>
      <c r="K58" s="4">
        <v>127.02</v>
      </c>
      <c r="L58" s="4">
        <f t="shared" si="11"/>
        <v>129.16666666666666</v>
      </c>
      <c r="M58" s="4">
        <f t="shared" si="12"/>
        <v>1.1333333333333542</v>
      </c>
      <c r="N58" s="4">
        <f t="shared" si="13"/>
        <v>1.4666666666666544</v>
      </c>
      <c r="O58" s="19">
        <f t="shared" si="7"/>
        <v>8.7741935483872588E-3</v>
      </c>
      <c r="P58" s="19">
        <f t="shared" si="8"/>
        <v>1.1354838709677325E-2</v>
      </c>
      <c r="S58" s="4">
        <f>AVERAGE(G58,I58,K58)</f>
        <v>126.61666666666666</v>
      </c>
      <c r="T58" s="4">
        <f>MAX(G58,I58,K58)-S58</f>
        <v>0.40333333333333599</v>
      </c>
      <c r="U58" s="4">
        <f>S58-MIN(G58,I58,K58)</f>
        <v>0.26666666666666572</v>
      </c>
      <c r="V58" s="19">
        <f t="shared" si="9"/>
        <v>3.1854679478741819E-3</v>
      </c>
      <c r="W58" s="19">
        <f t="shared" si="10"/>
        <v>2.1060945109911732E-3</v>
      </c>
    </row>
    <row r="59" spans="4:23">
      <c r="D59">
        <v>12</v>
      </c>
      <c r="E59" s="4">
        <v>300</v>
      </c>
      <c r="F59" s="4">
        <v>128.6</v>
      </c>
      <c r="G59" s="4">
        <v>126.92</v>
      </c>
      <c r="H59" s="4">
        <v>131.30000000000001</v>
      </c>
      <c r="I59" s="4">
        <v>127.2</v>
      </c>
      <c r="J59" s="4">
        <v>129.1</v>
      </c>
      <c r="K59" s="4">
        <v>127.25</v>
      </c>
      <c r="L59" s="4">
        <f t="shared" si="11"/>
        <v>129.66666666666666</v>
      </c>
      <c r="M59" s="4">
        <f t="shared" si="12"/>
        <v>1.6333333333333542</v>
      </c>
      <c r="N59" s="4">
        <f t="shared" si="13"/>
        <v>1.0666666666666629</v>
      </c>
      <c r="O59" s="19">
        <f t="shared" si="7"/>
        <v>1.2596401028277797E-2</v>
      </c>
      <c r="P59" s="19">
        <f t="shared" si="8"/>
        <v>8.2262210796914884E-3</v>
      </c>
      <c r="S59" s="4">
        <f>AVERAGE(G59,I59,K59)</f>
        <v>127.12333333333333</v>
      </c>
      <c r="T59" s="4">
        <f>MAX(G59,I59,K59)-S59</f>
        <v>0.12666666666666515</v>
      </c>
      <c r="U59" s="4">
        <f>S59-MIN(G59,I59,K59)</f>
        <v>0.20333333333333314</v>
      </c>
      <c r="V59" s="19">
        <f t="shared" si="9"/>
        <v>9.964076880719392E-4</v>
      </c>
      <c r="W59" s="19">
        <f t="shared" si="10"/>
        <v>1.5994965519049726E-3</v>
      </c>
    </row>
    <row r="60" spans="4:23">
      <c r="D60">
        <v>12</v>
      </c>
      <c r="E60" s="4">
        <v>330</v>
      </c>
      <c r="F60" s="4">
        <v>133.5</v>
      </c>
      <c r="G60" s="4">
        <v>127.9</v>
      </c>
      <c r="H60" s="4">
        <v>130</v>
      </c>
      <c r="I60" s="4">
        <v>126.59</v>
      </c>
      <c r="J60" s="4">
        <v>130.69999999999999</v>
      </c>
      <c r="K60" s="4">
        <v>127.22</v>
      </c>
      <c r="L60" s="4">
        <f t="shared" si="11"/>
        <v>131.4</v>
      </c>
      <c r="M60" s="4">
        <f t="shared" si="12"/>
        <v>2.0999999999999943</v>
      </c>
      <c r="N60" s="4">
        <f t="shared" si="13"/>
        <v>1.4000000000000057</v>
      </c>
      <c r="O60" s="19">
        <f t="shared" si="7"/>
        <v>1.5981735159817309E-2</v>
      </c>
      <c r="P60" s="19">
        <f t="shared" si="8"/>
        <v>1.0654490106544944E-2</v>
      </c>
      <c r="S60" s="4">
        <f>AVERAGE(G60,I60,K60)</f>
        <v>127.23666666666668</v>
      </c>
      <c r="T60" s="4">
        <f>MAX(G60,I60,K60)-S60</f>
        <v>0.66333333333332689</v>
      </c>
      <c r="U60" s="4">
        <f>S60-MIN(G60,I60,K60)</f>
        <v>0.64666666666667538</v>
      </c>
      <c r="V60" s="19">
        <f t="shared" si="9"/>
        <v>5.2133818867726297E-3</v>
      </c>
      <c r="W60" s="19">
        <f t="shared" si="10"/>
        <v>5.0823923921302196E-3</v>
      </c>
    </row>
    <row r="61" spans="4:23">
      <c r="D61">
        <v>12</v>
      </c>
      <c r="E61" s="4">
        <v>360</v>
      </c>
      <c r="F61" s="4">
        <v>130.5</v>
      </c>
      <c r="G61" s="4">
        <v>127.21</v>
      </c>
      <c r="H61" s="4">
        <v>133</v>
      </c>
      <c r="I61" s="4">
        <v>126.36</v>
      </c>
      <c r="J61" s="4">
        <v>130</v>
      </c>
      <c r="K61" s="4">
        <v>127.21</v>
      </c>
      <c r="L61" s="4">
        <f t="shared" si="11"/>
        <v>131.16666666666666</v>
      </c>
      <c r="M61" s="4">
        <f t="shared" si="12"/>
        <v>1.8333333333333428</v>
      </c>
      <c r="N61" s="4">
        <f t="shared" si="13"/>
        <v>1.1666666666666572</v>
      </c>
      <c r="O61" s="19">
        <f t="shared" si="7"/>
        <v>1.3977128335451153E-2</v>
      </c>
      <c r="P61" s="19">
        <f t="shared" si="8"/>
        <v>8.894536213468798E-3</v>
      </c>
      <c r="S61" s="4">
        <f>AVERAGE(G61,I61,K61)</f>
        <v>126.92666666666666</v>
      </c>
      <c r="T61" s="4">
        <f>MAX(G61,I61,K61)-S61</f>
        <v>0.28333333333333144</v>
      </c>
      <c r="U61" s="4">
        <f>S61-MIN(G61,I61,K61)</f>
        <v>0.56666666666666288</v>
      </c>
      <c r="V61" s="19">
        <f t="shared" si="9"/>
        <v>2.2322600976941919E-3</v>
      </c>
      <c r="W61" s="19">
        <f t="shared" si="10"/>
        <v>4.4645201953883839E-3</v>
      </c>
    </row>
    <row r="62" spans="4:23">
      <c r="M62" s="11">
        <f>AVERAGE(M49:M61)</f>
        <v>1.5120512820512828</v>
      </c>
      <c r="N62" s="11">
        <f>AVERAGE(N49:N61)</f>
        <v>1.472564102564103</v>
      </c>
      <c r="O62" s="19">
        <f>+AVERAGE(O49:O61)</f>
        <v>1.2958353718418993E-2</v>
      </c>
      <c r="P62" s="19">
        <f>+AVERAGE(P49:P61)</f>
        <v>1.2695979657109772E-2</v>
      </c>
      <c r="T62" s="11">
        <f>AVERAGE(T49:T61)</f>
        <v>0.81128205128205155</v>
      </c>
      <c r="U62" s="11">
        <f>AVERAGE(U49:U61)</f>
        <v>1.0602564102564107</v>
      </c>
      <c r="V62" s="19">
        <f>+AVERAGE(V49:V61)</f>
        <v>9.3000459637030512E-3</v>
      </c>
      <c r="W62" s="19">
        <f>+AVERAGE(W49:W61)</f>
        <v>1.2026576329789583E-2</v>
      </c>
    </row>
    <row r="63" spans="4:23">
      <c r="O63" s="20">
        <f>+AVERAGE(O62:P62)</f>
        <v>1.2827166687764383E-2</v>
      </c>
      <c r="V63" s="20">
        <f>+AVERAGE(V62:W62)</f>
        <v>1.0663311146746318E-2</v>
      </c>
    </row>
    <row r="70" spans="9:10">
      <c r="I70" s="1" t="s">
        <v>27</v>
      </c>
      <c r="J70" s="1" t="s">
        <v>28</v>
      </c>
    </row>
    <row r="71" spans="9:10">
      <c r="I71" s="12">
        <v>2868</v>
      </c>
      <c r="J71" s="12">
        <v>89.63</v>
      </c>
    </row>
    <row r="72" spans="9:10">
      <c r="I72" s="1">
        <v>4811</v>
      </c>
      <c r="J72" s="1">
        <v>84.9</v>
      </c>
    </row>
    <row r="73" spans="9:10">
      <c r="I73" s="1">
        <v>5742</v>
      </c>
      <c r="J73" s="1">
        <v>84.6</v>
      </c>
    </row>
    <row r="74" spans="9:10">
      <c r="I74" s="1">
        <v>8853</v>
      </c>
      <c r="J74" s="1">
        <v>84.31</v>
      </c>
    </row>
    <row r="75" spans="9:10">
      <c r="I75" s="1">
        <v>18214</v>
      </c>
      <c r="J75" s="1">
        <v>84.26</v>
      </c>
    </row>
    <row r="76" spans="9:10">
      <c r="I76" s="1">
        <v>37382</v>
      </c>
      <c r="J76" s="1">
        <v>84.2</v>
      </c>
    </row>
    <row r="77" spans="9:10">
      <c r="I77" s="1">
        <v>53170</v>
      </c>
      <c r="J77" s="1">
        <v>84.18</v>
      </c>
    </row>
    <row r="78" spans="9:10">
      <c r="I78" s="1">
        <v>126989</v>
      </c>
      <c r="J78" s="1">
        <v>84.15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E53-78F6-4B5F-BF66-ED566ED98306}">
  <dimension ref="A4:L29"/>
  <sheetViews>
    <sheetView topLeftCell="H18" zoomScale="80" zoomScaleNormal="80" workbookViewId="0">
      <selection activeCell="M13" sqref="M13"/>
    </sheetView>
  </sheetViews>
  <sheetFormatPr defaultColWidth="11.42578125" defaultRowHeight="14.45"/>
  <cols>
    <col min="1" max="1" width="15.7109375" bestFit="1" customWidth="1"/>
    <col min="11" max="11" width="12.7109375" bestFit="1" customWidth="1"/>
  </cols>
  <sheetData>
    <row r="4" spans="1:12">
      <c r="C4" t="s">
        <v>29</v>
      </c>
      <c r="F4" t="s">
        <v>30</v>
      </c>
    </row>
    <row r="5" spans="1:12">
      <c r="A5" s="3" t="s">
        <v>3</v>
      </c>
      <c r="B5" s="4" t="s">
        <v>8</v>
      </c>
      <c r="C5" s="4" t="s">
        <v>6</v>
      </c>
      <c r="D5" s="4" t="s">
        <v>7</v>
      </c>
      <c r="F5" s="4" t="s">
        <v>5</v>
      </c>
      <c r="G5" s="4" t="s">
        <v>6</v>
      </c>
      <c r="H5" s="4" t="s">
        <v>7</v>
      </c>
      <c r="K5" t="s">
        <v>31</v>
      </c>
      <c r="L5" t="s">
        <v>32</v>
      </c>
    </row>
    <row r="6" spans="1:12">
      <c r="A6" s="3">
        <v>1</v>
      </c>
      <c r="B6" s="4">
        <v>21.466666666666669</v>
      </c>
      <c r="C6" s="4">
        <v>0.53333333333333144</v>
      </c>
      <c r="D6" s="4">
        <v>0.86666666666666714</v>
      </c>
      <c r="F6" s="4">
        <v>25.386666666666667</v>
      </c>
      <c r="G6" s="4">
        <v>0.63666666666666316</v>
      </c>
      <c r="H6" s="4">
        <v>0.38333333333333641</v>
      </c>
    </row>
    <row r="7" spans="1:12">
      <c r="A7" s="3">
        <v>1.5</v>
      </c>
      <c r="B7" s="4">
        <v>22.366666666666664</v>
      </c>
      <c r="C7" s="4">
        <v>0.43333333333333712</v>
      </c>
      <c r="D7" s="4">
        <v>0.26666666666666217</v>
      </c>
      <c r="F7" s="4">
        <v>27.962222222222223</v>
      </c>
      <c r="G7" s="4">
        <v>0.21777777777777985</v>
      </c>
      <c r="H7" s="4">
        <v>0.12555555555555387</v>
      </c>
    </row>
    <row r="8" spans="1:12">
      <c r="A8" s="3">
        <v>2</v>
      </c>
      <c r="B8" s="4">
        <v>23.366666666666664</v>
      </c>
      <c r="C8" s="4">
        <v>0.63333333333333641</v>
      </c>
      <c r="D8" s="4">
        <v>0.76666666666666217</v>
      </c>
      <c r="F8" s="4">
        <v>29.112222222222218</v>
      </c>
      <c r="G8" s="4">
        <v>0.67444444444444684</v>
      </c>
      <c r="H8" s="4">
        <v>0.698888888888888</v>
      </c>
      <c r="I8" s="14">
        <v>2</v>
      </c>
      <c r="J8" s="14">
        <v>22.8</v>
      </c>
      <c r="K8">
        <f t="shared" ref="K6:K27" si="0">ABS((J8-B8)/J8)</f>
        <v>2.4853801169590475E-2</v>
      </c>
      <c r="L8">
        <f t="shared" ref="L6:L27" si="1">ABS((J8-F8)/J8)</f>
        <v>0.27685185185185163</v>
      </c>
    </row>
    <row r="9" spans="1:12">
      <c r="A9" s="3">
        <v>2.5</v>
      </c>
      <c r="B9" s="4">
        <v>26.3</v>
      </c>
      <c r="C9" s="4">
        <v>0.30000000000000071</v>
      </c>
      <c r="D9" s="4">
        <v>0.19999999999999929</v>
      </c>
      <c r="F9" s="4">
        <v>31.835555555555555</v>
      </c>
      <c r="G9" s="4">
        <v>1.5711111111111116</v>
      </c>
      <c r="H9" s="4">
        <v>1.4755555555555553</v>
      </c>
    </row>
    <row r="10" spans="1:12">
      <c r="A10" s="3">
        <v>3</v>
      </c>
      <c r="B10" s="4">
        <v>28.666666666666668</v>
      </c>
      <c r="C10" s="4">
        <v>0.83333333333333215</v>
      </c>
      <c r="D10" s="4">
        <v>1.1666666666666679</v>
      </c>
      <c r="F10" s="4">
        <v>33.698888888888888</v>
      </c>
      <c r="G10" s="4">
        <v>0.46777777777777629</v>
      </c>
      <c r="H10" s="4">
        <v>0.49888888888888516</v>
      </c>
    </row>
    <row r="11" spans="1:12">
      <c r="A11" s="3">
        <v>3.5</v>
      </c>
      <c r="B11" s="4">
        <v>32</v>
      </c>
      <c r="C11" s="4">
        <v>1.5</v>
      </c>
      <c r="D11" s="4">
        <v>2</v>
      </c>
      <c r="F11" s="4">
        <v>38.090000000000003</v>
      </c>
      <c r="G11" s="4">
        <v>1.9199999999999946</v>
      </c>
      <c r="H11" s="4">
        <v>1.1033333333333388</v>
      </c>
    </row>
    <row r="12" spans="1:12">
      <c r="A12" s="3">
        <v>4</v>
      </c>
      <c r="B12" s="4">
        <v>36.033333333333339</v>
      </c>
      <c r="C12" s="4">
        <v>2.1666666666666643</v>
      </c>
      <c r="D12" s="4">
        <v>1.3333333333333357</v>
      </c>
      <c r="F12" s="4">
        <v>42.017777777777781</v>
      </c>
      <c r="G12" s="4">
        <v>0.21888888888889113</v>
      </c>
      <c r="H12" s="4">
        <v>0.11111111111111427</v>
      </c>
    </row>
    <row r="13" spans="1:12">
      <c r="A13" s="3">
        <v>4.5</v>
      </c>
      <c r="B13" s="4">
        <v>39.333333333333336</v>
      </c>
      <c r="C13" s="4">
        <v>2.4666666666666615</v>
      </c>
      <c r="D13" s="4">
        <v>2.1333333333333329</v>
      </c>
      <c r="F13" s="4">
        <v>44.400000000000006</v>
      </c>
      <c r="G13" s="4">
        <v>0.52999999999999403</v>
      </c>
      <c r="H13" s="4">
        <v>0.52333333333334053</v>
      </c>
    </row>
    <row r="14" spans="1:12">
      <c r="A14" s="3">
        <v>5</v>
      </c>
      <c r="B14" s="4">
        <v>43.366666666666667</v>
      </c>
      <c r="C14" s="4">
        <v>2.2333333333333343</v>
      </c>
      <c r="D14" s="4">
        <v>1.3666666666666671</v>
      </c>
      <c r="F14" s="4">
        <v>47.393333333333338</v>
      </c>
      <c r="G14" s="4">
        <v>0.97333333333332916</v>
      </c>
      <c r="H14" s="4">
        <v>0.63333333333333997</v>
      </c>
      <c r="I14" s="14">
        <v>5</v>
      </c>
      <c r="J14" s="14">
        <v>37.4</v>
      </c>
      <c r="K14">
        <f t="shared" si="0"/>
        <v>0.15953654188948313</v>
      </c>
      <c r="L14">
        <f t="shared" si="1"/>
        <v>0.26720142602495561</v>
      </c>
    </row>
    <row r="15" spans="1:12">
      <c r="A15" s="3">
        <v>5.5</v>
      </c>
      <c r="B15" s="4">
        <v>48.466666666666669</v>
      </c>
      <c r="C15" s="4">
        <v>4.7333333333333343</v>
      </c>
      <c r="D15" s="4">
        <v>2.4666666666666686</v>
      </c>
      <c r="F15" s="4">
        <v>51.834444444444443</v>
      </c>
      <c r="G15" s="4">
        <v>0.33222222222222086</v>
      </c>
      <c r="H15" s="4">
        <v>0.20777777777777828</v>
      </c>
    </row>
    <row r="16" spans="1:12">
      <c r="A16" s="3">
        <v>6</v>
      </c>
      <c r="B16" s="4">
        <v>56.800000000000004</v>
      </c>
      <c r="C16" s="4">
        <v>1.8999999999999986</v>
      </c>
      <c r="D16" s="4">
        <v>3.7000000000000028</v>
      </c>
      <c r="F16" s="4">
        <v>56.703333333333326</v>
      </c>
      <c r="G16" s="4">
        <v>0.24000000000000909</v>
      </c>
      <c r="H16" s="4">
        <v>0.44999999999999574</v>
      </c>
    </row>
    <row r="17" spans="1:12">
      <c r="A17" s="3">
        <v>6.5</v>
      </c>
      <c r="B17" s="4">
        <v>62.033333333333339</v>
      </c>
      <c r="C17" s="4">
        <v>3.7666666666666586</v>
      </c>
      <c r="D17" s="4">
        <v>4.4333333333333371</v>
      </c>
      <c r="F17" s="4">
        <v>59.017777777777781</v>
      </c>
      <c r="G17" s="4">
        <v>0.51888888888888829</v>
      </c>
      <c r="H17" s="4">
        <v>0.32444444444445253</v>
      </c>
    </row>
    <row r="18" spans="1:12">
      <c r="A18" s="3">
        <v>7</v>
      </c>
      <c r="B18" s="4">
        <v>65.7</v>
      </c>
      <c r="C18" s="4">
        <v>4.7000000000000028</v>
      </c>
      <c r="D18" s="4">
        <v>5.2000000000000028</v>
      </c>
      <c r="F18" s="4">
        <v>63.257777777777783</v>
      </c>
      <c r="G18" s="4">
        <v>0.69222222222221319</v>
      </c>
      <c r="H18" s="4">
        <v>1.107777777777784</v>
      </c>
      <c r="I18" s="14">
        <v>7</v>
      </c>
      <c r="J18">
        <v>54</v>
      </c>
      <c r="K18">
        <f t="shared" si="0"/>
        <v>0.21666666666666673</v>
      </c>
      <c r="L18">
        <f t="shared" si="1"/>
        <v>0.17144032921810709</v>
      </c>
    </row>
    <row r="19" spans="1:12">
      <c r="A19" s="3">
        <v>7.5</v>
      </c>
      <c r="B19" s="4">
        <v>70.966666666666654</v>
      </c>
      <c r="C19" s="4">
        <v>3.7333333333333485</v>
      </c>
      <c r="D19" s="4">
        <v>4.4666666666666544</v>
      </c>
      <c r="F19" s="4">
        <v>69.498888888888885</v>
      </c>
      <c r="G19" s="4">
        <v>0.77444444444444116</v>
      </c>
      <c r="H19" s="4">
        <v>0.94222222222221319</v>
      </c>
    </row>
    <row r="20" spans="1:12">
      <c r="A20" s="3">
        <v>8</v>
      </c>
      <c r="B20" s="4">
        <v>79.8</v>
      </c>
      <c r="C20" s="4">
        <v>1.2999999999999972</v>
      </c>
      <c r="D20" s="4">
        <v>1.5</v>
      </c>
      <c r="F20" s="4">
        <v>71.775555555555556</v>
      </c>
      <c r="G20" s="4">
        <v>0.89111111111111541</v>
      </c>
      <c r="H20" s="4">
        <v>0.51888888888889539</v>
      </c>
    </row>
    <row r="21" spans="1:12">
      <c r="A21" s="3">
        <v>8.5</v>
      </c>
      <c r="B21" s="4">
        <v>86</v>
      </c>
      <c r="C21" s="4">
        <v>0.40000000000000568</v>
      </c>
      <c r="D21" s="4">
        <v>0.5</v>
      </c>
      <c r="F21" s="4">
        <v>77.853333333333339</v>
      </c>
      <c r="G21" s="4">
        <v>0.37999999999999545</v>
      </c>
      <c r="H21" s="4">
        <v>0.37000000000000455</v>
      </c>
    </row>
    <row r="22" spans="1:12">
      <c r="A22" s="3">
        <v>9</v>
      </c>
      <c r="B22" s="4">
        <v>94.100000000000009</v>
      </c>
      <c r="C22" s="4">
        <v>1.1999999999999886</v>
      </c>
      <c r="D22" s="4">
        <v>0.90000000000000568</v>
      </c>
      <c r="F22" s="4">
        <v>81.822222222222223</v>
      </c>
      <c r="G22" s="4">
        <v>0.7111111111111228</v>
      </c>
      <c r="H22" s="4">
        <v>1.1122222222222291</v>
      </c>
    </row>
    <row r="23" spans="1:12">
      <c r="A23" s="3">
        <v>9.5</v>
      </c>
      <c r="B23" s="4">
        <v>97.733333333333334</v>
      </c>
      <c r="C23" s="4">
        <v>0.36666666666666003</v>
      </c>
      <c r="D23" s="4">
        <v>0.63333333333333997</v>
      </c>
      <c r="F23" s="4">
        <v>85.876666666666665</v>
      </c>
      <c r="G23" s="4">
        <v>0.97666666666667368</v>
      </c>
      <c r="H23" s="4">
        <v>1.7600000000000051</v>
      </c>
    </row>
    <row r="24" spans="1:12">
      <c r="A24" s="3">
        <v>10</v>
      </c>
      <c r="B24" s="4">
        <v>101</v>
      </c>
      <c r="C24" s="4">
        <v>0.5</v>
      </c>
      <c r="D24" s="4">
        <v>0.70000000000000284</v>
      </c>
      <c r="F24" s="4">
        <v>90.62555555555555</v>
      </c>
      <c r="G24" s="4">
        <v>0.61777777777778908</v>
      </c>
      <c r="H24" s="4">
        <v>0.81222222222221774</v>
      </c>
      <c r="I24" s="14">
        <v>10</v>
      </c>
      <c r="J24">
        <v>89.4</v>
      </c>
      <c r="K24">
        <f t="shared" si="0"/>
        <v>0.12975391498881425</v>
      </c>
      <c r="L24">
        <f t="shared" si="1"/>
        <v>1.3708675118070968E-2</v>
      </c>
    </row>
    <row r="25" spans="1:12">
      <c r="A25" s="3">
        <v>10.5</v>
      </c>
      <c r="B25" s="4">
        <v>105.96666666666665</v>
      </c>
      <c r="C25" s="4">
        <v>0.63333333333333997</v>
      </c>
      <c r="D25" s="4">
        <v>0.96666666666665435</v>
      </c>
      <c r="F25" s="4">
        <v>95.835555555555558</v>
      </c>
      <c r="G25" s="4">
        <v>1.7211111111111137</v>
      </c>
      <c r="H25" s="4">
        <v>1.8922222222222302</v>
      </c>
    </row>
    <row r="26" spans="1:12">
      <c r="A26" s="3">
        <v>11</v>
      </c>
      <c r="B26" s="4">
        <v>112.23333333333333</v>
      </c>
      <c r="C26" s="4">
        <v>1.2666666666666657</v>
      </c>
      <c r="D26" s="4">
        <v>1.5333333333333314</v>
      </c>
      <c r="F26" s="4">
        <v>99.734444444444463</v>
      </c>
      <c r="G26" s="4">
        <v>0.73222222222221944</v>
      </c>
      <c r="H26" s="4">
        <v>0.67111111111113075</v>
      </c>
    </row>
    <row r="27" spans="1:12">
      <c r="A27" s="3">
        <v>11.5</v>
      </c>
      <c r="B27" s="4">
        <v>118.03333333333335</v>
      </c>
      <c r="C27" s="4">
        <v>2.4666666666666544</v>
      </c>
      <c r="D27" s="4">
        <v>2.3333333333333428</v>
      </c>
      <c r="F27" s="4">
        <v>107.17666666666666</v>
      </c>
      <c r="G27" s="4">
        <v>1.0333333333333314</v>
      </c>
      <c r="H27" s="4">
        <v>0.57333333333332348</v>
      </c>
    </row>
    <row r="28" spans="1:12">
      <c r="A28" s="9">
        <v>12</v>
      </c>
      <c r="B28" s="4">
        <v>122.3</v>
      </c>
      <c r="C28" s="4">
        <v>2.2000000000000028</v>
      </c>
      <c r="D28" s="4">
        <v>2.7000000000000028</v>
      </c>
      <c r="F28" s="4">
        <v>121.00666666666667</v>
      </c>
      <c r="G28" s="4">
        <v>1.8733333333333206</v>
      </c>
      <c r="H28" s="4">
        <v>1.5900000000000034</v>
      </c>
      <c r="I28" s="14">
        <v>12</v>
      </c>
      <c r="J28">
        <v>120</v>
      </c>
      <c r="K28">
        <f>ABS((J28-B28)/J28)</f>
        <v>1.9166666666666644E-2</v>
      </c>
      <c r="L28">
        <f>ABS((J28-F28)/J28)</f>
        <v>8.3888888888889561E-3</v>
      </c>
    </row>
    <row r="29" spans="1:12">
      <c r="C29" s="4">
        <v>1.7507246376811587</v>
      </c>
      <c r="D29" s="4">
        <v>1.8318840579710147</v>
      </c>
      <c r="G29" s="4">
        <v>0.81323671497584527</v>
      </c>
      <c r="H29" s="4">
        <v>0.77763285024154849</v>
      </c>
      <c r="K29" s="15">
        <f>AVERAGE(K28,K24,K18,K14,K8)</f>
        <v>0.10999551827624425</v>
      </c>
      <c r="L29" s="15">
        <f>AVERAGE(L28,L24,L18,L14,L8)</f>
        <v>0.14751823422037486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Luisa Fernanda Fuentes Melo</cp:lastModifiedBy>
  <cp:revision/>
  <dcterms:created xsi:type="dcterms:W3CDTF">2022-11-16T15:21:45Z</dcterms:created>
  <dcterms:modified xsi:type="dcterms:W3CDTF">2022-12-12T21:26:17Z</dcterms:modified>
  <cp:category/>
  <cp:contentStatus/>
</cp:coreProperties>
</file>