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defaultThemeVersion="166925"/>
  <mc:AlternateContent xmlns:mc="http://schemas.openxmlformats.org/markup-compatibility/2006">
    <mc:Choice Requires="x15">
      <x15ac:absPath xmlns:x15ac="http://schemas.microsoft.com/office/spreadsheetml/2010/11/ac" url="C:\Users\johan\Desktop\Protocolos\"/>
    </mc:Choice>
  </mc:AlternateContent>
  <xr:revisionPtr revIDLastSave="0" documentId="13_ncr:1_{3AF6F5B9-F115-4D37-952C-D2FE3E740BB2}" xr6:coauthVersionLast="45" xr6:coauthVersionMax="45" xr10:uidLastSave="{00000000-0000-0000-0000-000000000000}"/>
  <bookViews>
    <workbookView xWindow="-120" yWindow="-120" windowWidth="20730" windowHeight="11160" xr2:uid="{00000000-000D-0000-FFFF-FFFF00000000}"/>
  </bookViews>
  <sheets>
    <sheet name="Funcionalización" sheetId="5" r:id="rId1"/>
    <sheet name="Geometria" sheetId="7" r:id="rId2"/>
    <sheet name="Sustratos" sheetId="6" r:id="rId3"/>
    <sheet name="Moleculas" sheetId="3" r:id="rId4"/>
  </sheets>
  <definedNames>
    <definedName name="Moleculas1">Moleculas!$A$7:$A$22</definedName>
    <definedName name="Moleculas2">Moleculas!$A$24:$A$38</definedName>
    <definedName name="Moleculas3">Moleculas!#REF!</definedName>
    <definedName name="Moleculas4">Moleculas!#REF!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1" i="3" l="1"/>
  <c r="J31" i="3" s="1"/>
  <c r="I30" i="3"/>
  <c r="J30" i="3" s="1"/>
  <c r="I28" i="3"/>
  <c r="J28" i="3" s="1"/>
  <c r="I25" i="3"/>
  <c r="J25" i="3" s="1"/>
  <c r="G9" i="7" l="1"/>
  <c r="F7" i="7"/>
  <c r="G7" i="7"/>
  <c r="I17" i="5" s="1"/>
  <c r="C17" i="5"/>
  <c r="E17" i="5" s="1"/>
  <c r="F11" i="5"/>
  <c r="F9" i="7"/>
  <c r="F8" i="7"/>
  <c r="F6" i="7"/>
  <c r="C21" i="5"/>
  <c r="E21" i="5" s="1"/>
  <c r="C19" i="5"/>
  <c r="E19" i="5" s="1"/>
  <c r="J11" i="5"/>
  <c r="I13" i="5"/>
  <c r="P9" i="5"/>
  <c r="I19" i="5" l="1"/>
  <c r="I23" i="5" s="1"/>
  <c r="I15" i="5"/>
  <c r="I21" i="5" s="1"/>
  <c r="P38" i="5"/>
  <c r="P67" i="5"/>
  <c r="Q11" i="5"/>
  <c r="I37" i="3"/>
  <c r="I38" i="3"/>
  <c r="J38" i="3" s="1"/>
  <c r="I39" i="3"/>
  <c r="J39" i="3" s="1"/>
  <c r="I40" i="3"/>
  <c r="J40" i="3" s="1"/>
  <c r="I41" i="3"/>
  <c r="I42" i="3"/>
  <c r="J42" i="3" s="1"/>
  <c r="J37" i="3"/>
  <c r="J41" i="3"/>
  <c r="I36" i="3"/>
  <c r="J36" i="3" s="1"/>
  <c r="I35" i="3"/>
  <c r="J35" i="3" s="1"/>
  <c r="I34" i="3"/>
  <c r="J34" i="3" s="1"/>
  <c r="I33" i="3"/>
  <c r="J33" i="3" s="1"/>
  <c r="I32" i="3"/>
  <c r="J32" i="3" s="1"/>
  <c r="I29" i="3"/>
  <c r="J29" i="3" s="1"/>
  <c r="I27" i="3"/>
  <c r="J27" i="3" s="1"/>
  <c r="I26" i="3"/>
  <c r="J26" i="3" s="1"/>
  <c r="I24" i="3"/>
  <c r="J24" i="3" s="1"/>
  <c r="I6" i="3"/>
  <c r="J6" i="3" s="1"/>
  <c r="Q13" i="5" s="1"/>
  <c r="I7" i="3"/>
  <c r="J7" i="3" s="1"/>
  <c r="I8" i="3"/>
  <c r="J8" i="3" s="1"/>
  <c r="I9" i="3"/>
  <c r="J9" i="3" s="1"/>
  <c r="I10" i="3"/>
  <c r="J10" i="3" s="1"/>
  <c r="I11" i="3"/>
  <c r="J11" i="3" s="1"/>
  <c r="I12" i="3"/>
  <c r="J12" i="3" s="1"/>
  <c r="I13" i="3"/>
  <c r="J13" i="3" s="1"/>
  <c r="I14" i="3"/>
  <c r="J14" i="3" s="1"/>
  <c r="I15" i="3"/>
  <c r="J15" i="3" s="1"/>
  <c r="I16" i="3"/>
  <c r="J16" i="3" s="1"/>
  <c r="I17" i="3"/>
  <c r="J17" i="3" s="1"/>
  <c r="I18" i="3"/>
  <c r="J18" i="3" s="1"/>
  <c r="I19" i="3"/>
  <c r="J19" i="3" s="1"/>
  <c r="I20" i="3"/>
  <c r="J20" i="3" s="1"/>
  <c r="I21" i="3"/>
  <c r="J21" i="3" s="1"/>
  <c r="I22" i="3"/>
  <c r="J22" i="3" s="1"/>
  <c r="Q21" i="5" l="1"/>
  <c r="Q23" i="5" s="1"/>
  <c r="Q71" i="5"/>
  <c r="Q42" i="5"/>
  <c r="Q77" i="5"/>
  <c r="Q75" i="5"/>
  <c r="Q73" i="5"/>
  <c r="Q69" i="5"/>
  <c r="Q48" i="5"/>
  <c r="Q46" i="5"/>
  <c r="Q44" i="5"/>
  <c r="Q40" i="5"/>
  <c r="Q50" i="5" l="1"/>
  <c r="Q79" i="5" s="1"/>
  <c r="Q19" i="5"/>
  <c r="Q17" i="5"/>
  <c r="Q15" i="5"/>
  <c r="Q31" i="5" l="1"/>
  <c r="Q60" i="5" l="1"/>
  <c r="Q25" i="5"/>
  <c r="Q33" i="5" s="1"/>
  <c r="Q52" i="5" l="1"/>
  <c r="Q54" i="5" s="1"/>
  <c r="Q62" i="5" s="1"/>
  <c r="Q81" i="5" l="1"/>
  <c r="Q83" i="5" s="1"/>
  <c r="Q91" i="5" s="1"/>
  <c r="Q89" i="5"/>
</calcChain>
</file>

<file path=xl/sharedStrings.xml><?xml version="1.0" encoding="utf-8"?>
<sst xmlns="http://schemas.openxmlformats.org/spreadsheetml/2006/main" count="242" uniqueCount="146">
  <si>
    <t>Peso molecular [g/mol]</t>
  </si>
  <si>
    <t>Molecula</t>
  </si>
  <si>
    <t xml:space="preserve"> g</t>
  </si>
  <si>
    <t>Grupos Funcionales disponibles</t>
  </si>
  <si>
    <t xml:space="preserve">Área/Volumen </t>
  </si>
  <si>
    <t xml:space="preserve">Volumen partícula </t>
  </si>
  <si>
    <t xml:space="preserve">Masa partícula </t>
  </si>
  <si>
    <t>COH</t>
  </si>
  <si>
    <t>SH</t>
  </si>
  <si>
    <t>APTES</t>
  </si>
  <si>
    <t>Apodo</t>
  </si>
  <si>
    <t>Nombre</t>
  </si>
  <si>
    <t>CAS</t>
  </si>
  <si>
    <t>93642-68-3</t>
  </si>
  <si>
    <t>CAS N°</t>
  </si>
  <si>
    <t>N1-(3-Trimethoxysilylpropyl)diethylenetriamine</t>
  </si>
  <si>
    <t>35141-30-1</t>
  </si>
  <si>
    <t>Tetrasodium;2-[bis[2-[bis(carboxymethyl)amino]ethyl]amino]acetic acid</t>
  </si>
  <si>
    <t>140-01-2</t>
  </si>
  <si>
    <t>(3-Aminopropyl)triethoxysilane</t>
  </si>
  <si>
    <t>919-30-2</t>
  </si>
  <si>
    <t>MOLECULAS #2</t>
  </si>
  <si>
    <t>MOLECULAS #1</t>
  </si>
  <si>
    <t>Laccase</t>
  </si>
  <si>
    <t>N° grupos funcionales COH disponibles/molécula</t>
  </si>
  <si>
    <t>N° grupos funcionales SH disponibles/molécula</t>
  </si>
  <si>
    <t>Cysteine</t>
  </si>
  <si>
    <t>L-cysteine</t>
  </si>
  <si>
    <t>52-90-4</t>
  </si>
  <si>
    <t>Tryamine</t>
  </si>
  <si>
    <t>DTPA5Na</t>
  </si>
  <si>
    <t xml:space="preserve">N° moléculas funcionalizadas/partícula </t>
  </si>
  <si>
    <t>N° partículas</t>
  </si>
  <si>
    <t>Primera molécula a funcionalizar:</t>
  </si>
  <si>
    <t>Glutaraldehyde</t>
  </si>
  <si>
    <t>111-30-8</t>
  </si>
  <si>
    <t>Cysteamine</t>
  </si>
  <si>
    <t>60-23-1</t>
  </si>
  <si>
    <t>Tercera molécula a funcionalizar: relación 1:1 con 2da molecula</t>
  </si>
  <si>
    <r>
      <t>N° grupos funcionales NH</t>
    </r>
    <r>
      <rPr>
        <vertAlign val="subscript"/>
        <sz val="11"/>
        <color theme="1"/>
        <rFont val="Calibri"/>
        <family val="2"/>
        <scheme val="minor"/>
      </rPr>
      <t>2</t>
    </r>
    <r>
      <rPr>
        <sz val="11"/>
        <color theme="1"/>
        <rFont val="Calibri"/>
        <family val="2"/>
        <scheme val="minor"/>
      </rPr>
      <t xml:space="preserve"> disponibles/molécula</t>
    </r>
  </si>
  <si>
    <r>
      <t xml:space="preserve"> NH</t>
    </r>
    <r>
      <rPr>
        <b/>
        <vertAlign val="subscript"/>
        <sz val="11"/>
        <rFont val="Calibri"/>
        <family val="2"/>
        <scheme val="minor"/>
      </rPr>
      <t>2</t>
    </r>
    <r>
      <rPr>
        <b/>
        <vertAlign val="superscript"/>
        <sz val="11"/>
        <rFont val="Calibri"/>
        <family val="2"/>
        <scheme val="minor"/>
      </rPr>
      <t xml:space="preserve"> </t>
    </r>
  </si>
  <si>
    <r>
      <t xml:space="preserve"> µm</t>
    </r>
    <r>
      <rPr>
        <vertAlign val="superscript"/>
        <sz val="11"/>
        <color theme="1"/>
        <rFont val="Calibri"/>
        <family val="2"/>
        <scheme val="minor"/>
      </rPr>
      <t>2</t>
    </r>
  </si>
  <si>
    <t xml:space="preserve"> µm</t>
  </si>
  <si>
    <r>
      <t xml:space="preserve"> µm</t>
    </r>
    <r>
      <rPr>
        <vertAlign val="superscript"/>
        <sz val="11"/>
        <color theme="1"/>
        <rFont val="Calibri"/>
        <family val="2"/>
        <scheme val="minor"/>
      </rPr>
      <t>3</t>
    </r>
  </si>
  <si>
    <t>masa (g) necesarios según cantidad de partículas</t>
  </si>
  <si>
    <t>Moles necesarias según cantidad de partículas</t>
  </si>
  <si>
    <t>Segunda molécula a funcionalizar: relación 1:1 con 1ra molecula</t>
  </si>
  <si>
    <r>
      <t>g/cm</t>
    </r>
    <r>
      <rPr>
        <vertAlign val="superscript"/>
        <sz val="11"/>
        <color theme="1"/>
        <rFont val="Calibri"/>
        <family val="2"/>
        <scheme val="minor"/>
      </rPr>
      <t>3</t>
    </r>
  </si>
  <si>
    <t>Lipase</t>
  </si>
  <si>
    <t>Chloramphenicol</t>
  </si>
  <si>
    <t>Gentamicin</t>
  </si>
  <si>
    <t>DODEC</t>
  </si>
  <si>
    <t>TMOS</t>
  </si>
  <si>
    <t>Dodecyl trimethoxysilane</t>
  </si>
  <si>
    <t>N/A</t>
  </si>
  <si>
    <t>----</t>
  </si>
  <si>
    <r>
      <rPr>
        <b/>
        <sz val="11"/>
        <color theme="1"/>
        <rFont val="Calibri"/>
        <family val="2"/>
      </rPr>
      <t>µ</t>
    </r>
    <r>
      <rPr>
        <b/>
        <sz val="11"/>
        <color theme="1"/>
        <rFont val="Calibri"/>
        <family val="2"/>
        <scheme val="minor"/>
      </rPr>
      <t>m</t>
    </r>
    <r>
      <rPr>
        <b/>
        <vertAlign val="superscript"/>
        <sz val="11"/>
        <color theme="1"/>
        <rFont val="Calibri"/>
        <family val="2"/>
        <scheme val="minor"/>
      </rPr>
      <t>2</t>
    </r>
  </si>
  <si>
    <t>LISTA DE MOLECULAS</t>
  </si>
  <si>
    <r>
      <t>Área superficial/molécula [</t>
    </r>
    <r>
      <rPr>
        <sz val="11"/>
        <color theme="1"/>
        <rFont val="Calibri"/>
        <family val="2"/>
      </rPr>
      <t>µ</t>
    </r>
    <r>
      <rPr>
        <sz val="11"/>
        <color theme="1"/>
        <rFont val="Calibri"/>
        <family val="2"/>
        <scheme val="minor"/>
      </rPr>
      <t>m</t>
    </r>
    <r>
      <rPr>
        <vertAlign val="superscript"/>
        <sz val="11"/>
        <color theme="1"/>
        <rFont val="Calibri"/>
        <family val="2"/>
        <scheme val="minor"/>
      </rPr>
      <t>2</t>
    </r>
    <r>
      <rPr>
        <sz val="11"/>
        <color theme="1"/>
        <rFont val="Calibri"/>
        <family val="2"/>
        <scheme val="minor"/>
      </rPr>
      <t>]</t>
    </r>
  </si>
  <si>
    <t>Fecha:</t>
  </si>
  <si>
    <r>
      <t>Å</t>
    </r>
    <r>
      <rPr>
        <b/>
        <vertAlign val="superscript"/>
        <sz val="11"/>
        <color theme="1"/>
        <rFont val="Calibri"/>
        <family val="2"/>
      </rPr>
      <t>2</t>
    </r>
  </si>
  <si>
    <t>Glucose</t>
  </si>
  <si>
    <t>D-Glucose</t>
  </si>
  <si>
    <t>Chloroform</t>
  </si>
  <si>
    <t>Area proyectada de molecula</t>
  </si>
  <si>
    <t>diametro (Å)</t>
  </si>
  <si>
    <t>Tetramethyl orthosilicate</t>
  </si>
  <si>
    <t>3-(Triethoxysilyl)propylsuccinic anhydride</t>
  </si>
  <si>
    <t>Factor de incremento (3 veces sugerido) **</t>
  </si>
  <si>
    <t>Eficiencia Inmovilización (20% sugerida)*</t>
  </si>
  <si>
    <t>*Porcentaje real de moleculas inmovilizadas</t>
  </si>
  <si>
    <t>*Exceso de moleculas para garantizar inmovilización</t>
  </si>
  <si>
    <t xml:space="preserve">N° máximo moléculas funcionalizadas/partícula </t>
  </si>
  <si>
    <t>masa (g) necesaria a usar con factor de incremento</t>
  </si>
  <si>
    <r>
      <t xml:space="preserve">N° </t>
    </r>
    <r>
      <rPr>
        <b/>
        <sz val="11"/>
        <color theme="1"/>
        <rFont val="Calibri"/>
        <family val="2"/>
        <scheme val="minor"/>
      </rPr>
      <t>Esperado</t>
    </r>
    <r>
      <rPr>
        <sz val="11"/>
        <color theme="1"/>
        <rFont val="Calibri"/>
        <family val="2"/>
        <scheme val="minor"/>
      </rPr>
      <t xml:space="preserve"> moléculas funcionalizadas/partícula </t>
    </r>
  </si>
  <si>
    <t>ESTIMACIÓN DE REACTIVOS NECESARIOS PARA FUNCIONALIZACIÓN DE NANOCOMPUESTOS</t>
  </si>
  <si>
    <t>Sustrato</t>
  </si>
  <si>
    <r>
      <t>Densidad [g/cm</t>
    </r>
    <r>
      <rPr>
        <b/>
        <vertAlign val="superscript"/>
        <sz val="9"/>
        <rFont val="Calibri"/>
        <family val="2"/>
        <scheme val="minor"/>
      </rPr>
      <t>3</t>
    </r>
    <r>
      <rPr>
        <b/>
        <sz val="9"/>
        <rFont val="Calibri"/>
        <family val="2"/>
        <scheme val="minor"/>
      </rPr>
      <t>]</t>
    </r>
  </si>
  <si>
    <t>SiO2</t>
  </si>
  <si>
    <t>TiO2</t>
  </si>
  <si>
    <t>Al2O3</t>
  </si>
  <si>
    <t>Cu2O</t>
  </si>
  <si>
    <t>Au</t>
  </si>
  <si>
    <t>Ag</t>
  </si>
  <si>
    <t>CuO</t>
  </si>
  <si>
    <t>Copper (I) Oxide</t>
  </si>
  <si>
    <t>1317-39-1</t>
  </si>
  <si>
    <t>1317-38-0</t>
  </si>
  <si>
    <t>Copper (II) Oxide</t>
  </si>
  <si>
    <t>7631-86-9</t>
  </si>
  <si>
    <t>Silicon dioxide (Amorphous)</t>
  </si>
  <si>
    <t>13463-67-7</t>
  </si>
  <si>
    <t>Titanium dioxide (anatase)</t>
  </si>
  <si>
    <t>Aluminium oxide</t>
  </si>
  <si>
    <t>1344-28-1</t>
  </si>
  <si>
    <t>Gold</t>
  </si>
  <si>
    <t>Silver</t>
  </si>
  <si>
    <t>7440-57-5</t>
  </si>
  <si>
    <t>7440-22-4</t>
  </si>
  <si>
    <t>Fe3O4</t>
  </si>
  <si>
    <t>1317-61-9</t>
  </si>
  <si>
    <t>Magnetite / Iron (II,III) oxide</t>
  </si>
  <si>
    <t>Fe2O3</t>
  </si>
  <si>
    <t>Hematite / Iron (III) oxide</t>
  </si>
  <si>
    <t>1309-37-1</t>
  </si>
  <si>
    <t>1318-02-1</t>
  </si>
  <si>
    <t>4A Molecular Sieve Zeolite</t>
  </si>
  <si>
    <t>Zeolite 4A</t>
  </si>
  <si>
    <t>6-75-7</t>
  </si>
  <si>
    <t>67-66-3</t>
  </si>
  <si>
    <t>1403-66-3</t>
  </si>
  <si>
    <t>50-99-7</t>
  </si>
  <si>
    <t>3069-21-4</t>
  </si>
  <si>
    <t>80498-15-3</t>
  </si>
  <si>
    <t>9001-62-1</t>
  </si>
  <si>
    <t>681-84-5</t>
  </si>
  <si>
    <t>Densidad:</t>
  </si>
  <si>
    <t>CAS:</t>
  </si>
  <si>
    <t>Cantidad sustrato:</t>
  </si>
  <si>
    <t>LISTA DE SUSTRATOS</t>
  </si>
  <si>
    <t>LISTA DE GEOMETRIAS</t>
  </si>
  <si>
    <t>Esfera</t>
  </si>
  <si>
    <t>Círculo</t>
  </si>
  <si>
    <t>Rectangulo</t>
  </si>
  <si>
    <t>Cubo</t>
  </si>
  <si>
    <t># dimensiones</t>
  </si>
  <si>
    <t>Geometrias</t>
  </si>
  <si>
    <t>dimension 1</t>
  </si>
  <si>
    <t>dimension 2</t>
  </si>
  <si>
    <t>dimension 3</t>
  </si>
  <si>
    <t>Diametro:</t>
  </si>
  <si>
    <t>Ancho:</t>
  </si>
  <si>
    <t>Largo:</t>
  </si>
  <si>
    <t>Alto:</t>
  </si>
  <si>
    <t>Geometria sustrato:</t>
  </si>
  <si>
    <t>Area</t>
  </si>
  <si>
    <t>Material del sustrato:</t>
  </si>
  <si>
    <t>Volumen</t>
  </si>
  <si>
    <t>Área particula</t>
  </si>
  <si>
    <t>1era Molécula</t>
  </si>
  <si>
    <t>2nda Molécula</t>
  </si>
  <si>
    <t>3era Molécula</t>
  </si>
  <si>
    <t>Este aplicativo muestra la cantidad teórica necesaria de reactivos para la funcionalización de nanocompuestos sobre un material que puede ser una superficie o un material particulado. Por favor ingrese la geometría del sustrato, dimensiones en µm,  y la cantidad de sustrato en g.</t>
  </si>
  <si>
    <r>
      <t>Ana Lucía Campaña</t>
    </r>
    <r>
      <rPr>
        <vertAlign val="superscript"/>
        <sz val="9"/>
        <color theme="1"/>
        <rFont val="Calibri"/>
        <family val="2"/>
        <scheme val="minor"/>
      </rPr>
      <t>a</t>
    </r>
    <r>
      <rPr>
        <sz val="9"/>
        <color theme="1"/>
        <rFont val="Calibri"/>
        <family val="2"/>
        <scheme val="minor"/>
      </rPr>
      <t>, Sergio Flórez</t>
    </r>
    <r>
      <rPr>
        <vertAlign val="superscript"/>
        <sz val="9"/>
        <color theme="1"/>
        <rFont val="Calibri"/>
        <family val="2"/>
        <scheme val="minor"/>
      </rPr>
      <t>a</t>
    </r>
    <r>
      <rPr>
        <sz val="9"/>
        <color theme="1"/>
        <rFont val="Calibri"/>
        <family val="2"/>
        <scheme val="minor"/>
      </rPr>
      <t>, Juliana Noguera</t>
    </r>
    <r>
      <rPr>
        <vertAlign val="superscript"/>
        <sz val="9"/>
        <color theme="1"/>
        <rFont val="Calibri"/>
        <family val="2"/>
        <scheme val="minor"/>
      </rPr>
      <t>a</t>
    </r>
    <r>
      <rPr>
        <sz val="9"/>
        <color theme="1"/>
        <rFont val="Calibri"/>
        <family val="2"/>
        <scheme val="minor"/>
      </rPr>
      <t>, Paula A. Peñaranda</t>
    </r>
    <r>
      <rPr>
        <vertAlign val="superscript"/>
        <sz val="9"/>
        <color theme="1"/>
        <rFont val="Calibri"/>
        <family val="2"/>
        <scheme val="minor"/>
      </rPr>
      <t>a</t>
    </r>
    <r>
      <rPr>
        <sz val="9"/>
        <color theme="1"/>
        <rFont val="Calibri"/>
        <family val="2"/>
        <scheme val="minor"/>
      </rPr>
      <t>, Diana Sotelo</t>
    </r>
    <r>
      <rPr>
        <vertAlign val="superscript"/>
        <sz val="9"/>
        <color theme="1"/>
        <rFont val="Calibri"/>
        <family val="2"/>
        <scheme val="minor"/>
      </rPr>
      <t>a</t>
    </r>
    <r>
      <rPr>
        <sz val="9"/>
        <color theme="1"/>
        <rFont val="Calibri"/>
        <family val="2"/>
        <scheme val="minor"/>
      </rPr>
      <t>, Johann F. Osma</t>
    </r>
    <r>
      <rPr>
        <vertAlign val="superscript"/>
        <sz val="9"/>
        <color theme="1"/>
        <rFont val="Calibri"/>
        <family val="2"/>
        <scheme val="minor"/>
      </rPr>
      <t>a</t>
    </r>
    <r>
      <rPr>
        <sz val="9"/>
        <color theme="1"/>
        <rFont val="Calibri"/>
        <family val="2"/>
        <scheme val="minor"/>
      </rPr>
      <t xml:space="preserve"> 
</t>
    </r>
    <r>
      <rPr>
        <vertAlign val="superscript"/>
        <sz val="9"/>
        <color theme="1"/>
        <rFont val="Calibri"/>
        <family val="2"/>
        <scheme val="minor"/>
      </rPr>
      <t>a</t>
    </r>
    <r>
      <rPr>
        <sz val="9"/>
        <color theme="1"/>
        <rFont val="Calibri"/>
        <family val="2"/>
        <scheme val="minor"/>
      </rPr>
      <t xml:space="preserve"> Universidad de los Andes. Grupo de investigación CMUA.</t>
    </r>
  </si>
  <si>
    <t>Este simulador limita el número de moléculas de la segunda y tercera posición dependiendo del número máximo de moleclas de la primera capa, así como por el tamaño de las moléculas siguientes, es decir, la segunda capa nunca tendra un número mayor de moléculas que la primera, y asi sucesivamente</t>
  </si>
  <si>
    <t>**Exceso de moleculas para garantizar inmovilización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</si>
</sst>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000"/>
    <numFmt numFmtId="165" formatCode="0.0"/>
    <numFmt numFmtId="166" formatCode="0.000"/>
    <numFmt numFmtId="167" formatCode="0.000.E+00"/>
  </numFmts>
  <fonts count="27"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b/>
      <sz val="16"/>
      <color theme="1"/>
      <name val="Calibri"/>
      <family val="2"/>
      <scheme val="minor"/>
    </font>
    <font>
      <sz val="9"/>
      <color theme="1"/>
      <name val="Calibri"/>
      <family val="2"/>
      <scheme val="minor"/>
    </font>
    <font>
      <vertAlign val="superscript"/>
      <sz val="9"/>
      <color theme="1"/>
      <name val="Calibri"/>
      <family val="2"/>
      <scheme val="minor"/>
    </font>
    <font>
      <b/>
      <sz val="15"/>
      <color theme="1"/>
      <name val="Calibri"/>
      <family val="2"/>
      <scheme val="minor"/>
    </font>
    <font>
      <sz val="11"/>
      <color rgb="FF000000"/>
      <name val="Calibri"/>
      <family val="2"/>
      <scheme val="minor"/>
    </font>
    <font>
      <sz val="11"/>
      <color rgb="FF212121"/>
      <name val="Calibri"/>
      <family val="2"/>
      <scheme val="minor"/>
    </font>
    <font>
      <vertAlign val="superscript"/>
      <sz val="11"/>
      <color theme="1"/>
      <name val="Calibri"/>
      <family val="2"/>
      <scheme val="minor"/>
    </font>
    <font>
      <b/>
      <vertAlign val="superscript"/>
      <sz val="11"/>
      <name val="Calibri"/>
      <family val="2"/>
      <scheme val="minor"/>
    </font>
    <font>
      <b/>
      <sz val="9"/>
      <name val="Calibri"/>
      <family val="2"/>
      <scheme val="minor"/>
    </font>
    <font>
      <vertAlign val="subscript"/>
      <sz val="11"/>
      <color theme="1"/>
      <name val="Calibri"/>
      <family val="2"/>
      <scheme val="minor"/>
    </font>
    <font>
      <b/>
      <vertAlign val="subscript"/>
      <sz val="11"/>
      <name val="Calibri"/>
      <family val="2"/>
      <scheme val="minor"/>
    </font>
    <font>
      <b/>
      <sz val="11"/>
      <color theme="1"/>
      <name val="Calibri"/>
      <family val="2"/>
    </font>
    <font>
      <b/>
      <vertAlign val="superscript"/>
      <sz val="11"/>
      <color theme="1"/>
      <name val="Calibri"/>
      <family val="2"/>
    </font>
    <font>
      <b/>
      <vertAlign val="superscript"/>
      <sz val="11"/>
      <color theme="1"/>
      <name val="Calibri"/>
      <family val="2"/>
      <scheme val="minor"/>
    </font>
    <font>
      <sz val="11"/>
      <color theme="1"/>
      <name val="Calibri"/>
      <family val="2"/>
    </font>
    <font>
      <sz val="9"/>
      <name val="Calibri"/>
      <family val="2"/>
      <scheme val="minor"/>
    </font>
    <font>
      <sz val="8"/>
      <color theme="1"/>
      <name val="Calibri"/>
      <family val="2"/>
      <scheme val="minor"/>
    </font>
    <font>
      <sz val="11"/>
      <color theme="1"/>
      <name val="Calibri"/>
      <family val="2"/>
      <scheme val="minor"/>
    </font>
    <font>
      <i/>
      <sz val="10"/>
      <color theme="1"/>
      <name val="Calibri"/>
      <family val="2"/>
      <scheme val="minor"/>
    </font>
    <font>
      <b/>
      <vertAlign val="superscript"/>
      <sz val="9"/>
      <name val="Calibri"/>
      <family val="2"/>
      <scheme val="minor"/>
    </font>
    <font>
      <sz val="10"/>
      <color theme="1"/>
      <name val="Calibri"/>
      <family val="2"/>
      <scheme val="minor"/>
    </font>
    <font>
      <sz val="8"/>
      <name val="Calibri"/>
      <family val="2"/>
      <scheme val="minor"/>
    </font>
    <font>
      <i/>
      <sz val="11"/>
      <color theme="1"/>
      <name val="Calibri"/>
      <family val="2"/>
      <scheme val="minor"/>
    </font>
  </fonts>
  <fills count="10">
    <fill>
      <patternFill patternType="none"/>
    </fill>
    <fill>
      <patternFill patternType="gray125"/>
    </fill>
    <fill>
      <patternFill patternType="solid">
        <fgColor theme="0"/>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2"/>
        <bgColor indexed="64"/>
      </patternFill>
    </fill>
    <fill>
      <patternFill patternType="solid">
        <fgColor rgb="FFFFFF00"/>
        <bgColor indexed="64"/>
      </patternFill>
    </fill>
    <fill>
      <patternFill patternType="solid">
        <fgColor theme="7"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21" fillId="0" borderId="0" applyFont="0" applyFill="0" applyBorder="0" applyAlignment="0" applyProtection="0"/>
  </cellStyleXfs>
  <cellXfs count="122">
    <xf numFmtId="0" fontId="0" fillId="0" borderId="0" xfId="0"/>
    <xf numFmtId="0" fontId="3" fillId="0" borderId="0" xfId="0" applyFont="1" applyFill="1" applyAlignment="1">
      <alignment wrapText="1"/>
    </xf>
    <xf numFmtId="0" fontId="0" fillId="0" borderId="0" xfId="0" applyFont="1"/>
    <xf numFmtId="0" fontId="0" fillId="2" borderId="0" xfId="0" applyFill="1"/>
    <xf numFmtId="0" fontId="2" fillId="0" borderId="1" xfId="0" applyFont="1" applyFill="1" applyBorder="1"/>
    <xf numFmtId="0" fontId="3" fillId="0" borderId="1" xfId="0" applyFont="1" applyFill="1" applyBorder="1" applyAlignment="1">
      <alignment wrapText="1"/>
    </xf>
    <xf numFmtId="0" fontId="8" fillId="0" borderId="1" xfId="0" applyFont="1" applyBorder="1"/>
    <xf numFmtId="0" fontId="0" fillId="0" borderId="1" xfId="0" applyFont="1" applyBorder="1"/>
    <xf numFmtId="0" fontId="0" fillId="0" borderId="1" xfId="0" applyBorder="1"/>
    <xf numFmtId="0" fontId="9" fillId="0" borderId="1" xfId="0" applyFont="1" applyBorder="1"/>
    <xf numFmtId="0" fontId="3" fillId="5" borderId="1" xfId="0" applyFont="1" applyFill="1" applyBorder="1" applyAlignment="1">
      <alignment vertical="center"/>
    </xf>
    <xf numFmtId="0" fontId="3" fillId="5" borderId="1" xfId="0" applyFont="1" applyFill="1" applyBorder="1" applyAlignment="1">
      <alignment horizontal="center" vertical="center"/>
    </xf>
    <xf numFmtId="0" fontId="3" fillId="5" borderId="1" xfId="0" applyFont="1" applyFill="1" applyBorder="1" applyAlignment="1">
      <alignment horizontal="center" wrapText="1"/>
    </xf>
    <xf numFmtId="0" fontId="1" fillId="5" borderId="1" xfId="0" applyFont="1" applyFill="1" applyBorder="1" applyAlignment="1">
      <alignment horizontal="center"/>
    </xf>
    <xf numFmtId="0" fontId="4" fillId="2" borderId="0" xfId="0" applyFont="1" applyFill="1" applyAlignment="1">
      <alignment vertical="center"/>
    </xf>
    <xf numFmtId="0" fontId="0" fillId="2" borderId="0" xfId="0" applyFill="1" applyAlignment="1">
      <alignment vertical="center"/>
    </xf>
    <xf numFmtId="0" fontId="0" fillId="2" borderId="0" xfId="0" applyFill="1" applyAlignment="1">
      <alignment vertical="center" wrapText="1"/>
    </xf>
    <xf numFmtId="0" fontId="0" fillId="2" borderId="0" xfId="0" applyFill="1" applyAlignment="1">
      <alignment horizontal="left" vertical="center"/>
    </xf>
    <xf numFmtId="0" fontId="0" fillId="2" borderId="0" xfId="0" applyFill="1" applyAlignment="1"/>
    <xf numFmtId="0" fontId="0" fillId="2" borderId="0" xfId="0" applyFill="1" applyAlignment="1">
      <alignment wrapText="1"/>
    </xf>
    <xf numFmtId="0" fontId="0" fillId="2" borderId="0" xfId="0" applyFill="1" applyAlignment="1">
      <alignment horizontal="left"/>
    </xf>
    <xf numFmtId="0" fontId="0" fillId="6" borderId="0" xfId="0" applyFill="1"/>
    <xf numFmtId="0" fontId="2" fillId="0" borderId="1" xfId="0" applyFont="1" applyFill="1" applyBorder="1" applyAlignment="1">
      <alignment wrapText="1"/>
    </xf>
    <xf numFmtId="11" fontId="0" fillId="6" borderId="0" xfId="0" applyNumberFormat="1" applyFill="1"/>
    <xf numFmtId="0" fontId="15" fillId="5" borderId="1" xfId="0" applyFont="1" applyFill="1" applyBorder="1" applyAlignment="1">
      <alignment horizontal="center"/>
    </xf>
    <xf numFmtId="0" fontId="5" fillId="2" borderId="0" xfId="0" applyFont="1" applyFill="1" applyAlignment="1">
      <alignment horizontal="center" vertical="center" wrapText="1"/>
    </xf>
    <xf numFmtId="0" fontId="5" fillId="2" borderId="0" xfId="0" applyFont="1" applyFill="1" applyAlignment="1">
      <alignment horizontal="center" vertical="center" wrapText="1"/>
    </xf>
    <xf numFmtId="0" fontId="7" fillId="2" borderId="0" xfId="0" applyFont="1" applyFill="1" applyAlignment="1">
      <alignment vertical="center"/>
    </xf>
    <xf numFmtId="0" fontId="5" fillId="2" borderId="0" xfId="0" applyFont="1" applyFill="1" applyAlignment="1">
      <alignment vertical="center" wrapText="1"/>
    </xf>
    <xf numFmtId="0" fontId="0" fillId="7" borderId="0" xfId="0" applyFill="1" applyAlignment="1">
      <alignment vertical="center" wrapText="1"/>
    </xf>
    <xf numFmtId="0" fontId="0" fillId="7" borderId="0" xfId="0" applyFill="1"/>
    <xf numFmtId="0" fontId="0" fillId="7" borderId="0" xfId="0" applyFill="1" applyAlignment="1">
      <alignment horizontal="left" vertical="center"/>
    </xf>
    <xf numFmtId="0" fontId="0" fillId="7" borderId="0" xfId="0" applyFill="1" applyAlignment="1">
      <alignment horizontal="left" vertical="center" wrapText="1"/>
    </xf>
    <xf numFmtId="0" fontId="0" fillId="7" borderId="0" xfId="0" applyFill="1" applyAlignment="1">
      <alignment horizontal="left" wrapText="1"/>
    </xf>
    <xf numFmtId="2" fontId="0" fillId="7" borderId="0" xfId="0" applyNumberFormat="1" applyFill="1"/>
    <xf numFmtId="0" fontId="0" fillId="7" borderId="0" xfId="0" applyFill="1" applyAlignment="1">
      <alignment horizontal="center" vertical="center" wrapText="1"/>
    </xf>
    <xf numFmtId="0" fontId="0" fillId="7" borderId="0" xfId="0" applyFill="1" applyAlignment="1">
      <alignment horizontal="center" vertical="center"/>
    </xf>
    <xf numFmtId="0" fontId="0" fillId="7" borderId="0" xfId="0" applyNumberFormat="1" applyFill="1" applyAlignment="1">
      <alignment horizontal="right" vertical="center"/>
    </xf>
    <xf numFmtId="0" fontId="0" fillId="7" borderId="0" xfId="0" applyFill="1" applyAlignment="1">
      <alignment horizontal="right" vertical="center"/>
    </xf>
    <xf numFmtId="11" fontId="0" fillId="7" borderId="0" xfId="0" applyNumberFormat="1" applyFill="1" applyAlignment="1">
      <alignment vertical="center" wrapText="1"/>
    </xf>
    <xf numFmtId="0" fontId="1" fillId="7" borderId="0" xfId="0" applyFont="1" applyFill="1" applyAlignment="1">
      <alignment horizontal="center"/>
    </xf>
    <xf numFmtId="2" fontId="1" fillId="7" borderId="0" xfId="0" applyNumberFormat="1" applyFont="1" applyFill="1" applyAlignment="1">
      <alignment horizontal="center"/>
    </xf>
    <xf numFmtId="2" fontId="0" fillId="7" borderId="0" xfId="0" applyNumberFormat="1" applyFill="1" applyAlignment="1">
      <alignment horizontal="left"/>
    </xf>
    <xf numFmtId="0" fontId="5" fillId="7" borderId="0" xfId="0" applyFont="1" applyFill="1" applyAlignment="1">
      <alignment horizontal="center" vertical="center" wrapText="1"/>
    </xf>
    <xf numFmtId="0" fontId="1" fillId="2" borderId="0" xfId="0" applyFont="1" applyFill="1"/>
    <xf numFmtId="164" fontId="0" fillId="2" borderId="0" xfId="0" applyNumberFormat="1" applyFill="1"/>
    <xf numFmtId="0" fontId="2" fillId="0" borderId="1" xfId="0" quotePrefix="1" applyFont="1" applyFill="1" applyBorder="1"/>
    <xf numFmtId="11" fontId="3" fillId="0" borderId="0" xfId="0" applyNumberFormat="1" applyFont="1" applyFill="1" applyAlignment="1">
      <alignment wrapText="1"/>
    </xf>
    <xf numFmtId="0" fontId="4" fillId="0" borderId="0" xfId="0" applyFont="1"/>
    <xf numFmtId="0" fontId="0" fillId="2" borderId="0" xfId="0" applyNumberFormat="1" applyFill="1"/>
    <xf numFmtId="0" fontId="19" fillId="0" borderId="0" xfId="0" applyFont="1" applyFill="1" applyBorder="1" applyAlignment="1">
      <alignment horizontal="left"/>
    </xf>
    <xf numFmtId="0" fontId="5" fillId="2" borderId="0" xfId="0" applyFont="1" applyFill="1" applyBorder="1" applyAlignment="1">
      <alignment horizontal="left"/>
    </xf>
    <xf numFmtId="0" fontId="5" fillId="0" borderId="0" xfId="0" applyFont="1" applyBorder="1" applyAlignment="1">
      <alignment horizontal="left"/>
    </xf>
    <xf numFmtId="0" fontId="0" fillId="2" borderId="0" xfId="0" applyFill="1" applyBorder="1"/>
    <xf numFmtId="0" fontId="0" fillId="2" borderId="0" xfId="0" applyFill="1" applyBorder="1" applyAlignment="1"/>
    <xf numFmtId="0" fontId="5" fillId="2" borderId="0" xfId="0" applyFont="1" applyFill="1" applyAlignment="1">
      <alignment horizontal="right" vertical="center" wrapText="1"/>
    </xf>
    <xf numFmtId="14" fontId="5" fillId="2" borderId="0" xfId="0" applyNumberFormat="1" applyFont="1" applyFill="1" applyAlignment="1">
      <alignment horizontal="left" vertical="center" wrapText="1"/>
    </xf>
    <xf numFmtId="165" fontId="2" fillId="0" borderId="1" xfId="0" applyNumberFormat="1" applyFont="1" applyFill="1" applyBorder="1"/>
    <xf numFmtId="2" fontId="0" fillId="0" borderId="1" xfId="0" applyNumberFormat="1" applyFont="1" applyBorder="1"/>
    <xf numFmtId="2" fontId="2" fillId="0" borderId="1" xfId="0" applyNumberFormat="1" applyFont="1" applyFill="1" applyBorder="1" applyAlignment="1">
      <alignment wrapText="1"/>
    </xf>
    <xf numFmtId="2" fontId="0" fillId="8" borderId="1" xfId="0" applyNumberFormat="1" applyFont="1" applyFill="1" applyBorder="1"/>
    <xf numFmtId="11" fontId="2" fillId="0" borderId="1" xfId="0" applyNumberFormat="1" applyFont="1" applyFill="1" applyBorder="1"/>
    <xf numFmtId="0" fontId="0" fillId="9" borderId="0" xfId="0" applyFill="1" applyBorder="1"/>
    <xf numFmtId="0" fontId="3" fillId="5" borderId="1" xfId="0" applyFont="1" applyFill="1" applyBorder="1" applyAlignment="1">
      <alignment horizontal="center" vertical="center"/>
    </xf>
    <xf numFmtId="0" fontId="0" fillId="7" borderId="0" xfId="0" applyFill="1" applyAlignment="1">
      <alignment horizontal="right"/>
    </xf>
    <xf numFmtId="2" fontId="0" fillId="2" borderId="0" xfId="0" applyNumberFormat="1" applyFill="1" applyAlignment="1"/>
    <xf numFmtId="11" fontId="0" fillId="2" borderId="0" xfId="0" applyNumberFormat="1" applyFill="1"/>
    <xf numFmtId="0" fontId="22" fillId="2" borderId="0" xfId="0" quotePrefix="1" applyFont="1" applyFill="1" applyAlignment="1">
      <alignment horizontal="right"/>
    </xf>
    <xf numFmtId="0" fontId="22" fillId="2" borderId="0" xfId="0" applyFont="1" applyFill="1" applyAlignment="1">
      <alignment horizontal="right"/>
    </xf>
    <xf numFmtId="9" fontId="0" fillId="9" borderId="1" xfId="1" applyFont="1" applyFill="1" applyBorder="1"/>
    <xf numFmtId="165" fontId="0" fillId="9" borderId="1" xfId="0" applyNumberFormat="1" applyFill="1" applyBorder="1"/>
    <xf numFmtId="0" fontId="0" fillId="2" borderId="0" xfId="0" applyFont="1" applyFill="1" applyAlignment="1">
      <alignment horizontal="left" vertical="center"/>
    </xf>
    <xf numFmtId="0" fontId="0" fillId="2" borderId="0" xfId="0" applyFont="1" applyFill="1"/>
    <xf numFmtId="0" fontId="0" fillId="0" borderId="1" xfId="0" applyFont="1" applyBorder="1" applyAlignment="1">
      <alignment wrapText="1"/>
    </xf>
    <xf numFmtId="166" fontId="2" fillId="0" borderId="1" xfId="0" applyNumberFormat="1" applyFont="1" applyFill="1" applyBorder="1"/>
    <xf numFmtId="166" fontId="0" fillId="0" borderId="1" xfId="0" applyNumberFormat="1" applyFont="1" applyBorder="1"/>
    <xf numFmtId="0" fontId="0" fillId="7" borderId="0" xfId="0" applyFill="1" applyAlignment="1">
      <alignment horizontal="right" vertical="center"/>
    </xf>
    <xf numFmtId="0" fontId="3" fillId="5" borderId="1" xfId="0" applyFont="1" applyFill="1" applyBorder="1" applyAlignment="1">
      <alignment horizontal="center" vertical="center"/>
    </xf>
    <xf numFmtId="0" fontId="0" fillId="7" borderId="0" xfId="0" applyFill="1" applyAlignment="1">
      <alignment horizontal="right" vertical="center" wrapText="1"/>
    </xf>
    <xf numFmtId="0" fontId="0" fillId="7" borderId="0" xfId="0" applyFill="1" applyAlignment="1">
      <alignment horizontal="center"/>
    </xf>
    <xf numFmtId="2" fontId="0" fillId="7" borderId="0" xfId="0" applyNumberFormat="1" applyFill="1" applyAlignment="1">
      <alignment horizontal="center"/>
    </xf>
    <xf numFmtId="0" fontId="0" fillId="7" borderId="0" xfId="0" applyFill="1" applyAlignment="1"/>
    <xf numFmtId="2" fontId="0" fillId="7" borderId="0" xfId="0" applyNumberFormat="1" applyFill="1" applyAlignment="1">
      <alignment vertical="center" wrapText="1"/>
    </xf>
    <xf numFmtId="2" fontId="2" fillId="0" borderId="1" xfId="0" applyNumberFormat="1" applyFont="1" applyFill="1" applyBorder="1"/>
    <xf numFmtId="0" fontId="0" fillId="9" borderId="0" xfId="0" applyFill="1" applyAlignment="1">
      <alignment horizontal="center" vertical="center" wrapText="1"/>
    </xf>
    <xf numFmtId="0" fontId="24" fillId="7" borderId="0" xfId="0" applyFont="1" applyFill="1"/>
    <xf numFmtId="0" fontId="0" fillId="0" borderId="1" xfId="0" applyBorder="1" applyAlignment="1">
      <alignment horizontal="center"/>
    </xf>
    <xf numFmtId="0" fontId="0" fillId="0" borderId="1" xfId="0" applyFont="1" applyBorder="1" applyAlignment="1">
      <alignment horizontal="center"/>
    </xf>
    <xf numFmtId="0" fontId="9" fillId="0" borderId="1" xfId="0" applyFont="1" applyBorder="1" applyAlignment="1">
      <alignment horizontal="center"/>
    </xf>
    <xf numFmtId="166" fontId="0" fillId="0" borderId="1" xfId="0" applyNumberFormat="1" applyFont="1" applyBorder="1" applyAlignment="1">
      <alignment horizontal="center"/>
    </xf>
    <xf numFmtId="0" fontId="0" fillId="0" borderId="1" xfId="0" quotePrefix="1" applyBorder="1"/>
    <xf numFmtId="0" fontId="0" fillId="7" borderId="0" xfId="0" applyFont="1" applyFill="1" applyAlignment="1">
      <alignment horizontal="left"/>
    </xf>
    <xf numFmtId="0" fontId="0" fillId="9" borderId="0" xfId="0" applyFill="1" applyAlignment="1">
      <alignment horizontal="center"/>
    </xf>
    <xf numFmtId="0" fontId="0" fillId="7" borderId="0" xfId="0" applyFont="1" applyFill="1" applyAlignment="1">
      <alignment horizontal="right"/>
    </xf>
    <xf numFmtId="0" fontId="2" fillId="9" borderId="0" xfId="0" applyFont="1" applyFill="1" applyAlignment="1">
      <alignment horizontal="right" wrapText="1"/>
    </xf>
    <xf numFmtId="0" fontId="2" fillId="7" borderId="0" xfId="0" applyFont="1" applyFill="1" applyAlignment="1"/>
    <xf numFmtId="0" fontId="3" fillId="5" borderId="2" xfId="0" applyFont="1" applyFill="1" applyBorder="1" applyAlignment="1">
      <alignment vertical="center"/>
    </xf>
    <xf numFmtId="0" fontId="3" fillId="5" borderId="3" xfId="0" applyFont="1" applyFill="1" applyBorder="1" applyAlignment="1">
      <alignment vertical="center"/>
    </xf>
    <xf numFmtId="0" fontId="3" fillId="5" borderId="4" xfId="0" applyFont="1" applyFill="1" applyBorder="1" applyAlignment="1">
      <alignment vertical="center"/>
    </xf>
    <xf numFmtId="2" fontId="0" fillId="0" borderId="1" xfId="0" applyNumberFormat="1" applyBorder="1"/>
    <xf numFmtId="167" fontId="0" fillId="7" borderId="0" xfId="0" applyNumberFormat="1" applyFill="1" applyAlignment="1">
      <alignment vertical="center"/>
    </xf>
    <xf numFmtId="167" fontId="0" fillId="7" borderId="0" xfId="0" applyNumberFormat="1" applyFill="1" applyAlignment="1">
      <alignment horizontal="center" vertical="center" wrapText="1"/>
    </xf>
    <xf numFmtId="167" fontId="0" fillId="7" borderId="0" xfId="0" applyNumberFormat="1" applyFill="1" applyAlignment="1">
      <alignment horizontal="right" vertical="center"/>
    </xf>
    <xf numFmtId="0" fontId="0" fillId="7" borderId="0" xfId="0" applyNumberFormat="1" applyFill="1" applyAlignment="1">
      <alignment horizontal="right" vertical="center" wrapText="1"/>
    </xf>
    <xf numFmtId="0" fontId="0" fillId="6" borderId="0" xfId="0" applyNumberFormat="1" applyFill="1"/>
    <xf numFmtId="0" fontId="26" fillId="2" borderId="0" xfId="0" applyFont="1" applyFill="1" applyAlignment="1">
      <alignment vertical="top" wrapText="1"/>
    </xf>
    <xf numFmtId="0" fontId="26" fillId="2" borderId="0" xfId="0" applyFont="1" applyFill="1" applyAlignment="1">
      <alignment horizontal="left" vertical="top" wrapText="1"/>
    </xf>
    <xf numFmtId="0" fontId="20" fillId="6" borderId="0" xfId="0" applyFont="1" applyFill="1" applyAlignment="1">
      <alignment horizontal="left"/>
    </xf>
    <xf numFmtId="0" fontId="7" fillId="2" borderId="0" xfId="0" applyFont="1" applyFill="1" applyAlignment="1">
      <alignment horizontal="left" vertical="center"/>
    </xf>
    <xf numFmtId="0" fontId="0" fillId="7" borderId="0" xfId="0" applyFill="1" applyAlignment="1">
      <alignment horizontal="right" vertical="center"/>
    </xf>
    <xf numFmtId="14" fontId="5" fillId="2" borderId="0" xfId="0" applyNumberFormat="1" applyFont="1" applyFill="1" applyAlignment="1">
      <alignment horizontal="left" vertical="center" wrapText="1"/>
    </xf>
    <xf numFmtId="0" fontId="5" fillId="2" borderId="0" xfId="0" applyFont="1" applyFill="1" applyAlignment="1">
      <alignment horizontal="center" vertical="center" wrapText="1"/>
    </xf>
    <xf numFmtId="0" fontId="22" fillId="7" borderId="0" xfId="0" applyFont="1" applyFill="1" applyAlignment="1">
      <alignment horizontal="left"/>
    </xf>
    <xf numFmtId="0" fontId="0" fillId="7" borderId="0" xfId="0" applyFill="1" applyAlignment="1">
      <alignment horizontal="left" vertical="top" wrapText="1"/>
    </xf>
    <xf numFmtId="0" fontId="3" fillId="5" borderId="1" xfId="0" applyFont="1" applyFill="1" applyBorder="1" applyAlignment="1">
      <alignment horizontal="center" vertical="center"/>
    </xf>
    <xf numFmtId="0" fontId="12" fillId="5" borderId="1" xfId="0" applyFont="1" applyFill="1" applyBorder="1" applyAlignment="1">
      <alignment horizontal="center" wrapText="1"/>
    </xf>
    <xf numFmtId="0" fontId="3" fillId="3" borderId="1" xfId="0" applyFont="1" applyFill="1" applyBorder="1" applyAlignment="1">
      <alignment horizontal="center" vertical="center"/>
    </xf>
    <xf numFmtId="0" fontId="1" fillId="4" borderId="1" xfId="0" applyFont="1" applyFill="1" applyBorder="1" applyAlignment="1">
      <alignment horizontal="center"/>
    </xf>
    <xf numFmtId="0" fontId="3" fillId="5" borderId="1" xfId="0" applyFont="1" applyFill="1" applyBorder="1" applyAlignment="1">
      <alignment horizontal="center" wrapText="1"/>
    </xf>
    <xf numFmtId="0" fontId="3" fillId="5" borderId="2" xfId="0" applyFont="1" applyFill="1" applyBorder="1" applyAlignment="1">
      <alignment horizontal="center"/>
    </xf>
    <xf numFmtId="0" fontId="3" fillId="5" borderId="3" xfId="0" applyFont="1" applyFill="1" applyBorder="1" applyAlignment="1">
      <alignment horizontal="center"/>
    </xf>
    <xf numFmtId="0" fontId="3" fillId="5" borderId="4" xfId="0" applyFont="1" applyFill="1" applyBorder="1" applyAlignment="1">
      <alignment horizontal="center"/>
    </xf>
  </cellXfs>
  <cellStyles count="2">
    <cellStyle name="Normal" xfId="0" builtinId="0"/>
    <cellStyle name="Percent" xfId="1" builtinId="5"/>
  </cellStyles>
  <dxfs count="3">
    <dxf>
      <fill>
        <patternFill>
          <bgColor theme="7" tint="0.59996337778862885"/>
        </patternFill>
      </fill>
    </dxf>
    <dxf>
      <fill>
        <patternFill>
          <bgColor theme="7" tint="0.59996337778862885"/>
        </patternFill>
      </fill>
    </dxf>
    <dxf>
      <fill>
        <patternFill>
          <bgColor theme="7" tint="0.59996337778862885"/>
        </patternFill>
      </fill>
      <border>
        <left/>
        <right/>
        <top/>
        <bottom/>
      </border>
    </dxf>
  </dxfs>
  <tableStyles count="0" defaultTableStyle="TableStyleMedium2" defaultPivotStyle="PivotStyleLight16"/>
  <colors>
    <mruColors>
      <color rgb="FFCC6600"/>
      <color rgb="FFFFE389"/>
      <color rgb="FFAFDDFF"/>
      <color rgb="FF7DC7FF"/>
      <color rgb="FF4FB4FF"/>
      <color rgb="FFFFD757"/>
      <color rgb="FF9148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142876</xdr:colOff>
      <xdr:row>1</xdr:row>
      <xdr:rowOff>28575</xdr:rowOff>
    </xdr:from>
    <xdr:to>
      <xdr:col>3</xdr:col>
      <xdr:colOff>342901</xdr:colOff>
      <xdr:row>2</xdr:row>
      <xdr:rowOff>381000</xdr:rowOff>
    </xdr:to>
    <xdr:pic>
      <xdr:nvPicPr>
        <xdr:cNvPr id="2" name="Imagen 1" descr="Image result for universidad de los andes logo">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6" y="123825"/>
          <a:ext cx="1809750" cy="542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333375</xdr:colOff>
      <xdr:row>1</xdr:row>
      <xdr:rowOff>55433</xdr:rowOff>
    </xdr:from>
    <xdr:to>
      <xdr:col>18</xdr:col>
      <xdr:colOff>733425</xdr:colOff>
      <xdr:row>2</xdr:row>
      <xdr:rowOff>381000</xdr:rowOff>
    </xdr:to>
    <xdr:pic>
      <xdr:nvPicPr>
        <xdr:cNvPr id="4" name="Imagen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9953625" y="150683"/>
          <a:ext cx="2505075" cy="516067"/>
        </a:xfrm>
        <a:prstGeom prst="rect">
          <a:avLst/>
        </a:prstGeom>
      </xdr:spPr>
    </xdr:pic>
    <xdr:clientData/>
  </xdr:twoCellAnchor>
  <xdr:twoCellAnchor>
    <xdr:from>
      <xdr:col>3</xdr:col>
      <xdr:colOff>504825</xdr:colOff>
      <xdr:row>40</xdr:row>
      <xdr:rowOff>47625</xdr:rowOff>
    </xdr:from>
    <xdr:to>
      <xdr:col>6</xdr:col>
      <xdr:colOff>276225</xdr:colOff>
      <xdr:row>44</xdr:row>
      <xdr:rowOff>57150</xdr:rowOff>
    </xdr:to>
    <xdr:sp macro="" textlink="">
      <xdr:nvSpPr>
        <xdr:cNvPr id="3" name="Rectangle 2">
          <a:extLst>
            <a:ext uri="{FF2B5EF4-FFF2-40B4-BE49-F238E27FC236}">
              <a16:creationId xmlns:a16="http://schemas.microsoft.com/office/drawing/2014/main" id="{22E3A6D6-E548-4F6E-B2D6-517352EC872B}"/>
            </a:ext>
          </a:extLst>
        </xdr:cNvPr>
        <xdr:cNvSpPr/>
      </xdr:nvSpPr>
      <xdr:spPr>
        <a:xfrm>
          <a:off x="2209800" y="6296025"/>
          <a:ext cx="1609725" cy="609600"/>
        </a:xfrm>
        <a:prstGeom prst="rect">
          <a:avLst/>
        </a:prstGeom>
        <a:solidFill>
          <a:schemeClr val="accent2">
            <a:lumMod val="60000"/>
            <a:lumOff val="40000"/>
          </a:schemeClr>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180975</xdr:colOff>
      <xdr:row>36</xdr:row>
      <xdr:rowOff>28575</xdr:rowOff>
    </xdr:from>
    <xdr:to>
      <xdr:col>5</xdr:col>
      <xdr:colOff>514350</xdr:colOff>
      <xdr:row>40</xdr:row>
      <xdr:rowOff>19050</xdr:rowOff>
    </xdr:to>
    <xdr:sp macro="" textlink="">
      <xdr:nvSpPr>
        <xdr:cNvPr id="5" name="Cross 4">
          <a:extLst>
            <a:ext uri="{FF2B5EF4-FFF2-40B4-BE49-F238E27FC236}">
              <a16:creationId xmlns:a16="http://schemas.microsoft.com/office/drawing/2014/main" id="{BB0410F0-BE83-4D08-8477-337D0C6214FE}"/>
            </a:ext>
          </a:extLst>
        </xdr:cNvPr>
        <xdr:cNvSpPr/>
      </xdr:nvSpPr>
      <xdr:spPr>
        <a:xfrm>
          <a:off x="2686050" y="5629275"/>
          <a:ext cx="609600" cy="638175"/>
        </a:xfrm>
        <a:prstGeom prst="plus">
          <a:avLst>
            <a:gd name="adj" fmla="val 375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257175</xdr:colOff>
      <xdr:row>33</xdr:row>
      <xdr:rowOff>85725</xdr:rowOff>
    </xdr:from>
    <xdr:to>
      <xdr:col>5</xdr:col>
      <xdr:colOff>428625</xdr:colOff>
      <xdr:row>36</xdr:row>
      <xdr:rowOff>9525</xdr:rowOff>
    </xdr:to>
    <xdr:sp macro="" textlink="">
      <xdr:nvSpPr>
        <xdr:cNvPr id="6" name="Plaque 5">
          <a:extLst>
            <a:ext uri="{FF2B5EF4-FFF2-40B4-BE49-F238E27FC236}">
              <a16:creationId xmlns:a16="http://schemas.microsoft.com/office/drawing/2014/main" id="{A6B70B07-CE95-49E9-886A-2F99EA07210E}"/>
            </a:ext>
          </a:extLst>
        </xdr:cNvPr>
        <xdr:cNvSpPr/>
      </xdr:nvSpPr>
      <xdr:spPr>
        <a:xfrm>
          <a:off x="2762250" y="5114925"/>
          <a:ext cx="447675" cy="495300"/>
        </a:xfrm>
        <a:prstGeom prst="plaque">
          <a:avLst/>
        </a:prstGeom>
        <a:solidFill>
          <a:schemeClr val="accent6">
            <a:lumMod val="60000"/>
            <a:lumOff val="40000"/>
          </a:schemeClr>
        </a:solid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676275</xdr:colOff>
      <xdr:row>27</xdr:row>
      <xdr:rowOff>57150</xdr:rowOff>
    </xdr:from>
    <xdr:to>
      <xdr:col>6</xdr:col>
      <xdr:colOff>38100</xdr:colOff>
      <xdr:row>33</xdr:row>
      <xdr:rowOff>57150</xdr:rowOff>
    </xdr:to>
    <xdr:sp macro="" textlink="">
      <xdr:nvSpPr>
        <xdr:cNvPr id="9" name="Trapezoid 8">
          <a:extLst>
            <a:ext uri="{FF2B5EF4-FFF2-40B4-BE49-F238E27FC236}">
              <a16:creationId xmlns:a16="http://schemas.microsoft.com/office/drawing/2014/main" id="{500D9306-CA52-4EB2-BC8D-236B02BBFCD7}"/>
            </a:ext>
          </a:extLst>
        </xdr:cNvPr>
        <xdr:cNvSpPr/>
      </xdr:nvSpPr>
      <xdr:spPr>
        <a:xfrm rot="10800000">
          <a:off x="2381250" y="4286250"/>
          <a:ext cx="1200150" cy="800100"/>
        </a:xfrm>
        <a:prstGeom prst="trapezoid">
          <a:avLst/>
        </a:prstGeom>
        <a:solidFill>
          <a:schemeClr val="accent4">
            <a:lumMod val="60000"/>
            <a:lumOff val="40000"/>
          </a:schemeClr>
        </a:solidFill>
        <a:ln>
          <a:solidFill>
            <a:schemeClr val="accent4">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93"/>
  <sheetViews>
    <sheetView tabSelected="1" zoomScaleNormal="100" workbookViewId="0"/>
  </sheetViews>
  <sheetFormatPr defaultColWidth="10.7109375" defaultRowHeight="15" x14ac:dyDescent="0.25"/>
  <cols>
    <col min="1" max="1" width="1.42578125" customWidth="1"/>
    <col min="2" max="2" width="16.7109375" customWidth="1"/>
    <col min="3" max="3" width="7.42578125" customWidth="1"/>
    <col min="4" max="4" width="12" customWidth="1"/>
    <col min="5" max="5" width="4.140625" customWidth="1"/>
    <col min="6" max="6" width="11.42578125" customWidth="1"/>
    <col min="7" max="7" width="8.7109375" customWidth="1"/>
    <col min="8" max="8" width="11.42578125" customWidth="1"/>
    <col min="9" max="9" width="14" customWidth="1"/>
    <col min="10" max="10" width="9.7109375" customWidth="1"/>
    <col min="11" max="11" width="6.5703125" customWidth="1"/>
    <col min="12" max="12" width="4.140625" customWidth="1"/>
    <col min="13" max="13" width="17.7109375" customWidth="1"/>
    <col min="14" max="14" width="8.28515625" customWidth="1"/>
    <col min="17" max="17" width="17.140625" customWidth="1"/>
    <col min="18" max="18" width="3.7109375" customWidth="1"/>
    <col min="19" max="19" width="41.7109375" customWidth="1"/>
  </cols>
  <sheetData>
    <row r="1" spans="1:25" s="3" customFormat="1" ht="7.5" customHeight="1" x14ac:dyDescent="0.25">
      <c r="A1" s="14"/>
      <c r="B1" s="14"/>
      <c r="C1" s="14"/>
      <c r="D1" s="14"/>
      <c r="E1" s="14"/>
      <c r="F1" s="14"/>
      <c r="G1" s="14"/>
      <c r="H1" s="14"/>
      <c r="I1" s="14"/>
      <c r="J1" s="14"/>
      <c r="K1" s="14"/>
      <c r="L1" s="14"/>
      <c r="M1" s="14"/>
      <c r="N1" s="14"/>
      <c r="O1" s="14"/>
      <c r="P1" s="14"/>
      <c r="Q1" s="14"/>
      <c r="R1" s="14"/>
      <c r="S1" s="14"/>
      <c r="T1" s="14"/>
      <c r="U1" s="14"/>
      <c r="V1" s="14"/>
      <c r="W1" s="15"/>
      <c r="X1" s="15"/>
      <c r="Y1" s="15"/>
    </row>
    <row r="2" spans="1:25" s="3" customFormat="1" ht="15" customHeight="1" x14ac:dyDescent="0.25">
      <c r="B2" s="14"/>
      <c r="C2" s="14"/>
      <c r="D2" s="14"/>
      <c r="E2" s="108" t="s">
        <v>75</v>
      </c>
      <c r="F2" s="108"/>
      <c r="G2" s="108"/>
      <c r="H2" s="108"/>
      <c r="I2" s="108"/>
      <c r="J2" s="108"/>
      <c r="K2" s="108"/>
      <c r="L2" s="108"/>
      <c r="M2" s="108"/>
      <c r="N2" s="108"/>
      <c r="O2" s="108"/>
      <c r="P2" s="108"/>
      <c r="Q2" s="108"/>
      <c r="R2" s="27"/>
      <c r="S2" s="27"/>
      <c r="T2" s="14"/>
      <c r="U2" s="14"/>
      <c r="V2" s="14"/>
      <c r="W2" s="15"/>
      <c r="X2" s="15"/>
      <c r="Y2" s="15"/>
    </row>
    <row r="3" spans="1:25" s="3" customFormat="1" ht="35.25" customHeight="1" x14ac:dyDescent="0.25">
      <c r="F3" s="111" t="s">
        <v>143</v>
      </c>
      <c r="G3" s="111"/>
      <c r="H3" s="111"/>
      <c r="I3" s="111"/>
      <c r="J3" s="111"/>
      <c r="K3" s="111"/>
      <c r="L3" s="111"/>
      <c r="M3" s="111"/>
      <c r="N3" s="111"/>
      <c r="O3" s="111"/>
      <c r="P3" s="28"/>
      <c r="Q3" s="28"/>
      <c r="R3" s="28"/>
    </row>
    <row r="4" spans="1:25" s="3" customFormat="1" ht="12.75" customHeight="1" x14ac:dyDescent="0.25">
      <c r="E4" s="26"/>
      <c r="F4" s="26"/>
      <c r="G4" s="26"/>
      <c r="H4" s="26"/>
      <c r="I4" s="26"/>
      <c r="J4" s="55" t="s">
        <v>59</v>
      </c>
      <c r="K4" s="110">
        <v>44162</v>
      </c>
      <c r="L4" s="110"/>
      <c r="M4" s="26"/>
      <c r="N4" s="26"/>
      <c r="O4" s="26"/>
      <c r="P4" s="26"/>
      <c r="Q4" s="26"/>
      <c r="R4" s="28"/>
    </row>
    <row r="5" spans="1:25" s="3" customFormat="1" ht="9" customHeight="1" x14ac:dyDescent="0.25">
      <c r="E5" s="26"/>
      <c r="F5" s="26"/>
      <c r="G5" s="26"/>
      <c r="H5" s="26"/>
      <c r="I5" s="26"/>
      <c r="J5" s="55"/>
      <c r="K5" s="56"/>
      <c r="L5" s="56"/>
      <c r="M5" s="26"/>
      <c r="N5" s="26"/>
      <c r="O5" s="26"/>
      <c r="P5" s="26"/>
      <c r="Q5" s="26"/>
      <c r="R5" s="28"/>
    </row>
    <row r="6" spans="1:25" s="3" customFormat="1" ht="10.5" customHeight="1" x14ac:dyDescent="0.25">
      <c r="B6" s="30"/>
      <c r="C6" s="30"/>
      <c r="D6" s="30"/>
      <c r="E6" s="43"/>
      <c r="F6" s="43"/>
      <c r="G6" s="43"/>
      <c r="H6" s="43"/>
      <c r="I6" s="43"/>
      <c r="J6" s="43"/>
      <c r="K6" s="43"/>
      <c r="L6" s="25"/>
      <c r="M6" s="25"/>
      <c r="N6" s="25"/>
      <c r="O6" s="25"/>
      <c r="P6" s="25"/>
      <c r="Q6" s="25"/>
      <c r="R6" s="28"/>
    </row>
    <row r="7" spans="1:25" s="3" customFormat="1" x14ac:dyDescent="0.25">
      <c r="B7" s="113" t="s">
        <v>142</v>
      </c>
      <c r="C7" s="113"/>
      <c r="D7" s="113"/>
      <c r="E7" s="113"/>
      <c r="F7" s="113"/>
      <c r="G7" s="113"/>
      <c r="H7" s="113"/>
      <c r="I7" s="113"/>
      <c r="J7" s="113"/>
      <c r="K7" s="113"/>
    </row>
    <row r="8" spans="1:25" s="3" customFormat="1" ht="15" customHeight="1" x14ac:dyDescent="0.25">
      <c r="B8" s="113"/>
      <c r="C8" s="113"/>
      <c r="D8" s="113"/>
      <c r="E8" s="113"/>
      <c r="F8" s="113"/>
      <c r="G8" s="113"/>
      <c r="H8" s="113"/>
      <c r="I8" s="113"/>
      <c r="J8" s="113"/>
      <c r="K8" s="113"/>
      <c r="L8" s="16"/>
      <c r="M8" s="44" t="s">
        <v>33</v>
      </c>
    </row>
    <row r="9" spans="1:25" s="3" customFormat="1" ht="15" customHeight="1" x14ac:dyDescent="0.25">
      <c r="B9" s="113"/>
      <c r="C9" s="113"/>
      <c r="D9" s="113"/>
      <c r="E9" s="113"/>
      <c r="F9" s="113"/>
      <c r="G9" s="113"/>
      <c r="H9" s="113"/>
      <c r="I9" s="113"/>
      <c r="J9" s="113"/>
      <c r="K9" s="113"/>
      <c r="L9" s="16"/>
      <c r="M9" s="62" t="s">
        <v>55</v>
      </c>
      <c r="P9" s="107" t="str">
        <f>VLOOKUP(M9,Moleculas!A6:J22,2,FALSE)</f>
        <v>----</v>
      </c>
      <c r="Q9" s="107"/>
      <c r="T9" s="53"/>
    </row>
    <row r="10" spans="1:25" s="3" customFormat="1" ht="7.5" customHeight="1" x14ac:dyDescent="0.25">
      <c r="B10" s="30"/>
      <c r="C10" s="30"/>
      <c r="D10" s="30"/>
      <c r="E10" s="30"/>
      <c r="F10" s="30"/>
      <c r="G10" s="30"/>
      <c r="H10" s="30"/>
      <c r="I10" s="30"/>
      <c r="J10" s="30"/>
      <c r="K10" s="30"/>
      <c r="L10" s="16"/>
      <c r="T10" s="53"/>
    </row>
    <row r="11" spans="1:25" s="3" customFormat="1" x14ac:dyDescent="0.25">
      <c r="B11" s="30"/>
      <c r="C11" s="76" t="s">
        <v>136</v>
      </c>
      <c r="D11" s="84" t="s">
        <v>55</v>
      </c>
      <c r="E11" s="30"/>
      <c r="F11" s="112" t="str">
        <f>VLOOKUP(D11,Sustratos!A5:E24,2,FALSE)</f>
        <v>----</v>
      </c>
      <c r="G11" s="112"/>
      <c r="H11" s="112"/>
      <c r="I11" s="64" t="s">
        <v>117</v>
      </c>
      <c r="J11" s="85">
        <f>VLOOKUP(D11,Sustratos!A5:E24,3,FALSE)</f>
        <v>0</v>
      </c>
      <c r="K11" s="30"/>
      <c r="L11" s="16"/>
      <c r="M11" s="3" t="s">
        <v>0</v>
      </c>
      <c r="Q11" s="21">
        <f>VLOOKUP(M9,Moleculas!A6:J22,4,FALSE)</f>
        <v>0</v>
      </c>
      <c r="T11" s="50"/>
    </row>
    <row r="12" spans="1:25" s="3" customFormat="1" ht="6.2" customHeight="1" x14ac:dyDescent="0.25">
      <c r="B12" s="30"/>
      <c r="C12" s="78"/>
      <c r="D12" s="78"/>
      <c r="E12" s="32"/>
      <c r="F12" s="32"/>
      <c r="G12" s="32"/>
      <c r="H12" s="32"/>
      <c r="I12" s="32"/>
      <c r="J12" s="32"/>
      <c r="K12" s="32"/>
      <c r="T12" s="51"/>
    </row>
    <row r="13" spans="1:25" s="3" customFormat="1" ht="17.25" x14ac:dyDescent="0.25">
      <c r="B13" s="30"/>
      <c r="C13" s="93" t="s">
        <v>118</v>
      </c>
      <c r="D13" s="94">
        <v>1</v>
      </c>
      <c r="E13" s="33" t="s">
        <v>2</v>
      </c>
      <c r="F13" s="64"/>
      <c r="G13" s="64"/>
      <c r="H13" s="78" t="s">
        <v>116</v>
      </c>
      <c r="I13" s="82">
        <f>VLOOKUP(D11,Sustratos!A5:E24,4,FALSE)</f>
        <v>0</v>
      </c>
      <c r="J13" s="31" t="s">
        <v>47</v>
      </c>
      <c r="K13" s="32"/>
      <c r="L13" s="19"/>
      <c r="M13" s="3" t="s">
        <v>58</v>
      </c>
      <c r="Q13" s="23">
        <f>VLOOKUP(M9,Moleculas!A6:J22,10,FALSE)</f>
        <v>0</v>
      </c>
      <c r="T13" s="50"/>
    </row>
    <row r="14" spans="1:25" s="3" customFormat="1" ht="6.2" customHeight="1" x14ac:dyDescent="0.25">
      <c r="B14" s="30"/>
      <c r="C14" s="64"/>
      <c r="D14" s="64"/>
      <c r="E14" s="30"/>
      <c r="F14" s="30"/>
      <c r="G14" s="30"/>
      <c r="H14" s="34"/>
      <c r="I14" s="30"/>
      <c r="J14" s="30"/>
      <c r="K14" s="30"/>
      <c r="T14" s="51"/>
    </row>
    <row r="15" spans="1:25" s="3" customFormat="1" ht="18" x14ac:dyDescent="0.35">
      <c r="B15" s="30"/>
      <c r="C15" s="64" t="s">
        <v>134</v>
      </c>
      <c r="D15" s="92" t="s">
        <v>55</v>
      </c>
      <c r="E15" s="30"/>
      <c r="F15" s="30"/>
      <c r="G15" s="109" t="s">
        <v>138</v>
      </c>
      <c r="H15" s="109"/>
      <c r="I15" s="100">
        <f>VLOOKUP($D$15,Geometria!A5:G9,6,FALSE)</f>
        <v>0</v>
      </c>
      <c r="J15" s="31" t="s">
        <v>41</v>
      </c>
      <c r="K15" s="30"/>
      <c r="M15" s="3" t="s">
        <v>39</v>
      </c>
      <c r="Q15" s="21">
        <f>VLOOKUP(M9,Moleculas!A6:J22,5,FALSE)</f>
        <v>0</v>
      </c>
      <c r="T15" s="52"/>
    </row>
    <row r="16" spans="1:25" s="3" customFormat="1" ht="6.2" customHeight="1" x14ac:dyDescent="0.25">
      <c r="B16" s="30"/>
      <c r="C16" s="64"/>
      <c r="D16" s="35"/>
      <c r="E16" s="35"/>
      <c r="F16" s="35"/>
      <c r="G16" s="35"/>
      <c r="H16" s="35"/>
      <c r="I16" s="101"/>
      <c r="J16" s="35"/>
      <c r="K16" s="35"/>
      <c r="T16" s="51"/>
    </row>
    <row r="17" spans="2:20" s="3" customFormat="1" ht="17.25" x14ac:dyDescent="0.25">
      <c r="B17" s="30"/>
      <c r="C17" s="64" t="str">
        <f>IF(VLOOKUP($D$15,Geometria!A5:E9,2,FALSE)&gt;0,VLOOKUP($D$15,Geometria!A5:E9,3,FALSE),"")</f>
        <v/>
      </c>
      <c r="D17" s="95">
        <v>0.1</v>
      </c>
      <c r="E17" s="91" t="str">
        <f>IF(C17=""," ","µm")</f>
        <v xml:space="preserve"> </v>
      </c>
      <c r="F17" s="30"/>
      <c r="G17" s="109" t="s">
        <v>5</v>
      </c>
      <c r="H17" s="109"/>
      <c r="I17" s="100">
        <f>VLOOKUP($D$15,Geometria!A5:G9,7,FALSE)</f>
        <v>0</v>
      </c>
      <c r="J17" s="31" t="s">
        <v>43</v>
      </c>
      <c r="K17" s="30"/>
      <c r="M17" s="3" t="s">
        <v>24</v>
      </c>
      <c r="Q17" s="21">
        <f>VLOOKUP(M9,Moleculas!A6:J22,6,FALSE)</f>
        <v>0</v>
      </c>
      <c r="T17" s="52"/>
    </row>
    <row r="18" spans="2:20" s="3" customFormat="1" ht="6.2" customHeight="1" x14ac:dyDescent="0.25">
      <c r="B18" s="30"/>
      <c r="C18" s="64"/>
      <c r="D18" s="30"/>
      <c r="E18" s="30"/>
      <c r="F18" s="30"/>
      <c r="G18" s="36"/>
      <c r="H18" s="36"/>
      <c r="I18" s="35"/>
      <c r="J18" s="35"/>
      <c r="K18" s="30"/>
      <c r="T18" s="51"/>
    </row>
    <row r="19" spans="2:20" s="3" customFormat="1" x14ac:dyDescent="0.25">
      <c r="B19" s="30"/>
      <c r="C19" s="64" t="str">
        <f>IF(VLOOKUP($D$15,Geometria!A5:E9,2,FALSE)&gt;1,VLOOKUP($D$15,Geometria!A5:E9,4,FALSE),"")</f>
        <v/>
      </c>
      <c r="D19" s="95"/>
      <c r="E19" s="91" t="str">
        <f>IF(C19=""," ","µm")</f>
        <v xml:space="preserve"> </v>
      </c>
      <c r="F19" s="30"/>
      <c r="G19" s="109" t="s">
        <v>6</v>
      </c>
      <c r="H19" s="109"/>
      <c r="I19" s="102">
        <f>IF($I$17&lt;&gt;0,($I$17/10^12)*$I$13,$D$13)</f>
        <v>1</v>
      </c>
      <c r="J19" s="31" t="s">
        <v>2</v>
      </c>
      <c r="K19" s="30"/>
      <c r="M19" s="3" t="s">
        <v>25</v>
      </c>
      <c r="Q19" s="21">
        <f>VLOOKUP(M9,Moleculas!A6:J22,7,FALSE)</f>
        <v>0</v>
      </c>
      <c r="T19" s="52"/>
    </row>
    <row r="20" spans="2:20" s="3" customFormat="1" ht="6" customHeight="1" x14ac:dyDescent="0.25">
      <c r="B20" s="30"/>
      <c r="C20" s="76"/>
      <c r="D20" s="29"/>
      <c r="E20" s="31"/>
      <c r="F20" s="30"/>
      <c r="G20" s="38"/>
      <c r="H20" s="38"/>
      <c r="I20" s="37"/>
      <c r="J20" s="31"/>
      <c r="K20" s="30"/>
      <c r="T20" s="51"/>
    </row>
    <row r="21" spans="2:20" s="3" customFormat="1" x14ac:dyDescent="0.25">
      <c r="B21" s="30"/>
      <c r="C21" s="64" t="str">
        <f>IF(VLOOKUP($D$15,Geometria!A5:E9,2,FALSE)&gt;2,VLOOKUP($D$15,Geometria!A5:E9,5,FALSE),"")</f>
        <v/>
      </c>
      <c r="D21" s="95"/>
      <c r="E21" s="91" t="str">
        <f>IF(C21=""," ","µm")</f>
        <v xml:space="preserve"> </v>
      </c>
      <c r="F21" s="30"/>
      <c r="G21" s="30"/>
      <c r="H21" s="76" t="s">
        <v>4</v>
      </c>
      <c r="I21" s="103">
        <f>IF($I$17&lt;&gt;0,$I$15/$I$17,0)</f>
        <v>0</v>
      </c>
      <c r="J21" s="31" t="s">
        <v>42</v>
      </c>
      <c r="K21" s="30"/>
      <c r="M21" s="20" t="s">
        <v>72</v>
      </c>
      <c r="Q21" s="23">
        <f>IFERROR($I$15/Q13,0)</f>
        <v>0</v>
      </c>
      <c r="R21" s="49"/>
      <c r="T21" s="52"/>
    </row>
    <row r="22" spans="2:20" s="3" customFormat="1" ht="6.2" customHeight="1" x14ac:dyDescent="0.25">
      <c r="B22" s="30"/>
      <c r="C22" s="30"/>
      <c r="D22" s="30"/>
      <c r="E22" s="30"/>
      <c r="F22" s="30"/>
      <c r="G22" s="30"/>
      <c r="H22" s="30"/>
      <c r="I22" s="30"/>
      <c r="J22" s="30"/>
      <c r="K22" s="30"/>
      <c r="T22" s="51"/>
    </row>
    <row r="23" spans="2:20" s="3" customFormat="1" x14ac:dyDescent="0.25">
      <c r="B23" s="40"/>
      <c r="C23" s="40"/>
      <c r="D23" s="41"/>
      <c r="E23" s="42"/>
      <c r="F23" s="30"/>
      <c r="G23" s="109" t="s">
        <v>32</v>
      </c>
      <c r="H23" s="109"/>
      <c r="I23" s="39">
        <f>IFERROR($D$13/$I$19,0)</f>
        <v>1</v>
      </c>
      <c r="J23" s="81"/>
      <c r="K23" s="30"/>
      <c r="M23" s="17" t="s">
        <v>45</v>
      </c>
      <c r="Q23" s="104">
        <f>($I$23*$Q$21)/(6.023*10^23)</f>
        <v>0</v>
      </c>
      <c r="T23" s="50"/>
    </row>
    <row r="24" spans="2:20" s="3" customFormat="1" ht="6" customHeight="1" x14ac:dyDescent="0.25">
      <c r="B24" s="79"/>
      <c r="C24" s="79"/>
      <c r="D24" s="80"/>
      <c r="E24" s="80"/>
      <c r="F24" s="30"/>
      <c r="G24" s="30"/>
      <c r="H24" s="30"/>
      <c r="I24" s="30"/>
      <c r="J24" s="30"/>
      <c r="K24" s="30"/>
      <c r="T24" s="51"/>
    </row>
    <row r="25" spans="2:20" s="18" customFormat="1" x14ac:dyDescent="0.25">
      <c r="M25" s="17" t="s">
        <v>44</v>
      </c>
      <c r="N25" s="3"/>
      <c r="O25" s="3"/>
      <c r="P25" s="3"/>
      <c r="Q25" s="23">
        <f>$Q$23*$Q$11</f>
        <v>0</v>
      </c>
      <c r="S25" s="3"/>
      <c r="T25" s="52"/>
    </row>
    <row r="26" spans="2:20" s="18" customFormat="1" ht="6" customHeight="1" x14ac:dyDescent="0.25">
      <c r="I26" s="65"/>
      <c r="M26" s="3"/>
      <c r="N26" s="3"/>
      <c r="O26" s="3"/>
      <c r="P26" s="3"/>
      <c r="Q26" s="3"/>
      <c r="S26" s="3"/>
      <c r="T26" s="52"/>
    </row>
    <row r="27" spans="2:20" s="18" customFormat="1" x14ac:dyDescent="0.25">
      <c r="I27" s="65"/>
      <c r="K27" s="68" t="s">
        <v>70</v>
      </c>
      <c r="M27" s="71" t="s">
        <v>69</v>
      </c>
      <c r="N27" s="3"/>
      <c r="O27" s="3"/>
      <c r="P27" s="3"/>
      <c r="Q27" s="69">
        <v>0.2</v>
      </c>
      <c r="S27" s="3"/>
      <c r="T27" s="52"/>
    </row>
    <row r="28" spans="2:20" s="18" customFormat="1" ht="6" customHeight="1" x14ac:dyDescent="0.25">
      <c r="I28" s="65"/>
      <c r="M28" s="72"/>
      <c r="N28" s="3"/>
      <c r="O28" s="3"/>
      <c r="P28" s="3"/>
      <c r="Q28" s="3"/>
      <c r="S28" s="3"/>
      <c r="T28" s="52"/>
    </row>
    <row r="29" spans="2:20" s="18" customFormat="1" x14ac:dyDescent="0.25">
      <c r="I29" s="65"/>
      <c r="K29" s="67" t="s">
        <v>145</v>
      </c>
      <c r="M29" s="71" t="s">
        <v>68</v>
      </c>
      <c r="N29" s="3"/>
      <c r="O29" s="3"/>
      <c r="P29" s="3"/>
      <c r="Q29" s="70">
        <v>3</v>
      </c>
      <c r="T29" s="52"/>
    </row>
    <row r="30" spans="2:20" s="18" customFormat="1" ht="6" customHeight="1" x14ac:dyDescent="0.25">
      <c r="I30" s="65"/>
      <c r="M30" s="17"/>
      <c r="N30" s="3"/>
      <c r="O30" s="3"/>
      <c r="P30" s="3"/>
      <c r="Q30" s="66"/>
      <c r="S30" s="3"/>
      <c r="T30" s="52"/>
    </row>
    <row r="31" spans="2:20" s="18" customFormat="1" x14ac:dyDescent="0.25">
      <c r="C31" s="18" t="s">
        <v>141</v>
      </c>
      <c r="I31" s="65"/>
      <c r="M31" s="20" t="s">
        <v>74</v>
      </c>
      <c r="N31" s="3"/>
      <c r="O31" s="3"/>
      <c r="P31" s="3"/>
      <c r="Q31" s="23">
        <f>Q21*Q27</f>
        <v>0</v>
      </c>
      <c r="S31" s="3"/>
      <c r="T31" s="52"/>
    </row>
    <row r="32" spans="2:20" s="18" customFormat="1" ht="6" customHeight="1" x14ac:dyDescent="0.25">
      <c r="I32" s="65"/>
      <c r="M32" s="3"/>
      <c r="N32" s="3"/>
      <c r="O32" s="3"/>
      <c r="P32" s="3"/>
      <c r="Q32" s="3"/>
      <c r="S32" s="3"/>
      <c r="T32" s="52"/>
    </row>
    <row r="33" spans="3:20" s="18" customFormat="1" x14ac:dyDescent="0.25">
      <c r="I33" s="65"/>
      <c r="M33" s="17" t="s">
        <v>73</v>
      </c>
      <c r="N33" s="3"/>
      <c r="O33" s="3"/>
      <c r="P33" s="3"/>
      <c r="Q33" s="23">
        <f>Q25*Q29</f>
        <v>0</v>
      </c>
      <c r="S33" s="3"/>
      <c r="T33" s="52"/>
    </row>
    <row r="34" spans="3:20" s="18" customFormat="1" x14ac:dyDescent="0.25">
      <c r="I34" s="65"/>
      <c r="M34" s="17"/>
      <c r="N34" s="3"/>
      <c r="O34" s="3"/>
      <c r="P34" s="3"/>
      <c r="Q34" s="66"/>
      <c r="S34" s="3"/>
      <c r="T34" s="52"/>
    </row>
    <row r="35" spans="3:20" s="18" customFormat="1" ht="15" customHeight="1" x14ac:dyDescent="0.25">
      <c r="C35" s="18" t="s">
        <v>140</v>
      </c>
      <c r="H35" s="106" t="s">
        <v>144</v>
      </c>
      <c r="I35" s="106"/>
      <c r="J35" s="106"/>
      <c r="M35" s="17"/>
      <c r="N35" s="3"/>
      <c r="O35" s="3"/>
      <c r="P35" s="3"/>
      <c r="Q35" s="3"/>
      <c r="S35" s="3"/>
      <c r="T35" s="52"/>
    </row>
    <row r="36" spans="3:20" s="18" customFormat="1" ht="15" customHeight="1" x14ac:dyDescent="0.25">
      <c r="H36" s="106"/>
      <c r="I36" s="106"/>
      <c r="J36" s="106"/>
      <c r="K36" s="105"/>
      <c r="S36" s="3"/>
      <c r="T36" s="54"/>
    </row>
    <row r="37" spans="3:20" s="18" customFormat="1" ht="15" customHeight="1" x14ac:dyDescent="0.25">
      <c r="H37" s="106"/>
      <c r="I37" s="106"/>
      <c r="J37" s="106"/>
      <c r="K37" s="105"/>
      <c r="M37" s="44" t="s">
        <v>46</v>
      </c>
      <c r="N37" s="3"/>
      <c r="O37" s="3"/>
      <c r="P37" s="3"/>
      <c r="Q37" s="3"/>
      <c r="S37" s="3"/>
    </row>
    <row r="38" spans="3:20" s="18" customFormat="1" x14ac:dyDescent="0.25">
      <c r="C38" s="18" t="s">
        <v>139</v>
      </c>
      <c r="H38" s="106"/>
      <c r="I38" s="106"/>
      <c r="J38" s="106"/>
      <c r="K38" s="105"/>
      <c r="M38" s="62" t="s">
        <v>55</v>
      </c>
      <c r="N38" s="3"/>
      <c r="O38" s="3"/>
      <c r="P38" s="107" t="str">
        <f>VLOOKUP(M38,Moleculas!A24:J42,2,FALSE)</f>
        <v>----</v>
      </c>
      <c r="Q38" s="107"/>
      <c r="S38" s="3"/>
    </row>
    <row r="39" spans="3:20" s="18" customFormat="1" ht="6" customHeight="1" x14ac:dyDescent="0.25">
      <c r="H39" s="106"/>
      <c r="I39" s="106"/>
      <c r="J39" s="106"/>
      <c r="K39" s="105"/>
      <c r="M39" s="3"/>
      <c r="N39" s="3"/>
      <c r="O39" s="3"/>
      <c r="P39" s="3"/>
      <c r="Q39" s="3"/>
      <c r="S39" s="3"/>
    </row>
    <row r="40" spans="3:20" s="3" customFormat="1" x14ac:dyDescent="0.25">
      <c r="H40" s="106"/>
      <c r="I40" s="106"/>
      <c r="J40" s="106"/>
      <c r="K40" s="105"/>
      <c r="M40" s="3" t="s">
        <v>0</v>
      </c>
      <c r="Q40" s="21">
        <f>VLOOKUP(M38,Moleculas!A24:J42,4,FALSE)</f>
        <v>0</v>
      </c>
    </row>
    <row r="41" spans="3:20" s="3" customFormat="1" ht="6" customHeight="1" x14ac:dyDescent="0.25">
      <c r="H41" s="106"/>
      <c r="I41" s="106"/>
      <c r="J41" s="106"/>
      <c r="K41" s="105"/>
    </row>
    <row r="42" spans="3:20" s="3" customFormat="1" ht="17.25" x14ac:dyDescent="0.25">
      <c r="C42" s="3" t="s">
        <v>76</v>
      </c>
      <c r="H42" s="106"/>
      <c r="I42" s="106"/>
      <c r="J42" s="106"/>
      <c r="K42" s="105"/>
      <c r="M42" s="3" t="s">
        <v>58</v>
      </c>
      <c r="Q42" s="23">
        <f>VLOOKUP(M38,Moleculas!A24:J42,10,FALSE)</f>
        <v>0</v>
      </c>
    </row>
    <row r="43" spans="3:20" s="3" customFormat="1" ht="6" customHeight="1" x14ac:dyDescent="0.25">
      <c r="H43" s="106"/>
      <c r="I43" s="106"/>
      <c r="J43" s="106"/>
      <c r="K43" s="105"/>
    </row>
    <row r="44" spans="3:20" s="3" customFormat="1" ht="18" x14ac:dyDescent="0.35">
      <c r="H44" s="106"/>
      <c r="I44" s="106"/>
      <c r="J44" s="106"/>
      <c r="K44" s="105"/>
      <c r="M44" s="3" t="s">
        <v>39</v>
      </c>
      <c r="Q44" s="21">
        <f>VLOOKUP(M38,Moleculas!A24:J42,5,FALSE)</f>
        <v>0</v>
      </c>
    </row>
    <row r="45" spans="3:20" s="3" customFormat="1" ht="6" customHeight="1" x14ac:dyDescent="0.25">
      <c r="H45" s="106"/>
      <c r="I45" s="106"/>
      <c r="J45" s="106"/>
    </row>
    <row r="46" spans="3:20" s="3" customFormat="1" x14ac:dyDescent="0.25">
      <c r="H46" s="106"/>
      <c r="I46" s="106"/>
      <c r="J46" s="106"/>
      <c r="M46" s="3" t="s">
        <v>24</v>
      </c>
      <c r="Q46" s="21">
        <f>VLOOKUP(M38,Moleculas!A24:J42,6,FALSE)</f>
        <v>0</v>
      </c>
    </row>
    <row r="47" spans="3:20" s="3" customFormat="1" ht="6" customHeight="1" x14ac:dyDescent="0.25"/>
    <row r="48" spans="3:20" s="3" customFormat="1" x14ac:dyDescent="0.25">
      <c r="M48" s="3" t="s">
        <v>25</v>
      </c>
      <c r="Q48" s="21">
        <f>VLOOKUP(M38,Moleculas!A24:J42,7,FALSE)</f>
        <v>0</v>
      </c>
    </row>
    <row r="49" spans="11:17" s="3" customFormat="1" ht="6" customHeight="1" x14ac:dyDescent="0.25"/>
    <row r="50" spans="11:17" s="3" customFormat="1" x14ac:dyDescent="0.25">
      <c r="M50" s="20" t="s">
        <v>31</v>
      </c>
      <c r="Q50" s="23">
        <f>IFERROR(IF($I$15/Q42&gt;Q21,Q21,$I$15/Q42),0)</f>
        <v>0</v>
      </c>
    </row>
    <row r="51" spans="11:17" s="3" customFormat="1" ht="6" customHeight="1" x14ac:dyDescent="0.25"/>
    <row r="52" spans="11:17" s="3" customFormat="1" x14ac:dyDescent="0.25">
      <c r="M52" s="17" t="s">
        <v>45</v>
      </c>
      <c r="Q52" s="23">
        <f>($I$23*$Q$50)/(6.023*10^23)</f>
        <v>0</v>
      </c>
    </row>
    <row r="53" spans="11:17" s="3" customFormat="1" ht="6" customHeight="1" x14ac:dyDescent="0.25"/>
    <row r="54" spans="11:17" s="3" customFormat="1" ht="15" customHeight="1" x14ac:dyDescent="0.25">
      <c r="M54" s="17" t="s">
        <v>44</v>
      </c>
      <c r="Q54" s="23">
        <f>$Q$52*$Q$40</f>
        <v>0</v>
      </c>
    </row>
    <row r="55" spans="11:17" s="3" customFormat="1" ht="6" customHeight="1" x14ac:dyDescent="0.25"/>
    <row r="56" spans="11:17" s="3" customFormat="1" ht="15" customHeight="1" x14ac:dyDescent="0.25">
      <c r="K56" s="68" t="s">
        <v>70</v>
      </c>
      <c r="L56" s="18"/>
      <c r="M56" s="71" t="s">
        <v>69</v>
      </c>
      <c r="Q56" s="69">
        <v>0.2</v>
      </c>
    </row>
    <row r="57" spans="11:17" s="3" customFormat="1" ht="6" customHeight="1" x14ac:dyDescent="0.25">
      <c r="K57" s="18"/>
      <c r="L57" s="18"/>
      <c r="M57" s="72"/>
    </row>
    <row r="58" spans="11:17" s="3" customFormat="1" ht="15" customHeight="1" x14ac:dyDescent="0.25">
      <c r="K58" s="67" t="s">
        <v>145</v>
      </c>
      <c r="L58" s="18"/>
      <c r="M58" s="71" t="s">
        <v>68</v>
      </c>
      <c r="Q58" s="70">
        <v>3</v>
      </c>
    </row>
    <row r="59" spans="11:17" s="3" customFormat="1" ht="6" customHeight="1" x14ac:dyDescent="0.25">
      <c r="K59" s="18"/>
      <c r="L59" s="18"/>
      <c r="M59" s="17"/>
      <c r="Q59" s="66"/>
    </row>
    <row r="60" spans="11:17" s="3" customFormat="1" ht="15" customHeight="1" x14ac:dyDescent="0.25">
      <c r="K60" s="18"/>
      <c r="L60" s="18"/>
      <c r="M60" s="20" t="s">
        <v>74</v>
      </c>
      <c r="Q60" s="23">
        <f>Q50*Q56</f>
        <v>0</v>
      </c>
    </row>
    <row r="61" spans="11:17" s="3" customFormat="1" ht="6" customHeight="1" x14ac:dyDescent="0.25">
      <c r="K61" s="18"/>
      <c r="L61" s="18"/>
    </row>
    <row r="62" spans="11:17" s="3" customFormat="1" ht="15" customHeight="1" x14ac:dyDescent="0.25">
      <c r="K62" s="18"/>
      <c r="L62" s="18"/>
      <c r="M62" s="17" t="s">
        <v>73</v>
      </c>
      <c r="Q62" s="23">
        <f>Q54*Q58</f>
        <v>0</v>
      </c>
    </row>
    <row r="63" spans="11:17" s="3" customFormat="1" ht="15" customHeight="1" x14ac:dyDescent="0.25">
      <c r="K63" s="18"/>
      <c r="L63" s="18"/>
      <c r="M63" s="17"/>
      <c r="Q63" s="66"/>
    </row>
    <row r="64" spans="11:17" s="3" customFormat="1" ht="15" customHeight="1" x14ac:dyDescent="0.25">
      <c r="K64" s="18"/>
      <c r="L64" s="18"/>
      <c r="M64" s="17"/>
      <c r="Q64" s="66"/>
    </row>
    <row r="65" spans="13:17" s="3" customFormat="1" ht="15" customHeight="1" x14ac:dyDescent="0.25"/>
    <row r="66" spans="13:17" s="3" customFormat="1" ht="15" customHeight="1" x14ac:dyDescent="0.25">
      <c r="M66" s="44" t="s">
        <v>38</v>
      </c>
    </row>
    <row r="67" spans="13:17" s="3" customFormat="1" x14ac:dyDescent="0.25">
      <c r="M67" s="62" t="s">
        <v>55</v>
      </c>
      <c r="P67" s="107" t="str">
        <f>VLOOKUP(M67,Moleculas!A24:J42,2,FALSE)</f>
        <v>----</v>
      </c>
      <c r="Q67" s="107"/>
    </row>
    <row r="68" spans="13:17" s="3" customFormat="1" ht="6" customHeight="1" x14ac:dyDescent="0.25"/>
    <row r="69" spans="13:17" s="3" customFormat="1" x14ac:dyDescent="0.25">
      <c r="M69" s="3" t="s">
        <v>0</v>
      </c>
      <c r="Q69" s="21">
        <f>VLOOKUP(M67,Moleculas!A24:J42,4,FALSE)</f>
        <v>0</v>
      </c>
    </row>
    <row r="70" spans="13:17" s="3" customFormat="1" ht="6" customHeight="1" x14ac:dyDescent="0.25"/>
    <row r="71" spans="13:17" s="3" customFormat="1" ht="17.25" x14ac:dyDescent="0.25">
      <c r="M71" s="3" t="s">
        <v>58</v>
      </c>
      <c r="Q71" s="23">
        <f>VLOOKUP(M67,Moleculas!A24:J42,10,FALSE)</f>
        <v>0</v>
      </c>
    </row>
    <row r="72" spans="13:17" s="3" customFormat="1" ht="6" customHeight="1" x14ac:dyDescent="0.25"/>
    <row r="73" spans="13:17" s="3" customFormat="1" ht="18" x14ac:dyDescent="0.35">
      <c r="M73" s="3" t="s">
        <v>39</v>
      </c>
      <c r="Q73" s="21">
        <f>VLOOKUP(M67,Moleculas!A24:J42,5,FALSE)</f>
        <v>0</v>
      </c>
    </row>
    <row r="74" spans="13:17" s="3" customFormat="1" ht="6" customHeight="1" x14ac:dyDescent="0.25"/>
    <row r="75" spans="13:17" s="3" customFormat="1" x14ac:dyDescent="0.25">
      <c r="M75" s="3" t="s">
        <v>24</v>
      </c>
      <c r="Q75" s="21">
        <f>VLOOKUP(M67,Moleculas!A24:J42,6,FALSE)</f>
        <v>0</v>
      </c>
    </row>
    <row r="76" spans="13:17" s="3" customFormat="1" ht="6" customHeight="1" x14ac:dyDescent="0.25"/>
    <row r="77" spans="13:17" s="3" customFormat="1" x14ac:dyDescent="0.25">
      <c r="M77" s="3" t="s">
        <v>25</v>
      </c>
      <c r="Q77" s="21">
        <f>VLOOKUP(M67,Moleculas!A24:J42,7,FALSE)</f>
        <v>0</v>
      </c>
    </row>
    <row r="78" spans="13:17" s="3" customFormat="1" ht="6" customHeight="1" x14ac:dyDescent="0.25"/>
    <row r="79" spans="13:17" s="3" customFormat="1" x14ac:dyDescent="0.25">
      <c r="M79" s="20" t="s">
        <v>31</v>
      </c>
      <c r="Q79" s="23">
        <f>IFERROR(IF($I$15/Q71&gt;Q50,Q50,$I$15/Q71),0)</f>
        <v>0</v>
      </c>
    </row>
    <row r="80" spans="13:17" s="3" customFormat="1" ht="6" customHeight="1" x14ac:dyDescent="0.25"/>
    <row r="81" spans="11:17" s="3" customFormat="1" x14ac:dyDescent="0.25">
      <c r="M81" s="17" t="s">
        <v>45</v>
      </c>
      <c r="Q81" s="23">
        <f>($I$23*$Q$79)/(6.023*10^23)</f>
        <v>0</v>
      </c>
    </row>
    <row r="82" spans="11:17" s="3" customFormat="1" ht="6" customHeight="1" x14ac:dyDescent="0.25"/>
    <row r="83" spans="11:17" s="3" customFormat="1" x14ac:dyDescent="0.25">
      <c r="M83" s="17" t="s">
        <v>44</v>
      </c>
      <c r="Q83" s="23">
        <f>$Q$81*$Q$69</f>
        <v>0</v>
      </c>
    </row>
    <row r="84" spans="11:17" s="3" customFormat="1" ht="6" customHeight="1" x14ac:dyDescent="0.25">
      <c r="M84" s="17"/>
      <c r="Q84" s="45"/>
    </row>
    <row r="85" spans="11:17" s="3" customFormat="1" x14ac:dyDescent="0.25">
      <c r="K85" s="68" t="s">
        <v>70</v>
      </c>
      <c r="L85" s="18"/>
      <c r="M85" s="71" t="s">
        <v>69</v>
      </c>
      <c r="Q85" s="69">
        <v>0.2</v>
      </c>
    </row>
    <row r="86" spans="11:17" s="3" customFormat="1" ht="6" customHeight="1" x14ac:dyDescent="0.25">
      <c r="K86" s="18"/>
      <c r="L86" s="18"/>
      <c r="M86" s="72"/>
    </row>
    <row r="87" spans="11:17" s="3" customFormat="1" x14ac:dyDescent="0.25">
      <c r="K87" s="67" t="s">
        <v>71</v>
      </c>
      <c r="L87" s="18"/>
      <c r="M87" s="71" t="s">
        <v>68</v>
      </c>
      <c r="Q87" s="70">
        <v>3</v>
      </c>
    </row>
    <row r="88" spans="11:17" s="3" customFormat="1" ht="6" customHeight="1" x14ac:dyDescent="0.25">
      <c r="K88" s="18"/>
      <c r="L88" s="18"/>
      <c r="M88" s="17"/>
      <c r="Q88" s="66"/>
    </row>
    <row r="89" spans="11:17" s="3" customFormat="1" x14ac:dyDescent="0.25">
      <c r="K89" s="18"/>
      <c r="L89" s="18"/>
      <c r="M89" s="20" t="s">
        <v>74</v>
      </c>
      <c r="Q89" s="23">
        <f>Q79*Q85</f>
        <v>0</v>
      </c>
    </row>
    <row r="90" spans="11:17" s="3" customFormat="1" ht="6" customHeight="1" x14ac:dyDescent="0.25">
      <c r="K90" s="18"/>
      <c r="L90" s="18"/>
    </row>
    <row r="91" spans="11:17" s="3" customFormat="1" x14ac:dyDescent="0.25">
      <c r="K91" s="18"/>
      <c r="L91" s="18"/>
      <c r="M91" s="17" t="s">
        <v>73</v>
      </c>
      <c r="Q91" s="23">
        <f>Q83*Q87</f>
        <v>0</v>
      </c>
    </row>
    <row r="92" spans="11:17" s="3" customFormat="1" x14ac:dyDescent="0.25"/>
    <row r="93" spans="11:17" s="3" customFormat="1" x14ac:dyDescent="0.25"/>
  </sheetData>
  <protectedRanges>
    <protectedRange sqref="D13" name="Cantidad de partículas"/>
    <protectedRange sqref="D19 D17 D21" name="Diámetro partícula"/>
  </protectedRanges>
  <mergeCells count="13">
    <mergeCell ref="H35:J46"/>
    <mergeCell ref="P38:Q38"/>
    <mergeCell ref="P67:Q67"/>
    <mergeCell ref="E2:Q2"/>
    <mergeCell ref="G19:H19"/>
    <mergeCell ref="G23:H23"/>
    <mergeCell ref="G17:H17"/>
    <mergeCell ref="K4:L4"/>
    <mergeCell ref="F3:O3"/>
    <mergeCell ref="P9:Q9"/>
    <mergeCell ref="F11:H11"/>
    <mergeCell ref="B7:K9"/>
    <mergeCell ref="G15:H15"/>
  </mergeCells>
  <conditionalFormatting sqref="D17">
    <cfRule type="expression" dxfId="2" priority="3">
      <formula>CELL("contents",$E$17)="µm"</formula>
    </cfRule>
  </conditionalFormatting>
  <conditionalFormatting sqref="D19">
    <cfRule type="expression" dxfId="1" priority="2">
      <formula>CELL("contents",$E$19)="µm"</formula>
    </cfRule>
  </conditionalFormatting>
  <conditionalFormatting sqref="D21">
    <cfRule type="expression" dxfId="0" priority="1">
      <formula>CELL("contents",$E$21)="µm"</formula>
    </cfRule>
  </conditionalFormatting>
  <dataValidations count="1">
    <dataValidation type="decimal" operator="greaterThan" allowBlank="1" showInputMessage="1" showErrorMessage="1" errorTitle="Error!" error="La cantidad de sustrato debe ser mayor a 0. Recuerde siempre ingresar el valor en g." prompt="Ingresar el valor en g." sqref="D13" xr:uid="{00000000-0002-0000-0000-000000000000}">
      <formula1>0</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prompt="Seleccione una de las moléculas en la lista." xr:uid="{00000000-0002-0000-0000-000001000000}">
          <x14:formula1>
            <xm:f>Moleculas!$A$6:$A$22</xm:f>
          </x14:formula1>
          <xm:sqref>M9</xm:sqref>
        </x14:dataValidation>
        <x14:dataValidation type="list" allowBlank="1" showInputMessage="1" showErrorMessage="1" prompt="Seleccione una de las moléculas en la lista." xr:uid="{00000000-0002-0000-0000-000002000000}">
          <x14:formula1>
            <xm:f>Moleculas!$A$24:$A$42</xm:f>
          </x14:formula1>
          <xm:sqref>M67 M38</xm:sqref>
        </x14:dataValidation>
        <x14:dataValidation type="list" allowBlank="1" showInputMessage="1" showErrorMessage="1" prompt="Seleccione un material de sustrato" xr:uid="{5C86F82C-4596-4C4C-8DE0-172406CD9605}">
          <x14:formula1>
            <xm:f>Sustratos!$A$5:$A$24</xm:f>
          </x14:formula1>
          <xm:sqref>D11</xm:sqref>
        </x14:dataValidation>
        <x14:dataValidation type="list" allowBlank="1" showInputMessage="1" showErrorMessage="1" prompt="Seleccione la geometria del sustrato" xr:uid="{9397766A-9A1E-4B8A-9459-E840D1F8F068}">
          <x14:formula1>
            <xm:f>Geometria!$A$5:$A$9</xm:f>
          </x14:formula1>
          <xm:sqref>D15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15BBE-D83B-4EB9-A399-187B56F942C1}">
  <dimension ref="A1:J14"/>
  <sheetViews>
    <sheetView workbookViewId="0">
      <selection activeCell="G9" sqref="G9"/>
    </sheetView>
  </sheetViews>
  <sheetFormatPr defaultRowHeight="15" x14ac:dyDescent="0.25"/>
  <cols>
    <col min="1" max="1" width="19.5703125" customWidth="1"/>
    <col min="2" max="2" width="18" customWidth="1"/>
    <col min="3" max="5" width="14.140625" customWidth="1"/>
    <col min="6" max="7" width="11.85546875" customWidth="1"/>
  </cols>
  <sheetData>
    <row r="1" spans="1:10" ht="21" x14ac:dyDescent="0.35">
      <c r="A1" s="48" t="s">
        <v>120</v>
      </c>
      <c r="B1" s="2"/>
      <c r="C1" s="2"/>
      <c r="D1" s="2"/>
    </row>
    <row r="2" spans="1:10" x14ac:dyDescent="0.25">
      <c r="A2" s="2"/>
      <c r="B2" s="2"/>
      <c r="C2" s="2"/>
      <c r="D2" s="2"/>
    </row>
    <row r="3" spans="1:10" ht="15" customHeight="1" x14ac:dyDescent="0.25">
      <c r="A3" s="96" t="s">
        <v>126</v>
      </c>
      <c r="B3" s="97"/>
      <c r="C3" s="97"/>
      <c r="D3" s="97"/>
      <c r="E3" s="98"/>
      <c r="F3" s="96"/>
      <c r="G3" s="97"/>
      <c r="H3" s="97"/>
      <c r="I3" s="97"/>
      <c r="J3" s="98"/>
    </row>
    <row r="4" spans="1:10" x14ac:dyDescent="0.25">
      <c r="A4" s="10" t="s">
        <v>10</v>
      </c>
      <c r="B4" s="77" t="s">
        <v>125</v>
      </c>
      <c r="C4" s="77" t="s">
        <v>127</v>
      </c>
      <c r="D4" s="77" t="s">
        <v>128</v>
      </c>
      <c r="E4" s="77" t="s">
        <v>129</v>
      </c>
      <c r="F4" s="77" t="s">
        <v>135</v>
      </c>
      <c r="G4" s="77" t="s">
        <v>137</v>
      </c>
    </row>
    <row r="5" spans="1:10" x14ac:dyDescent="0.25">
      <c r="A5" s="90" t="s">
        <v>55</v>
      </c>
      <c r="B5" s="86">
        <v>0</v>
      </c>
      <c r="C5" s="8"/>
      <c r="D5" s="8"/>
      <c r="E5" s="8"/>
      <c r="F5" s="8"/>
      <c r="G5" s="8"/>
    </row>
    <row r="6" spans="1:10" x14ac:dyDescent="0.25">
      <c r="A6" s="7" t="s">
        <v>122</v>
      </c>
      <c r="B6" s="86">
        <v>1</v>
      </c>
      <c r="C6" s="88" t="s">
        <v>130</v>
      </c>
      <c r="D6" s="87"/>
      <c r="E6" s="87"/>
      <c r="F6" s="99">
        <f>PI()*POWER(Funcionalización!$D$17/2,2)</f>
        <v>7.8539816339744835E-3</v>
      </c>
      <c r="G6" s="99">
        <v>0</v>
      </c>
    </row>
    <row r="7" spans="1:10" x14ac:dyDescent="0.25">
      <c r="A7" s="7" t="s">
        <v>121</v>
      </c>
      <c r="B7" s="86">
        <v>1</v>
      </c>
      <c r="C7" s="88" t="s">
        <v>130</v>
      </c>
      <c r="D7" s="86"/>
      <c r="E7" s="87"/>
      <c r="F7" s="99">
        <f>4*PI()*POWER(Funcionalización!$D$17/2,2)</f>
        <v>3.1415926535897934E-2</v>
      </c>
      <c r="G7" s="99">
        <f>(4/3)*PI()*POWER(Funcionalización!$D$17/2,3)</f>
        <v>5.2359877559829892E-4</v>
      </c>
    </row>
    <row r="8" spans="1:10" x14ac:dyDescent="0.25">
      <c r="A8" s="7" t="s">
        <v>123</v>
      </c>
      <c r="B8" s="86">
        <v>2</v>
      </c>
      <c r="C8" s="87" t="s">
        <v>131</v>
      </c>
      <c r="D8" s="86" t="s">
        <v>132</v>
      </c>
      <c r="E8" s="89"/>
      <c r="F8" s="99">
        <f>Funcionalización!$D$17*Funcionalización!$D$19</f>
        <v>0</v>
      </c>
      <c r="G8" s="99">
        <v>0</v>
      </c>
    </row>
    <row r="9" spans="1:10" x14ac:dyDescent="0.25">
      <c r="A9" s="7" t="s">
        <v>124</v>
      </c>
      <c r="B9" s="86">
        <v>3</v>
      </c>
      <c r="C9" s="87" t="s">
        <v>131</v>
      </c>
      <c r="D9" s="86" t="s">
        <v>132</v>
      </c>
      <c r="E9" s="87" t="s">
        <v>133</v>
      </c>
      <c r="F9" s="99">
        <f>2*(Funcionalización!$D$17*Funcionalización!$D$19)+2*(Funcionalización!$D$17*Funcionalización!$D$21)+2*(Funcionalización!$D$19*Funcionalización!$D$21)</f>
        <v>0</v>
      </c>
      <c r="G9" s="99">
        <f>Funcionalización!$D$17*Funcionalización!$D$19*Funcionalización!$D$21</f>
        <v>0</v>
      </c>
    </row>
    <row r="10" spans="1:10" ht="16.5" customHeight="1" x14ac:dyDescent="0.25">
      <c r="A10" s="7"/>
      <c r="B10" s="7"/>
      <c r="C10" s="73"/>
      <c r="D10" s="58"/>
      <c r="E10" s="75"/>
      <c r="F10" s="8"/>
      <c r="G10" s="8"/>
    </row>
    <row r="11" spans="1:10" x14ac:dyDescent="0.25">
      <c r="A11" s="7"/>
      <c r="B11" s="9"/>
      <c r="C11" s="8"/>
      <c r="D11" s="58"/>
      <c r="E11" s="7"/>
      <c r="F11" s="8"/>
      <c r="G11" s="8"/>
    </row>
    <row r="12" spans="1:10" x14ac:dyDescent="0.25">
      <c r="A12" s="4"/>
      <c r="B12" s="4"/>
      <c r="C12" s="4"/>
      <c r="D12" s="83"/>
      <c r="E12" s="4"/>
      <c r="F12" s="8"/>
      <c r="G12" s="8"/>
    </row>
    <row r="13" spans="1:10" x14ac:dyDescent="0.25">
      <c r="A13" s="4"/>
      <c r="B13" s="6"/>
      <c r="C13" s="6"/>
      <c r="D13" s="83"/>
      <c r="E13" s="74"/>
      <c r="F13" s="8"/>
      <c r="G13" s="8"/>
    </row>
    <row r="14" spans="1:10" x14ac:dyDescent="0.25">
      <c r="A14" s="7"/>
      <c r="B14" s="7"/>
      <c r="C14" s="7"/>
      <c r="D14" s="58"/>
      <c r="E14" s="75"/>
      <c r="F14" s="8"/>
      <c r="G14" s="8"/>
    </row>
  </sheetData>
  <phoneticPr fontId="2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CBCC7-7029-4EDF-86FE-941F69F63CBE}">
  <dimension ref="A1:E24"/>
  <sheetViews>
    <sheetView workbookViewId="0">
      <selection activeCell="A2" sqref="A2"/>
    </sheetView>
  </sheetViews>
  <sheetFormatPr defaultRowHeight="15" x14ac:dyDescent="0.25"/>
  <cols>
    <col min="1" max="1" width="17" customWidth="1"/>
    <col min="2" max="2" width="43.85546875" customWidth="1"/>
    <col min="3" max="3" width="15.28515625" customWidth="1"/>
    <col min="5" max="5" width="15.42578125" customWidth="1"/>
  </cols>
  <sheetData>
    <row r="1" spans="1:5" ht="21" x14ac:dyDescent="0.35">
      <c r="A1" s="48" t="s">
        <v>119</v>
      </c>
      <c r="B1" s="2"/>
      <c r="C1" s="2"/>
      <c r="D1" s="2"/>
    </row>
    <row r="2" spans="1:5" x14ac:dyDescent="0.25">
      <c r="A2" s="2"/>
      <c r="B2" s="2"/>
      <c r="C2" s="2"/>
      <c r="D2" s="2"/>
    </row>
    <row r="3" spans="1:5" x14ac:dyDescent="0.25">
      <c r="A3" s="114" t="s">
        <v>76</v>
      </c>
      <c r="B3" s="114"/>
      <c r="C3" s="114"/>
      <c r="D3" s="115" t="s">
        <v>77</v>
      </c>
      <c r="E3" s="115" t="s">
        <v>0</v>
      </c>
    </row>
    <row r="4" spans="1:5" x14ac:dyDescent="0.25">
      <c r="A4" s="10" t="s">
        <v>10</v>
      </c>
      <c r="B4" s="63" t="s">
        <v>11</v>
      </c>
      <c r="C4" s="63" t="s">
        <v>14</v>
      </c>
      <c r="D4" s="115"/>
      <c r="E4" s="115"/>
    </row>
    <row r="5" spans="1:5" x14ac:dyDescent="0.25">
      <c r="A5" s="46" t="s">
        <v>55</v>
      </c>
      <c r="B5" s="46" t="s">
        <v>55</v>
      </c>
      <c r="C5" s="7"/>
      <c r="D5" s="7"/>
      <c r="E5" s="7"/>
    </row>
    <row r="6" spans="1:5" x14ac:dyDescent="0.25">
      <c r="A6" s="7" t="s">
        <v>83</v>
      </c>
      <c r="B6" s="9" t="s">
        <v>96</v>
      </c>
      <c r="C6" s="8" t="s">
        <v>98</v>
      </c>
      <c r="D6" s="58">
        <v>10.49</v>
      </c>
      <c r="E6" s="7">
        <v>107.86799999999999</v>
      </c>
    </row>
    <row r="7" spans="1:5" x14ac:dyDescent="0.25">
      <c r="A7" s="7" t="s">
        <v>80</v>
      </c>
      <c r="B7" s="7" t="s">
        <v>93</v>
      </c>
      <c r="C7" s="8" t="s">
        <v>94</v>
      </c>
      <c r="D7" s="58">
        <v>3.9870000000000001</v>
      </c>
      <c r="E7" s="75">
        <v>101.96</v>
      </c>
    </row>
    <row r="8" spans="1:5" x14ac:dyDescent="0.25">
      <c r="A8" s="7" t="s">
        <v>82</v>
      </c>
      <c r="B8" s="8" t="s">
        <v>95</v>
      </c>
      <c r="C8" s="7" t="s">
        <v>97</v>
      </c>
      <c r="D8" s="58">
        <v>19.3</v>
      </c>
      <c r="E8" s="7">
        <v>196.96600000000001</v>
      </c>
    </row>
    <row r="9" spans="1:5" x14ac:dyDescent="0.25">
      <c r="A9" s="4" t="s">
        <v>81</v>
      </c>
      <c r="B9" s="7" t="s">
        <v>85</v>
      </c>
      <c r="C9" s="7" t="s">
        <v>86</v>
      </c>
      <c r="D9" s="58">
        <v>6</v>
      </c>
      <c r="E9" s="75">
        <v>143.09</v>
      </c>
    </row>
    <row r="10" spans="1:5" x14ac:dyDescent="0.25">
      <c r="A10" s="7" t="s">
        <v>84</v>
      </c>
      <c r="B10" s="7" t="s">
        <v>88</v>
      </c>
      <c r="C10" s="73" t="s">
        <v>87</v>
      </c>
      <c r="D10" s="58">
        <v>6.3150000000000004</v>
      </c>
      <c r="E10" s="75">
        <v>79.545000000000002</v>
      </c>
    </row>
    <row r="11" spans="1:5" x14ac:dyDescent="0.25">
      <c r="A11" s="7" t="s">
        <v>102</v>
      </c>
      <c r="B11" s="9" t="s">
        <v>103</v>
      </c>
      <c r="C11" s="8" t="s">
        <v>104</v>
      </c>
      <c r="D11" s="58">
        <v>5.25</v>
      </c>
      <c r="E11" s="7">
        <v>159.68700000000001</v>
      </c>
    </row>
    <row r="12" spans="1:5" x14ac:dyDescent="0.25">
      <c r="A12" s="4" t="s">
        <v>99</v>
      </c>
      <c r="B12" s="4" t="s">
        <v>101</v>
      </c>
      <c r="C12" s="4" t="s">
        <v>100</v>
      </c>
      <c r="D12" s="83">
        <v>5</v>
      </c>
      <c r="E12" s="4">
        <v>231.53299999999999</v>
      </c>
    </row>
    <row r="13" spans="1:5" x14ac:dyDescent="0.25">
      <c r="A13" s="4" t="s">
        <v>78</v>
      </c>
      <c r="B13" s="6" t="s">
        <v>90</v>
      </c>
      <c r="C13" s="6" t="s">
        <v>89</v>
      </c>
      <c r="D13" s="83">
        <v>2.1960000000000002</v>
      </c>
      <c r="E13" s="74">
        <v>60.08</v>
      </c>
    </row>
    <row r="14" spans="1:5" ht="15" customHeight="1" x14ac:dyDescent="0.25">
      <c r="A14" s="7" t="s">
        <v>79</v>
      </c>
      <c r="B14" s="7" t="s">
        <v>92</v>
      </c>
      <c r="C14" s="7" t="s">
        <v>91</v>
      </c>
      <c r="D14" s="58">
        <v>3.78</v>
      </c>
      <c r="E14" s="75">
        <v>79.866</v>
      </c>
    </row>
    <row r="15" spans="1:5" x14ac:dyDescent="0.25">
      <c r="A15" s="4" t="s">
        <v>107</v>
      </c>
      <c r="B15" s="6" t="s">
        <v>106</v>
      </c>
      <c r="C15" s="6" t="s">
        <v>105</v>
      </c>
      <c r="D15" s="83">
        <v>0.72099999999999997</v>
      </c>
      <c r="E15" s="4">
        <v>162.143</v>
      </c>
    </row>
    <row r="16" spans="1:5" x14ac:dyDescent="0.25">
      <c r="A16" s="7" t="s">
        <v>54</v>
      </c>
      <c r="B16" s="7"/>
      <c r="C16" s="7"/>
      <c r="D16" s="7"/>
      <c r="E16" s="7"/>
    </row>
    <row r="17" spans="1:5" x14ac:dyDescent="0.25">
      <c r="A17" s="7" t="s">
        <v>54</v>
      </c>
      <c r="B17" s="7"/>
      <c r="C17" s="7"/>
      <c r="D17" s="7"/>
      <c r="E17" s="7"/>
    </row>
    <row r="18" spans="1:5" x14ac:dyDescent="0.25">
      <c r="A18" s="7" t="s">
        <v>54</v>
      </c>
      <c r="B18" s="7"/>
      <c r="C18" s="7"/>
      <c r="D18" s="7"/>
      <c r="E18" s="7"/>
    </row>
    <row r="19" spans="1:5" x14ac:dyDescent="0.25">
      <c r="A19" s="7" t="s">
        <v>54</v>
      </c>
      <c r="B19" s="7"/>
      <c r="C19" s="7"/>
      <c r="D19" s="7"/>
      <c r="E19" s="7"/>
    </row>
    <row r="20" spans="1:5" x14ac:dyDescent="0.25">
      <c r="A20" s="7" t="s">
        <v>54</v>
      </c>
      <c r="B20" s="7"/>
      <c r="C20" s="7"/>
      <c r="D20" s="7"/>
      <c r="E20" s="7"/>
    </row>
    <row r="21" spans="1:5" x14ac:dyDescent="0.25">
      <c r="A21" s="7" t="s">
        <v>54</v>
      </c>
      <c r="B21" s="7"/>
      <c r="C21" s="7"/>
      <c r="D21" s="7"/>
      <c r="E21" s="7"/>
    </row>
    <row r="22" spans="1:5" x14ac:dyDescent="0.25">
      <c r="A22" s="7" t="s">
        <v>54</v>
      </c>
      <c r="B22" s="7"/>
      <c r="C22" s="7"/>
      <c r="D22" s="7"/>
      <c r="E22" s="7"/>
    </row>
    <row r="23" spans="1:5" x14ac:dyDescent="0.25">
      <c r="A23" s="7" t="s">
        <v>54</v>
      </c>
      <c r="B23" s="7"/>
      <c r="C23" s="7"/>
      <c r="D23" s="7"/>
      <c r="E23" s="7"/>
    </row>
    <row r="24" spans="1:5" x14ac:dyDescent="0.25">
      <c r="A24" s="7" t="s">
        <v>54</v>
      </c>
      <c r="B24" s="7"/>
      <c r="C24" s="7"/>
      <c r="D24" s="7"/>
      <c r="E24" s="7"/>
    </row>
  </sheetData>
  <sortState xmlns:xlrd2="http://schemas.microsoft.com/office/spreadsheetml/2017/richdata2" ref="A6:E15">
    <sortCondition ref="A6:A15"/>
  </sortState>
  <mergeCells count="3">
    <mergeCell ref="A3:C3"/>
    <mergeCell ref="D3:D4"/>
    <mergeCell ref="E3:E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42"/>
  <sheetViews>
    <sheetView workbookViewId="0">
      <selection activeCell="B27" sqref="B27"/>
    </sheetView>
  </sheetViews>
  <sheetFormatPr defaultColWidth="10.7109375" defaultRowHeight="15" x14ac:dyDescent="0.25"/>
  <cols>
    <col min="1" max="1" width="19.5703125" style="2" customWidth="1"/>
    <col min="2" max="2" width="66.42578125" style="2" bestFit="1" customWidth="1"/>
    <col min="3" max="3" width="10.28515625" style="2" bestFit="1" customWidth="1"/>
    <col min="4" max="7" width="11.42578125" style="2"/>
    <col min="8" max="9" width="12.28515625" style="2" customWidth="1"/>
    <col min="10" max="10" width="11.42578125" style="2"/>
    <col min="11" max="11" width="11.5703125" bestFit="1" customWidth="1"/>
  </cols>
  <sheetData>
    <row r="1" spans="1:12" ht="21" x14ac:dyDescent="0.35">
      <c r="A1" s="48" t="s">
        <v>57</v>
      </c>
    </row>
    <row r="3" spans="1:12" ht="15" customHeight="1" x14ac:dyDescent="0.25">
      <c r="A3" s="114" t="s">
        <v>1</v>
      </c>
      <c r="B3" s="114"/>
      <c r="C3" s="114"/>
      <c r="D3" s="115" t="s">
        <v>0</v>
      </c>
      <c r="E3" s="118" t="s">
        <v>3</v>
      </c>
      <c r="F3" s="118"/>
      <c r="G3" s="118"/>
      <c r="H3" s="119" t="s">
        <v>64</v>
      </c>
      <c r="I3" s="120"/>
      <c r="J3" s="121"/>
      <c r="K3" s="1"/>
    </row>
    <row r="4" spans="1:12" ht="18.75" x14ac:dyDescent="0.35">
      <c r="A4" s="10" t="s">
        <v>10</v>
      </c>
      <c r="B4" s="11" t="s">
        <v>11</v>
      </c>
      <c r="C4" s="11" t="s">
        <v>14</v>
      </c>
      <c r="D4" s="115"/>
      <c r="E4" s="12" t="s">
        <v>40</v>
      </c>
      <c r="F4" s="12" t="s">
        <v>7</v>
      </c>
      <c r="G4" s="13" t="s">
        <v>8</v>
      </c>
      <c r="H4" s="13" t="s">
        <v>65</v>
      </c>
      <c r="I4" s="24" t="s">
        <v>60</v>
      </c>
      <c r="J4" s="13" t="s">
        <v>56</v>
      </c>
      <c r="K4" s="1"/>
    </row>
    <row r="5" spans="1:12" x14ac:dyDescent="0.25">
      <c r="A5" s="116" t="s">
        <v>22</v>
      </c>
      <c r="B5" s="116"/>
      <c r="C5" s="116"/>
      <c r="D5" s="116"/>
      <c r="E5" s="116"/>
      <c r="F5" s="116"/>
      <c r="G5" s="116"/>
      <c r="H5" s="116"/>
      <c r="I5" s="116"/>
      <c r="J5" s="116"/>
      <c r="K5" s="1"/>
    </row>
    <row r="6" spans="1:12" x14ac:dyDescent="0.25">
      <c r="A6" s="46" t="s">
        <v>55</v>
      </c>
      <c r="B6" s="46" t="s">
        <v>55</v>
      </c>
      <c r="C6" s="7"/>
      <c r="D6" s="7"/>
      <c r="E6" s="7"/>
      <c r="F6" s="7"/>
      <c r="G6" s="7"/>
      <c r="H6" s="7"/>
      <c r="I6" s="57">
        <f t="shared" ref="I6:I42" si="0">PI()*POWER(H6/2,2)</f>
        <v>0</v>
      </c>
      <c r="J6" s="61">
        <f>I6*10^-8</f>
        <v>0</v>
      </c>
      <c r="K6" s="1"/>
    </row>
    <row r="7" spans="1:12" x14ac:dyDescent="0.25">
      <c r="A7" s="4" t="s">
        <v>9</v>
      </c>
      <c r="B7" s="4" t="s">
        <v>19</v>
      </c>
      <c r="C7" s="4" t="s">
        <v>20</v>
      </c>
      <c r="D7" s="4">
        <v>221.37</v>
      </c>
      <c r="E7" s="4">
        <v>1</v>
      </c>
      <c r="F7" s="4"/>
      <c r="G7" s="5"/>
      <c r="H7" s="58">
        <v>8.6999999999999993</v>
      </c>
      <c r="I7" s="57">
        <f t="shared" si="0"/>
        <v>59.446786987552848</v>
      </c>
      <c r="J7" s="61">
        <f t="shared" ref="J7:J22" si="1">I7*10^-8</f>
        <v>5.9446786987552851E-7</v>
      </c>
      <c r="K7" s="47"/>
    </row>
    <row r="8" spans="1:12" x14ac:dyDescent="0.25">
      <c r="A8" s="4" t="s">
        <v>12</v>
      </c>
      <c r="B8" s="6" t="s">
        <v>67</v>
      </c>
      <c r="C8" s="6" t="s">
        <v>13</v>
      </c>
      <c r="D8" s="4">
        <v>304.41399999999999</v>
      </c>
      <c r="E8" s="4"/>
      <c r="F8" s="4">
        <v>1</v>
      </c>
      <c r="G8" s="5"/>
      <c r="H8" s="59">
        <v>9.5150000000000006</v>
      </c>
      <c r="I8" s="57">
        <f t="shared" si="0"/>
        <v>71.106199437774748</v>
      </c>
      <c r="J8" s="61">
        <f t="shared" si="1"/>
        <v>7.1106199437774752E-7</v>
      </c>
      <c r="K8" s="47"/>
    </row>
    <row r="9" spans="1:12" x14ac:dyDescent="0.25">
      <c r="A9" s="7" t="s">
        <v>49</v>
      </c>
      <c r="B9" s="7" t="s">
        <v>49</v>
      </c>
      <c r="C9" s="7" t="s">
        <v>108</v>
      </c>
      <c r="D9" s="7">
        <v>323.13200000000001</v>
      </c>
      <c r="E9" s="7"/>
      <c r="F9" s="7"/>
      <c r="G9" s="7"/>
      <c r="H9" s="60">
        <v>13.82</v>
      </c>
      <c r="I9" s="57">
        <f t="shared" si="0"/>
        <v>150.00508018287081</v>
      </c>
      <c r="J9" s="61">
        <f t="shared" si="1"/>
        <v>1.5000508018287082E-6</v>
      </c>
      <c r="K9" s="47"/>
    </row>
    <row r="10" spans="1:12" x14ac:dyDescent="0.25">
      <c r="A10" s="7" t="s">
        <v>63</v>
      </c>
      <c r="B10" s="7" t="s">
        <v>63</v>
      </c>
      <c r="C10" s="8" t="s">
        <v>109</v>
      </c>
      <c r="D10" s="7">
        <v>119.38</v>
      </c>
      <c r="E10" s="7"/>
      <c r="F10" s="7"/>
      <c r="G10" s="7"/>
      <c r="H10" s="58">
        <v>5.23</v>
      </c>
      <c r="I10" s="57">
        <f t="shared" si="0"/>
        <v>21.482917423594067</v>
      </c>
      <c r="J10" s="61">
        <f t="shared" si="1"/>
        <v>2.1482917423594068E-7</v>
      </c>
      <c r="K10" s="47"/>
    </row>
    <row r="11" spans="1:12" x14ac:dyDescent="0.25">
      <c r="A11" s="4" t="s">
        <v>36</v>
      </c>
      <c r="B11" s="6" t="s">
        <v>36</v>
      </c>
      <c r="C11" s="6" t="s">
        <v>37</v>
      </c>
      <c r="D11" s="4">
        <v>77.144999999999996</v>
      </c>
      <c r="E11" s="4">
        <v>1</v>
      </c>
      <c r="F11" s="4"/>
      <c r="G11" s="22">
        <v>1</v>
      </c>
      <c r="H11" s="59">
        <v>5.86</v>
      </c>
      <c r="I11" s="57">
        <f t="shared" si="0"/>
        <v>26.970258771803017</v>
      </c>
      <c r="J11" s="61">
        <f t="shared" si="1"/>
        <v>2.697025877180302E-7</v>
      </c>
      <c r="K11" s="47"/>
    </row>
    <row r="12" spans="1:12" x14ac:dyDescent="0.25">
      <c r="A12" s="4" t="s">
        <v>26</v>
      </c>
      <c r="B12" s="7" t="s">
        <v>27</v>
      </c>
      <c r="C12" s="7" t="s">
        <v>28</v>
      </c>
      <c r="D12" s="7">
        <v>121.154</v>
      </c>
      <c r="E12" s="7">
        <v>1</v>
      </c>
      <c r="F12" s="7">
        <v>1</v>
      </c>
      <c r="G12" s="7">
        <v>1</v>
      </c>
      <c r="H12" s="58">
        <v>9.0500000000000007</v>
      </c>
      <c r="I12" s="57">
        <f t="shared" si="0"/>
        <v>64.326073077659515</v>
      </c>
      <c r="J12" s="61">
        <f t="shared" si="1"/>
        <v>6.4326073077659517E-7</v>
      </c>
      <c r="K12" s="47"/>
    </row>
    <row r="13" spans="1:12" x14ac:dyDescent="0.25">
      <c r="A13" s="7" t="s">
        <v>51</v>
      </c>
      <c r="B13" s="8" t="s">
        <v>53</v>
      </c>
      <c r="C13" s="7" t="s">
        <v>112</v>
      </c>
      <c r="D13" s="7">
        <v>290.51</v>
      </c>
      <c r="E13" s="7"/>
      <c r="F13" s="7"/>
      <c r="G13" s="7"/>
      <c r="H13" s="58">
        <v>8.6999999999999993</v>
      </c>
      <c r="I13" s="57">
        <f t="shared" si="0"/>
        <v>59.446786987552848</v>
      </c>
      <c r="J13" s="61">
        <f t="shared" si="1"/>
        <v>5.9446786987552851E-7</v>
      </c>
      <c r="K13" s="47"/>
    </row>
    <row r="14" spans="1:12" x14ac:dyDescent="0.25">
      <c r="A14" s="7" t="s">
        <v>30</v>
      </c>
      <c r="B14" s="9" t="s">
        <v>17</v>
      </c>
      <c r="C14" s="8" t="s">
        <v>18</v>
      </c>
      <c r="D14" s="7">
        <v>503.26</v>
      </c>
      <c r="E14" s="7">
        <v>4</v>
      </c>
      <c r="F14" s="7"/>
      <c r="G14" s="7"/>
      <c r="H14" s="58">
        <v>16.350000000000001</v>
      </c>
      <c r="I14" s="57">
        <f t="shared" si="0"/>
        <v>209.9546005348144</v>
      </c>
      <c r="J14" s="61">
        <f t="shared" si="1"/>
        <v>2.099546005348144E-6</v>
      </c>
      <c r="K14" s="47"/>
    </row>
    <row r="15" spans="1:12" x14ac:dyDescent="0.25">
      <c r="A15" s="7" t="s">
        <v>50</v>
      </c>
      <c r="B15" s="7" t="s">
        <v>50</v>
      </c>
      <c r="C15" s="7" t="s">
        <v>110</v>
      </c>
      <c r="D15" s="7">
        <v>477.596</v>
      </c>
      <c r="E15" s="7"/>
      <c r="F15" s="7"/>
      <c r="G15" s="7"/>
      <c r="H15" s="60">
        <v>13.82</v>
      </c>
      <c r="I15" s="57">
        <f t="shared" si="0"/>
        <v>150.00508018287081</v>
      </c>
      <c r="J15" s="61">
        <f>I15*10^-8</f>
        <v>1.5000508018287082E-6</v>
      </c>
      <c r="L15" s="47"/>
    </row>
    <row r="16" spans="1:12" x14ac:dyDescent="0.25">
      <c r="A16" s="7" t="s">
        <v>61</v>
      </c>
      <c r="B16" s="9" t="s">
        <v>62</v>
      </c>
      <c r="C16" s="8" t="s">
        <v>111</v>
      </c>
      <c r="D16" s="7">
        <v>180.15600000000001</v>
      </c>
      <c r="E16" s="7"/>
      <c r="F16" s="7"/>
      <c r="G16" s="7"/>
      <c r="H16" s="58">
        <v>8.7799999999999994</v>
      </c>
      <c r="I16" s="57">
        <f t="shared" si="0"/>
        <v>60.545087779247844</v>
      </c>
      <c r="J16" s="61">
        <f t="shared" si="1"/>
        <v>6.0545087779247848E-7</v>
      </c>
    </row>
    <row r="17" spans="1:11" x14ac:dyDescent="0.25">
      <c r="A17" s="7" t="s">
        <v>34</v>
      </c>
      <c r="B17" s="7" t="s">
        <v>34</v>
      </c>
      <c r="C17" s="7" t="s">
        <v>35</v>
      </c>
      <c r="D17" s="7">
        <v>100.117</v>
      </c>
      <c r="E17" s="7"/>
      <c r="F17" s="7">
        <v>2</v>
      </c>
      <c r="G17" s="7"/>
      <c r="H17" s="59">
        <v>6.59</v>
      </c>
      <c r="I17" s="57">
        <f t="shared" ref="I17:I22" si="2">PI()*POWER(H17/2,2)</f>
        <v>34.108349979840725</v>
      </c>
      <c r="J17" s="61">
        <f t="shared" si="1"/>
        <v>3.4108349979840724E-7</v>
      </c>
    </row>
    <row r="18" spans="1:11" x14ac:dyDescent="0.25">
      <c r="A18" s="7" t="s">
        <v>23</v>
      </c>
      <c r="B18" s="7" t="s">
        <v>23</v>
      </c>
      <c r="C18" s="7" t="s">
        <v>113</v>
      </c>
      <c r="D18" s="7">
        <v>64000</v>
      </c>
      <c r="E18" s="7"/>
      <c r="F18" s="7"/>
      <c r="G18" s="7"/>
      <c r="H18" s="58">
        <v>90.27</v>
      </c>
      <c r="I18" s="57">
        <f t="shared" si="2"/>
        <v>6399.9527297865579</v>
      </c>
      <c r="J18" s="61">
        <f t="shared" si="1"/>
        <v>6.3999527297865577E-5</v>
      </c>
    </row>
    <row r="19" spans="1:11" x14ac:dyDescent="0.25">
      <c r="A19" s="7" t="s">
        <v>48</v>
      </c>
      <c r="B19" s="7" t="s">
        <v>48</v>
      </c>
      <c r="C19" s="7" t="s">
        <v>114</v>
      </c>
      <c r="D19" s="7">
        <v>30000</v>
      </c>
      <c r="E19" s="7"/>
      <c r="F19" s="7"/>
      <c r="G19" s="7"/>
      <c r="H19" s="58">
        <v>61.804000000000002</v>
      </c>
      <c r="I19" s="57">
        <f t="shared" si="2"/>
        <v>3000.012394992425</v>
      </c>
      <c r="J19" s="61">
        <f t="shared" si="1"/>
        <v>3.0000123949924252E-5</v>
      </c>
    </row>
    <row r="20" spans="1:11" x14ac:dyDescent="0.25">
      <c r="A20" s="7" t="s">
        <v>52</v>
      </c>
      <c r="B20" s="8" t="s">
        <v>66</v>
      </c>
      <c r="C20" s="7" t="s">
        <v>115</v>
      </c>
      <c r="D20" s="7">
        <v>152.22</v>
      </c>
      <c r="E20" s="7"/>
      <c r="F20" s="7"/>
      <c r="G20" s="7"/>
      <c r="H20" s="58">
        <v>9.2200000000000006</v>
      </c>
      <c r="I20" s="57">
        <f t="shared" si="2"/>
        <v>66.765441233355645</v>
      </c>
      <c r="J20" s="61">
        <f t="shared" si="1"/>
        <v>6.6765441233355648E-7</v>
      </c>
    </row>
    <row r="21" spans="1:11" x14ac:dyDescent="0.25">
      <c r="A21" s="7" t="s">
        <v>29</v>
      </c>
      <c r="B21" s="8" t="s">
        <v>15</v>
      </c>
      <c r="C21" s="7" t="s">
        <v>16</v>
      </c>
      <c r="D21" s="7">
        <v>265.42899999999997</v>
      </c>
      <c r="E21" s="7">
        <v>3</v>
      </c>
      <c r="F21" s="7"/>
      <c r="G21" s="7"/>
      <c r="H21" s="58">
        <v>9.9499999999999993</v>
      </c>
      <c r="I21" s="57">
        <f t="shared" si="2"/>
        <v>77.756381671755861</v>
      </c>
      <c r="J21" s="61">
        <f t="shared" si="1"/>
        <v>7.7756381671755868E-7</v>
      </c>
    </row>
    <row r="22" spans="1:11" x14ac:dyDescent="0.25">
      <c r="A22" s="7" t="s">
        <v>54</v>
      </c>
      <c r="B22" s="9"/>
      <c r="C22" s="8"/>
      <c r="D22" s="7"/>
      <c r="E22" s="7"/>
      <c r="F22" s="7"/>
      <c r="G22" s="7"/>
      <c r="H22" s="7"/>
      <c r="I22" s="57">
        <f t="shared" si="2"/>
        <v>0</v>
      </c>
      <c r="J22" s="61">
        <f t="shared" si="1"/>
        <v>0</v>
      </c>
    </row>
    <row r="23" spans="1:11" x14ac:dyDescent="0.25">
      <c r="A23" s="117" t="s">
        <v>21</v>
      </c>
      <c r="B23" s="117"/>
      <c r="C23" s="117"/>
      <c r="D23" s="117"/>
      <c r="E23" s="117"/>
      <c r="F23" s="117"/>
      <c r="G23" s="117"/>
      <c r="H23" s="117"/>
      <c r="I23" s="117"/>
      <c r="J23" s="117"/>
    </row>
    <row r="24" spans="1:11" x14ac:dyDescent="0.25">
      <c r="A24" s="46" t="s">
        <v>55</v>
      </c>
      <c r="B24" s="46" t="s">
        <v>55</v>
      </c>
      <c r="C24" s="7"/>
      <c r="D24" s="7"/>
      <c r="E24" s="7"/>
      <c r="F24" s="7"/>
      <c r="G24" s="7"/>
      <c r="H24" s="7"/>
      <c r="I24" s="57">
        <f t="shared" si="0"/>
        <v>0</v>
      </c>
      <c r="J24" s="61">
        <f>I24*10^-8</f>
        <v>0</v>
      </c>
      <c r="K24" s="1"/>
    </row>
    <row r="25" spans="1:11" x14ac:dyDescent="0.25">
      <c r="A25" s="7" t="s">
        <v>49</v>
      </c>
      <c r="B25" s="7" t="s">
        <v>49</v>
      </c>
      <c r="C25" s="7" t="s">
        <v>108</v>
      </c>
      <c r="D25" s="7">
        <v>323.13200000000001</v>
      </c>
      <c r="E25" s="7"/>
      <c r="F25" s="7"/>
      <c r="G25" s="7"/>
      <c r="H25" s="60">
        <v>13.82</v>
      </c>
      <c r="I25" s="57">
        <f t="shared" ref="I25" si="3">PI()*POWER(H25/2,2)</f>
        <v>150.00508018287081</v>
      </c>
      <c r="J25" s="61">
        <f t="shared" ref="J25" si="4">I25*10^-8</f>
        <v>1.5000508018287082E-6</v>
      </c>
      <c r="K25" s="47"/>
    </row>
    <row r="26" spans="1:11" x14ac:dyDescent="0.25">
      <c r="A26" s="4" t="s">
        <v>36</v>
      </c>
      <c r="B26" s="6" t="s">
        <v>36</v>
      </c>
      <c r="C26" s="6" t="s">
        <v>37</v>
      </c>
      <c r="D26" s="4">
        <v>77.144999999999996</v>
      </c>
      <c r="E26" s="4">
        <v>1</v>
      </c>
      <c r="F26" s="4"/>
      <c r="G26" s="22">
        <v>1</v>
      </c>
      <c r="H26" s="59">
        <v>5.86</v>
      </c>
      <c r="I26" s="57">
        <f t="shared" si="0"/>
        <v>26.970258771803017</v>
      </c>
      <c r="J26" s="61">
        <f t="shared" ref="J25:J42" si="5">I26*10^-8</f>
        <v>2.697025877180302E-7</v>
      </c>
      <c r="K26" s="47"/>
    </row>
    <row r="27" spans="1:11" x14ac:dyDescent="0.25">
      <c r="A27" s="4" t="s">
        <v>26</v>
      </c>
      <c r="B27" s="7" t="s">
        <v>27</v>
      </c>
      <c r="C27" s="7" t="s">
        <v>28</v>
      </c>
      <c r="D27" s="7">
        <v>121.154</v>
      </c>
      <c r="E27" s="7">
        <v>1</v>
      </c>
      <c r="F27" s="7">
        <v>1</v>
      </c>
      <c r="G27" s="7">
        <v>1</v>
      </c>
      <c r="H27" s="58">
        <v>9.0500000000000007</v>
      </c>
      <c r="I27" s="57">
        <f t="shared" si="0"/>
        <v>64.326073077659515</v>
      </c>
      <c r="J27" s="61">
        <f t="shared" si="5"/>
        <v>6.4326073077659517E-7</v>
      </c>
      <c r="K27" s="47"/>
    </row>
    <row r="28" spans="1:11" x14ac:dyDescent="0.25">
      <c r="A28" s="7" t="s">
        <v>50</v>
      </c>
      <c r="B28" s="7" t="s">
        <v>50</v>
      </c>
      <c r="C28" s="7" t="s">
        <v>110</v>
      </c>
      <c r="D28" s="7">
        <v>477.596</v>
      </c>
      <c r="E28" s="7"/>
      <c r="F28" s="7"/>
      <c r="G28" s="7"/>
      <c r="H28" s="60">
        <v>13.82</v>
      </c>
      <c r="I28" s="57">
        <f t="shared" ref="I28" si="6">PI()*POWER(H28/2,2)</f>
        <v>150.00508018287081</v>
      </c>
      <c r="J28" s="61">
        <f>I28*10^-8</f>
        <v>1.5000508018287082E-6</v>
      </c>
      <c r="K28" s="47"/>
    </row>
    <row r="29" spans="1:11" x14ac:dyDescent="0.25">
      <c r="A29" s="7" t="s">
        <v>34</v>
      </c>
      <c r="B29" s="7" t="s">
        <v>34</v>
      </c>
      <c r="C29" s="7" t="s">
        <v>35</v>
      </c>
      <c r="D29" s="7">
        <v>100.117</v>
      </c>
      <c r="E29" s="7"/>
      <c r="F29" s="7">
        <v>2</v>
      </c>
      <c r="G29" s="7"/>
      <c r="H29" s="59">
        <v>6.59</v>
      </c>
      <c r="I29" s="57">
        <f t="shared" si="0"/>
        <v>34.108349979840725</v>
      </c>
      <c r="J29" s="61">
        <f t="shared" si="5"/>
        <v>3.4108349979840724E-7</v>
      </c>
      <c r="K29" s="47"/>
    </row>
    <row r="30" spans="1:11" x14ac:dyDescent="0.25">
      <c r="A30" s="7" t="s">
        <v>23</v>
      </c>
      <c r="B30" s="7" t="s">
        <v>23</v>
      </c>
      <c r="C30" s="7" t="s">
        <v>113</v>
      </c>
      <c r="D30" s="7">
        <v>64000</v>
      </c>
      <c r="E30" s="7"/>
      <c r="F30" s="7"/>
      <c r="G30" s="7"/>
      <c r="H30" s="58">
        <v>90.27</v>
      </c>
      <c r="I30" s="57">
        <f t="shared" si="0"/>
        <v>6399.9527297865579</v>
      </c>
      <c r="J30" s="61">
        <f t="shared" si="5"/>
        <v>6.3999527297865577E-5</v>
      </c>
      <c r="K30" s="47"/>
    </row>
    <row r="31" spans="1:11" x14ac:dyDescent="0.25">
      <c r="A31" s="7" t="s">
        <v>48</v>
      </c>
      <c r="B31" s="7" t="s">
        <v>48</v>
      </c>
      <c r="C31" s="7" t="s">
        <v>114</v>
      </c>
      <c r="D31" s="7">
        <v>30000</v>
      </c>
      <c r="E31" s="7"/>
      <c r="F31" s="7"/>
      <c r="G31" s="7"/>
      <c r="H31" s="58">
        <v>61.804000000000002</v>
      </c>
      <c r="I31" s="57">
        <f t="shared" si="0"/>
        <v>3000.012394992425</v>
      </c>
      <c r="J31" s="61">
        <f t="shared" si="5"/>
        <v>3.0000123949924252E-5</v>
      </c>
    </row>
    <row r="32" spans="1:11" x14ac:dyDescent="0.25">
      <c r="A32" s="7" t="s">
        <v>54</v>
      </c>
      <c r="B32" s="7"/>
      <c r="C32" s="7"/>
      <c r="D32" s="7"/>
      <c r="E32" s="7"/>
      <c r="F32" s="7"/>
      <c r="G32" s="7"/>
      <c r="H32" s="58"/>
      <c r="I32" s="57">
        <f t="shared" si="0"/>
        <v>0</v>
      </c>
      <c r="J32" s="61">
        <f t="shared" si="5"/>
        <v>0</v>
      </c>
    </row>
    <row r="33" spans="1:10" x14ac:dyDescent="0.25">
      <c r="A33" s="7" t="s">
        <v>54</v>
      </c>
      <c r="B33" s="7"/>
      <c r="C33" s="7"/>
      <c r="D33" s="7"/>
      <c r="E33" s="7"/>
      <c r="F33" s="7"/>
      <c r="G33" s="7"/>
      <c r="H33" s="58"/>
      <c r="I33" s="57">
        <f t="shared" si="0"/>
        <v>0</v>
      </c>
      <c r="J33" s="61">
        <f t="shared" si="5"/>
        <v>0</v>
      </c>
    </row>
    <row r="34" spans="1:10" x14ac:dyDescent="0.25">
      <c r="A34" s="7" t="s">
        <v>54</v>
      </c>
      <c r="B34" s="7"/>
      <c r="C34" s="7"/>
      <c r="D34" s="7"/>
      <c r="E34" s="7"/>
      <c r="F34" s="7"/>
      <c r="G34" s="7"/>
      <c r="H34" s="58"/>
      <c r="I34" s="57">
        <f t="shared" si="0"/>
        <v>0</v>
      </c>
      <c r="J34" s="61">
        <f t="shared" si="5"/>
        <v>0</v>
      </c>
    </row>
    <row r="35" spans="1:10" x14ac:dyDescent="0.25">
      <c r="A35" s="7" t="s">
        <v>54</v>
      </c>
      <c r="B35" s="7"/>
      <c r="C35" s="7"/>
      <c r="D35" s="7"/>
      <c r="E35" s="7"/>
      <c r="F35" s="7"/>
      <c r="G35" s="7"/>
      <c r="H35" s="58"/>
      <c r="I35" s="57">
        <f t="shared" si="0"/>
        <v>0</v>
      </c>
      <c r="J35" s="61">
        <f t="shared" si="5"/>
        <v>0</v>
      </c>
    </row>
    <row r="36" spans="1:10" x14ac:dyDescent="0.25">
      <c r="A36" s="7" t="s">
        <v>54</v>
      </c>
      <c r="B36" s="7"/>
      <c r="C36" s="7"/>
      <c r="D36" s="7"/>
      <c r="E36" s="7"/>
      <c r="F36" s="7"/>
      <c r="G36" s="7"/>
      <c r="H36" s="7"/>
      <c r="I36" s="57">
        <f t="shared" si="0"/>
        <v>0</v>
      </c>
      <c r="J36" s="61">
        <f t="shared" si="5"/>
        <v>0</v>
      </c>
    </row>
    <row r="37" spans="1:10" x14ac:dyDescent="0.25">
      <c r="A37" s="7" t="s">
        <v>54</v>
      </c>
      <c r="B37" s="7"/>
      <c r="C37" s="7"/>
      <c r="D37" s="7"/>
      <c r="E37" s="7"/>
      <c r="F37" s="7"/>
      <c r="G37" s="7"/>
      <c r="H37" s="7"/>
      <c r="I37" s="57">
        <f t="shared" si="0"/>
        <v>0</v>
      </c>
      <c r="J37" s="61">
        <f t="shared" si="5"/>
        <v>0</v>
      </c>
    </row>
    <row r="38" spans="1:10" x14ac:dyDescent="0.25">
      <c r="A38" s="7" t="s">
        <v>54</v>
      </c>
      <c r="B38" s="7"/>
      <c r="C38" s="7"/>
      <c r="D38" s="7"/>
      <c r="E38" s="7"/>
      <c r="F38" s="7"/>
      <c r="G38" s="7"/>
      <c r="H38" s="7"/>
      <c r="I38" s="57">
        <f t="shared" si="0"/>
        <v>0</v>
      </c>
      <c r="J38" s="61">
        <f t="shared" si="5"/>
        <v>0</v>
      </c>
    </row>
    <row r="39" spans="1:10" x14ac:dyDescent="0.25">
      <c r="A39" s="7" t="s">
        <v>54</v>
      </c>
      <c r="B39" s="7"/>
      <c r="C39" s="7"/>
      <c r="D39" s="7"/>
      <c r="E39" s="7"/>
      <c r="F39" s="7"/>
      <c r="G39" s="7"/>
      <c r="H39" s="7"/>
      <c r="I39" s="57">
        <f t="shared" si="0"/>
        <v>0</v>
      </c>
      <c r="J39" s="61">
        <f t="shared" si="5"/>
        <v>0</v>
      </c>
    </row>
    <row r="40" spans="1:10" x14ac:dyDescent="0.25">
      <c r="A40" s="7" t="s">
        <v>54</v>
      </c>
      <c r="B40" s="7"/>
      <c r="C40" s="7"/>
      <c r="D40" s="7"/>
      <c r="E40" s="7"/>
      <c r="F40" s="7"/>
      <c r="G40" s="7"/>
      <c r="H40" s="7"/>
      <c r="I40" s="57">
        <f t="shared" si="0"/>
        <v>0</v>
      </c>
      <c r="J40" s="61">
        <f t="shared" si="5"/>
        <v>0</v>
      </c>
    </row>
    <row r="41" spans="1:10" x14ac:dyDescent="0.25">
      <c r="A41" s="7" t="s">
        <v>54</v>
      </c>
      <c r="B41" s="7"/>
      <c r="C41" s="7"/>
      <c r="D41" s="7"/>
      <c r="E41" s="7"/>
      <c r="F41" s="7"/>
      <c r="G41" s="7"/>
      <c r="H41" s="7"/>
      <c r="I41" s="57">
        <f t="shared" si="0"/>
        <v>0</v>
      </c>
      <c r="J41" s="61">
        <f t="shared" si="5"/>
        <v>0</v>
      </c>
    </row>
    <row r="42" spans="1:10" x14ac:dyDescent="0.25">
      <c r="A42" s="7" t="s">
        <v>54</v>
      </c>
      <c r="B42" s="7"/>
      <c r="C42" s="7"/>
      <c r="D42" s="7"/>
      <c r="E42" s="7"/>
      <c r="F42" s="7"/>
      <c r="G42" s="7"/>
      <c r="H42" s="7"/>
      <c r="I42" s="57">
        <f t="shared" si="0"/>
        <v>0</v>
      </c>
      <c r="J42" s="61">
        <f t="shared" si="5"/>
        <v>0</v>
      </c>
    </row>
  </sheetData>
  <sortState xmlns:xlrd2="http://schemas.microsoft.com/office/spreadsheetml/2017/richdata2" ref="A25:H31">
    <sortCondition ref="A25:A31"/>
  </sortState>
  <mergeCells count="6">
    <mergeCell ref="A5:J5"/>
    <mergeCell ref="A23:J23"/>
    <mergeCell ref="D3:D4"/>
    <mergeCell ref="E3:G3"/>
    <mergeCell ref="A3:C3"/>
    <mergeCell ref="H3:J3"/>
  </mergeCells>
  <pageMargins left="0.7" right="0.7" top="0.75" bottom="0.75" header="0.3" footer="0.3"/>
  <pageSetup paperSize="256" orientation="portrait" verticalDpi="5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1020E3BC4D9E5946B8519EC903E1D2D8" ma:contentTypeVersion="15" ma:contentTypeDescription="Crear nuevo documento." ma:contentTypeScope="" ma:versionID="4719fff4955102ae711269344ae484da">
  <xsd:schema xmlns:xsd="http://www.w3.org/2001/XMLSchema" xmlns:xs="http://www.w3.org/2001/XMLSchema" xmlns:p="http://schemas.microsoft.com/office/2006/metadata/properties" xmlns:ns3="fa7e26b2-5651-4109-9bcc-4045094b0554" xmlns:ns4="485f0894-4906-4cf0-9a07-40bae8ee7744" targetNamespace="http://schemas.microsoft.com/office/2006/metadata/properties" ma:root="true" ma:fieldsID="fe73d84c0504b0bb90205ded51ea2971" ns3:_="" ns4:_="">
    <xsd:import namespace="fa7e26b2-5651-4109-9bcc-4045094b0554"/>
    <xsd:import namespace="485f0894-4906-4cf0-9a07-40bae8ee7744"/>
    <xsd:element name="properties">
      <xsd:complexType>
        <xsd:sequence>
          <xsd:element name="documentManagement">
            <xsd:complexType>
              <xsd:all>
                <xsd:element ref="ns3:SharedWithUsers" minOccurs="0"/>
                <xsd:element ref="ns3:SharedWithDetails" minOccurs="0"/>
                <xsd:element ref="ns3:SharingHintHash" minOccurs="0"/>
                <xsd:element ref="ns3:LastSharedByUser" minOccurs="0"/>
                <xsd:element ref="ns3:LastSharedByTime"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Location" minOccurs="0"/>
                <xsd:element ref="ns4:MediaServiceEventHashCode" minOccurs="0"/>
                <xsd:element ref="ns4:MediaServiceGenerationTim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7e26b2-5651-4109-9bcc-4045094b0554" elementFormDefault="qualified">
    <xsd:import namespace="http://schemas.microsoft.com/office/2006/documentManagement/types"/>
    <xsd:import namespace="http://schemas.microsoft.com/office/infopath/2007/PartnerControls"/>
    <xsd:element name="SharedWithUsers" ma:index="8" nillable="true" ma:displayName="Compartido con"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description="" ma:internalName="SharedWithDetails" ma:readOnly="true">
      <xsd:simpleType>
        <xsd:restriction base="dms:Note">
          <xsd:maxLength value="255"/>
        </xsd:restriction>
      </xsd:simpleType>
    </xsd:element>
    <xsd:element name="SharingHintHash" ma:index="10" nillable="true" ma:displayName="Hash de la sugerencia para compartir" ma:description="" ma:hidden="true" ma:internalName="SharingHintHash" ma:readOnly="true">
      <xsd:simpleType>
        <xsd:restriction base="dms:Text"/>
      </xsd:simpleType>
    </xsd:element>
    <xsd:element name="LastSharedByUser" ma:index="11" nillable="true" ma:displayName="Última vez que se compartió por usuario" ma:description="" ma:internalName="LastSharedByUser" ma:readOnly="true">
      <xsd:simpleType>
        <xsd:restriction base="dms:Note">
          <xsd:maxLength value="255"/>
        </xsd:restriction>
      </xsd:simpleType>
    </xsd:element>
    <xsd:element name="LastSharedByTime" ma:index="12" nillable="true" ma:displayName="Última vez que se compartió por hora"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485f0894-4906-4cf0-9a07-40bae8ee7744"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MediaServiceAutoTags" ma:internalName="MediaServiceAutoTags" ma:readOnly="true">
      <xsd:simpleType>
        <xsd:restriction base="dms:Text"/>
      </xsd:simpleType>
    </xsd:element>
    <xsd:element name="MediaServiceOCR" ma:index="17" nillable="true" ma:displayName="MediaServiceOCR" ma:internalName="MediaServiceOCR" ma:readOnly="true">
      <xsd:simpleType>
        <xsd:restriction base="dms:Note">
          <xsd:maxLength value="255"/>
        </xsd:restriction>
      </xsd:simpleType>
    </xsd:element>
    <xsd:element name="MediaServiceLocation" ma:index="18" nillable="true" ma:displayName="MediaServiceLocation" ma:internalName="MediaServiceLocation"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CB6D088-1A3F-4171-9C81-37185C34AB1D}">
  <ds:schemaRefs>
    <ds:schemaRef ds:uri="485f0894-4906-4cf0-9a07-40bae8ee7744"/>
    <ds:schemaRef ds:uri="http://schemas.openxmlformats.org/package/2006/metadata/core-properties"/>
    <ds:schemaRef ds:uri="http://schemas.microsoft.com/office/2006/documentManagement/types"/>
    <ds:schemaRef ds:uri="http://schemas.microsoft.com/office/2006/metadata/properties"/>
    <ds:schemaRef ds:uri="http://www.w3.org/XML/1998/namespace"/>
    <ds:schemaRef ds:uri="http://purl.org/dc/dcmitype/"/>
    <ds:schemaRef ds:uri="http://schemas.microsoft.com/office/infopath/2007/PartnerControls"/>
    <ds:schemaRef ds:uri="http://purl.org/dc/elements/1.1/"/>
    <ds:schemaRef ds:uri="http://purl.org/dc/terms/"/>
    <ds:schemaRef ds:uri="fa7e26b2-5651-4109-9bcc-4045094b0554"/>
  </ds:schemaRefs>
</ds:datastoreItem>
</file>

<file path=customXml/itemProps2.xml><?xml version="1.0" encoding="utf-8"?>
<ds:datastoreItem xmlns:ds="http://schemas.openxmlformats.org/officeDocument/2006/customXml" ds:itemID="{8BEEFDC4-F2F0-4E51-9615-F075E212C11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a7e26b2-5651-4109-9bcc-4045094b0554"/>
    <ds:schemaRef ds:uri="485f0894-4906-4cf0-9a07-40bae8ee774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DD60E12-C3D9-4D9D-AF2F-189F8D06D07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Funcionalización</vt:lpstr>
      <vt:lpstr>Geometria</vt:lpstr>
      <vt:lpstr>Sustratos</vt:lpstr>
      <vt:lpstr>Moleculas</vt:lpstr>
      <vt:lpstr>Moleculas1</vt:lpstr>
      <vt:lpstr>Moleculas2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Juliana Noguera</dc:creator>
  <cp:lastModifiedBy>johann osma</cp:lastModifiedBy>
  <cp:lastPrinted>2018-06-04T03:36:59Z</cp:lastPrinted>
  <dcterms:created xsi:type="dcterms:W3CDTF">2018-05-07T11:12:51Z</dcterms:created>
  <dcterms:modified xsi:type="dcterms:W3CDTF">2020-11-30T18:29:51Z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0x0101001020E3BC4D9E5946B8519EC903E1D2D8</vt:lpwstr>
  </property>
</Properties>
</file>