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data_analytics_research/shellbase_with_usc/data/nc/conditional_sampling_ncdmf/datasheets/"/>
    </mc:Choice>
  </mc:AlternateContent>
  <xr:revisionPtr revIDLastSave="0" documentId="13_ncr:1_{53DAE686-08AF-B74D-930B-7F3CDD9B08EC}" xr6:coauthVersionLast="46" xr6:coauthVersionMax="46" xr10:uidLastSave="{00000000-0000-0000-0000-000000000000}"/>
  <bookViews>
    <workbookView xWindow="7860" yWindow="500" windowWidth="14740" windowHeight="15280" xr2:uid="{00000000-000D-0000-FFFF-FFFF00000000}"/>
  </bookViews>
  <sheets>
    <sheet name="JAN '93 - JUN '05" sheetId="1" r:id="rId1"/>
    <sheet name="MAY  '05 ----&gt;" sheetId="2" r:id="rId2"/>
  </sheets>
  <definedNames>
    <definedName name="_Dist_Bin" hidden="1">'JAN ''93 - JUN ''05'!$I$26:$I$27</definedName>
    <definedName name="_Dist_Values" hidden="1">'JAN ''93 - JUN ''05'!$G$2:$G$21</definedName>
    <definedName name="_Fill" hidden="1">'JAN ''93 - JUN ''05'!$U$2:$U$12</definedName>
    <definedName name="_Key1" hidden="1">'JAN ''93 - JUN ''05'!$B$12</definedName>
    <definedName name="_Key2" hidden="1">'JAN ''93 - JUN ''05'!$C$12</definedName>
    <definedName name="_Order1" hidden="1">0</definedName>
    <definedName name="_Order2" hidden="1">255</definedName>
    <definedName name="_Sort" hidden="1">'JAN ''93 - JUN ''05'!$B$2:$H$1805</definedName>
    <definedName name="\E">'JAN ''93 - JUN ''05'!$F$597</definedName>
    <definedName name="\G">'JAN ''93 - JUN ''05'!$B$597</definedName>
    <definedName name="_xlnm.Print_Area" localSheetId="0">'JAN ''93 - JUN ''05'!$D$1:$IU$24</definedName>
    <definedName name="_xlnm.Print_Area" localSheetId="1">'MAY  ''05 ----&gt;'!$BJ$1:$CA$25</definedName>
    <definedName name="_xlnm.Print_Titles" localSheetId="0">'JAN ''93 - JUN ''05'!$B:$C</definedName>
    <definedName name="_xlnm.Print_Titles" localSheetId="1">'MAY  ''05 ----&gt;'!$B:$C</definedName>
    <definedName name="Print_Titles_MI" localSheetId="0">'JAN ''93 - JUN ''05'!$B:$C</definedName>
  </definedNames>
  <calcPr calcId="191029"/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Y1" i="1"/>
  <c r="EZ1" i="1"/>
  <c r="FA1" i="1"/>
  <c r="FB1" i="1"/>
  <c r="FC1" i="1"/>
  <c r="FD1" i="1"/>
  <c r="FE1" i="1"/>
  <c r="GW1" i="1"/>
  <c r="GY1" i="1"/>
  <c r="HA1" i="1"/>
  <c r="HT1" i="1"/>
  <c r="HU1" i="1"/>
  <c r="HV1" i="1"/>
  <c r="HW1" i="1"/>
  <c r="HX1" i="1"/>
  <c r="HY1" i="1"/>
  <c r="ID1" i="1"/>
  <c r="IE1" i="1"/>
  <c r="IF1" i="1"/>
  <c r="IG1" i="1"/>
  <c r="II1" i="1"/>
  <c r="IM1" i="1"/>
  <c r="IN1" i="1"/>
  <c r="IO1" i="1"/>
  <c r="IP1" i="1"/>
  <c r="IQ1" i="1"/>
  <c r="IV1" i="1"/>
  <c r="D1" i="2"/>
</calcChain>
</file>

<file path=xl/sharedStrings.xml><?xml version="1.0" encoding="utf-8"?>
<sst xmlns="http://schemas.openxmlformats.org/spreadsheetml/2006/main" count="79" uniqueCount="67">
  <si>
    <t>STATION</t>
  </si>
  <si>
    <t>NO.</t>
  </si>
  <si>
    <t>A</t>
  </si>
  <si>
    <t>B</t>
  </si>
  <si>
    <t>100 yd se closure line</t>
  </si>
  <si>
    <t>07/18/03</t>
  </si>
  <si>
    <t>08/12/03</t>
  </si>
  <si>
    <t>08/14/03</t>
  </si>
  <si>
    <t>07/17/03</t>
  </si>
  <si>
    <t>08/25/03</t>
  </si>
  <si>
    <t>08/29/03</t>
  </si>
  <si>
    <t>08/27/03</t>
  </si>
  <si>
    <t>07/29/03</t>
  </si>
  <si>
    <t>07/27/03</t>
  </si>
  <si>
    <t>08/20/03</t>
  </si>
  <si>
    <t>09/22/03</t>
  </si>
  <si>
    <t>09/24/03</t>
  </si>
  <si>
    <t>10/13/03</t>
  </si>
  <si>
    <t>10/15/03</t>
  </si>
  <si>
    <t>10/16/03</t>
  </si>
  <si>
    <t>10/17/03</t>
  </si>
  <si>
    <t>10/20/03</t>
  </si>
  <si>
    <t>10/21/03</t>
  </si>
  <si>
    <t>10/30/03</t>
  </si>
  <si>
    <t>11/3/03</t>
  </si>
  <si>
    <t>11/04/03</t>
  </si>
  <si>
    <t>11/05/03</t>
  </si>
  <si>
    <t>11/06/03</t>
  </si>
  <si>
    <t>11/07/03</t>
  </si>
  <si>
    <t>11/10/03</t>
  </si>
  <si>
    <t>11/21/03</t>
  </si>
  <si>
    <t>11/24/03</t>
  </si>
  <si>
    <t>11/25/03</t>
  </si>
  <si>
    <t>12/20/03</t>
  </si>
  <si>
    <t>12/15/03</t>
  </si>
  <si>
    <t>12/23/03</t>
  </si>
  <si>
    <t>12/27/03</t>
  </si>
  <si>
    <t>12/29/03</t>
  </si>
  <si>
    <t>12/30/03</t>
  </si>
  <si>
    <t>01/02/04</t>
  </si>
  <si>
    <t>03/17/04</t>
  </si>
  <si>
    <t>03/18/04</t>
  </si>
  <si>
    <t>03/19/04</t>
  </si>
  <si>
    <t>03/22/04</t>
  </si>
  <si>
    <t>04/05/04</t>
  </si>
  <si>
    <t>04/06/04</t>
  </si>
  <si>
    <t>04/12/04</t>
  </si>
  <si>
    <t>04/15/04</t>
  </si>
  <si>
    <t>04/18/04</t>
  </si>
  <si>
    <t>05/05/04</t>
  </si>
  <si>
    <t>05/06/04</t>
  </si>
  <si>
    <t>05/10/04</t>
  </si>
  <si>
    <t>06/01/04</t>
  </si>
  <si>
    <t>Goose House</t>
  </si>
  <si>
    <t>LA</t>
  </si>
  <si>
    <t>Shellrock</t>
  </si>
  <si>
    <t>Middle Cow Channel towards Ferry Landing</t>
  </si>
  <si>
    <t>Field Acc.</t>
  </si>
  <si>
    <t>1/2 way to Bear Inlet</t>
  </si>
  <si>
    <t>Sanders Creek</t>
  </si>
  <si>
    <t>NEW STATION</t>
  </si>
  <si>
    <t>C11</t>
  </si>
  <si>
    <t>C12</t>
  </si>
  <si>
    <t>C15</t>
  </si>
  <si>
    <t>C13</t>
  </si>
  <si>
    <t>C14</t>
  </si>
  <si>
    <t>C27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</si>
</sst>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"/>
    <numFmt numFmtId="165" formatCode="0.0"/>
    <numFmt numFmtId="166" formatCode="mm/dd/yy;@"/>
  </numFmts>
  <fonts count="4" x14ac:knownFonts="1">
    <font>
      <sz val="12"/>
      <name val="Arial"/>
    </font>
    <font>
      <b/>
      <sz val="12"/>
      <name val="Tahoma"/>
      <family val="2"/>
    </font>
    <font>
      <sz val="12"/>
      <name val="Tahoma"/>
      <family val="2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165" fontId="1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 applyProtection="1">
      <alignment horizontal="center"/>
    </xf>
    <xf numFmtId="165" fontId="1" fillId="0" borderId="1" xfId="0" applyNumberFormat="1" applyFont="1" applyBorder="1" applyAlignment="1">
      <alignment horizontal="center"/>
    </xf>
    <xf numFmtId="166" fontId="2" fillId="0" borderId="1" xfId="0" quotePrefix="1" applyNumberFormat="1" applyFont="1" applyBorder="1" applyAlignment="1" applyProtection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 applyProtection="1">
      <alignment horizontal="left"/>
    </xf>
    <xf numFmtId="0" fontId="2" fillId="0" borderId="0" xfId="0" applyFont="1" applyAlignment="1" applyProtection="1">
      <alignment horizontal="center"/>
    </xf>
    <xf numFmtId="0" fontId="2" fillId="0" borderId="0" xfId="0" applyFont="1" applyProtection="1"/>
    <xf numFmtId="0" fontId="2" fillId="0" borderId="0" xfId="0" applyFont="1"/>
    <xf numFmtId="166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 applyProtection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 applyProtection="1">
      <alignment horizontal="center"/>
    </xf>
    <xf numFmtId="165" fontId="1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transitionEntry="1" codeName="Sheet1"/>
  <dimension ref="A1:IW27"/>
  <sheetViews>
    <sheetView tabSelected="1" defaultGridColor="0" colorId="22" zoomScale="87" zoomScaleNormal="87" workbookViewId="0">
      <pane xSplit="3" topLeftCell="D1" activePane="topRight" state="frozen"/>
      <selection pane="topRight" activeCell="A2" sqref="A2"/>
    </sheetView>
  </sheetViews>
  <sheetFormatPr baseColWidth="10" defaultColWidth="8" defaultRowHeight="15" x14ac:dyDescent="0.15"/>
  <cols>
    <col min="1" max="1" width="12.140625" style="14" bestFit="1" customWidth="1"/>
    <col min="2" max="2" width="11" style="12" customWidth="1"/>
    <col min="3" max="3" width="4" style="13" customWidth="1"/>
    <col min="4" max="152" width="8" style="13" bestFit="1" customWidth="1"/>
    <col min="153" max="154" width="8" style="12" bestFit="1" customWidth="1"/>
    <col min="155" max="165" width="8" style="14" bestFit="1" customWidth="1"/>
    <col min="166" max="168" width="8" style="1" bestFit="1" customWidth="1"/>
    <col min="169" max="169" width="8" style="14" bestFit="1" customWidth="1"/>
    <col min="170" max="176" width="8" style="1" bestFit="1" customWidth="1"/>
    <col min="177" max="195" width="8" style="1" customWidth="1"/>
    <col min="196" max="196" width="7" style="1" customWidth="1"/>
    <col min="197" max="200" width="8" style="14" customWidth="1"/>
    <col min="201" max="201" width="8" style="1" customWidth="1"/>
    <col min="202" max="204" width="8" style="14" customWidth="1"/>
    <col min="205" max="205" width="8" style="14" bestFit="1" customWidth="1"/>
    <col min="206" max="206" width="8" style="14" customWidth="1"/>
    <col min="207" max="214" width="8" style="14" bestFit="1" customWidth="1"/>
    <col min="215" max="222" width="8" style="14" customWidth="1"/>
    <col min="223" max="223" width="8" style="1" customWidth="1"/>
    <col min="224" max="227" width="8" style="14" customWidth="1"/>
    <col min="228" max="228" width="8" style="14" bestFit="1"/>
    <col min="229" max="16384" width="8" style="14"/>
  </cols>
  <sheetData>
    <row r="1" spans="1:257" s="6" customFormat="1" x14ac:dyDescent="0.15">
      <c r="A1" s="6" t="s">
        <v>60</v>
      </c>
      <c r="B1" s="3" t="s">
        <v>0</v>
      </c>
      <c r="C1" s="3" t="s">
        <v>1</v>
      </c>
      <c r="D1" s="3">
        <f>DATE(93,1,15)</f>
        <v>33984</v>
      </c>
      <c r="E1" s="3">
        <f>DATE(93,1,21)</f>
        <v>33990</v>
      </c>
      <c r="F1" s="3">
        <f>DATE(93,2,9)</f>
        <v>34009</v>
      </c>
      <c r="G1" s="3">
        <f>DATE(93,2,15)</f>
        <v>34015</v>
      </c>
      <c r="H1" s="3">
        <f>DATE(93,2,18)</f>
        <v>34018</v>
      </c>
      <c r="I1" s="3">
        <f>DATE(93,3,16)</f>
        <v>34044</v>
      </c>
      <c r="J1" s="3">
        <f>DATE(93,3,29)</f>
        <v>34057</v>
      </c>
      <c r="K1" s="3">
        <f>DATE(93,4,1)</f>
        <v>34060</v>
      </c>
      <c r="L1" s="3">
        <f>DATE(93,4,9)</f>
        <v>34068</v>
      </c>
      <c r="M1" s="3">
        <f>DATE(93,7,6)</f>
        <v>34156</v>
      </c>
      <c r="N1" s="3">
        <f>DATE(93,7,26)</f>
        <v>34176</v>
      </c>
      <c r="O1" s="3">
        <f>DATE(93,8,2)</f>
        <v>34183</v>
      </c>
      <c r="P1" s="3">
        <f>DATE(93,8,19)</f>
        <v>34200</v>
      </c>
      <c r="Q1" s="3">
        <f>DATE(93,8,23)</f>
        <v>34204</v>
      </c>
      <c r="R1" s="3">
        <f>DATE(93,9,7)</f>
        <v>34219</v>
      </c>
      <c r="S1" s="3">
        <f>DATE(93,10,18)</f>
        <v>34260</v>
      </c>
      <c r="T1" s="3">
        <f>DATE(93,10,29)</f>
        <v>34271</v>
      </c>
      <c r="U1" s="3">
        <f>DATE(93,11,1)</f>
        <v>34274</v>
      </c>
      <c r="V1" s="3">
        <f>DATE(93,11,29)</f>
        <v>34302</v>
      </c>
      <c r="W1" s="3">
        <f>DATE(94,1,5)</f>
        <v>34339</v>
      </c>
      <c r="X1" s="3">
        <f>DATE(94,1,7)</f>
        <v>34341</v>
      </c>
      <c r="Y1" s="3">
        <f>DATE(94,1,18)</f>
        <v>34352</v>
      </c>
      <c r="Z1" s="3">
        <f>DATE(94,2,3)</f>
        <v>34368</v>
      </c>
      <c r="AA1" s="3">
        <f>DATE(94,3,6)</f>
        <v>34399</v>
      </c>
      <c r="AB1" s="3">
        <f>DATE(94,3,9)</f>
        <v>34402</v>
      </c>
      <c r="AC1" s="3">
        <f>DATE(94,8,17)</f>
        <v>34563</v>
      </c>
      <c r="AD1" s="3">
        <f>DATE(94,8,22)</f>
        <v>34568</v>
      </c>
      <c r="AE1" s="3">
        <f>DATE(94,9,14)</f>
        <v>34591</v>
      </c>
      <c r="AF1" s="3">
        <f>DATE(94,9,20)</f>
        <v>34597</v>
      </c>
      <c r="AG1" s="3">
        <f>DATE(94,10,18)</f>
        <v>34625</v>
      </c>
      <c r="AH1" s="3">
        <f>DATE(94,11,21)</f>
        <v>34659</v>
      </c>
      <c r="AI1" s="3">
        <f>DATE(94,11,30)</f>
        <v>34668</v>
      </c>
      <c r="AJ1" s="3">
        <f>DATE(94,12,1)</f>
        <v>34669</v>
      </c>
      <c r="AK1" s="3">
        <f>DATE(94,12,27)</f>
        <v>34695</v>
      </c>
      <c r="AL1" s="3">
        <f>DATE(94,12,29)</f>
        <v>34697</v>
      </c>
      <c r="AM1" s="3">
        <f>DATE(95,1,9)</f>
        <v>34708</v>
      </c>
      <c r="AN1" s="3">
        <f>DATE(95,1,12)</f>
        <v>34711</v>
      </c>
      <c r="AO1" s="3">
        <f>DATE(95,1,18)</f>
        <v>34717</v>
      </c>
      <c r="AP1" s="3">
        <f>DATE(95,1,23)</f>
        <v>34722</v>
      </c>
      <c r="AQ1" s="3">
        <f>DATE(95,1,25)</f>
        <v>34724</v>
      </c>
      <c r="AR1" s="3">
        <f>DATE(95,2,13)</f>
        <v>34743</v>
      </c>
      <c r="AS1" s="3">
        <f>DATE(95,2,21)</f>
        <v>34751</v>
      </c>
      <c r="AT1" s="3">
        <f>DATE(95,2,27)</f>
        <v>34757</v>
      </c>
      <c r="AU1" s="3">
        <f>DATE(95,6,9)</f>
        <v>34859</v>
      </c>
      <c r="AV1" s="3">
        <f>DATE(95,6,20)</f>
        <v>34870</v>
      </c>
      <c r="AW1" s="3">
        <f>DATE(95,8,28)</f>
        <v>34939</v>
      </c>
      <c r="AX1" s="3">
        <f>DATE(95,8,30)</f>
        <v>34941</v>
      </c>
      <c r="AY1" s="3">
        <f>DATE(95,9,12)</f>
        <v>34954</v>
      </c>
      <c r="AZ1" s="3">
        <f>DATE(95,9,28)</f>
        <v>34970</v>
      </c>
      <c r="BA1" s="3">
        <f>DATE(96,1,30)</f>
        <v>35094</v>
      </c>
      <c r="BB1" s="3">
        <f>DATE(96,2,2)</f>
        <v>35097</v>
      </c>
      <c r="BC1" s="3">
        <f>DATE(96,2,6)</f>
        <v>35101</v>
      </c>
      <c r="BD1" s="3">
        <f>DATE(96,4,2)</f>
        <v>35157</v>
      </c>
      <c r="BE1" s="3">
        <f>DATE(96,4,3)</f>
        <v>35158</v>
      </c>
      <c r="BF1" s="3">
        <f>DATE(96,5,13)</f>
        <v>35198</v>
      </c>
      <c r="BG1" s="3">
        <f>DATE(96,6,28)</f>
        <v>35244</v>
      </c>
      <c r="BH1" s="3">
        <f>DATE(96,7,19)</f>
        <v>35265</v>
      </c>
      <c r="BI1" s="3">
        <f>DATE(96,7,29)</f>
        <v>35275</v>
      </c>
      <c r="BJ1" s="3">
        <f>DATE(96,8,1)</f>
        <v>35278</v>
      </c>
      <c r="BK1" s="3">
        <f>DATE(96,8,5)</f>
        <v>35282</v>
      </c>
      <c r="BL1" s="3">
        <f>DATE(96,8,14)</f>
        <v>35291</v>
      </c>
      <c r="BM1" s="3">
        <f>DATE(96,8,19)</f>
        <v>35296</v>
      </c>
      <c r="BN1" s="3">
        <f>DATE(96,9,12)</f>
        <v>35320</v>
      </c>
      <c r="BO1" s="3">
        <f>DATE(96,9,19)</f>
        <v>35327</v>
      </c>
      <c r="BP1" s="3">
        <f>DATE(96,9,21)</f>
        <v>35329</v>
      </c>
      <c r="BQ1" s="3">
        <f>DATE(96,9,24)</f>
        <v>35332</v>
      </c>
      <c r="BR1" s="3">
        <f>DATE(96,9,25)</f>
        <v>35333</v>
      </c>
      <c r="BS1" s="3">
        <f>DATE(96,10,14)</f>
        <v>35352</v>
      </c>
      <c r="BT1" s="3">
        <f>DATE(96,12,2)</f>
        <v>35401</v>
      </c>
      <c r="BU1" s="3">
        <f>DATE(97,2,17)</f>
        <v>35478</v>
      </c>
      <c r="BV1" s="3">
        <f>DATE(97,2,20)</f>
        <v>35481</v>
      </c>
      <c r="BW1" s="3">
        <f>DATE(97,3,17)</f>
        <v>35506</v>
      </c>
      <c r="BX1" s="3">
        <f>DATE(97,4,30)</f>
        <v>35550</v>
      </c>
      <c r="BY1" s="3">
        <f>DATE(97,5,2)</f>
        <v>35552</v>
      </c>
      <c r="BZ1" s="3">
        <f>DATE(97,6,9)</f>
        <v>35590</v>
      </c>
      <c r="CA1" s="3">
        <f>DATE(97,7,28)</f>
        <v>35639</v>
      </c>
      <c r="CB1" s="3">
        <f>DATE(97,7,31)</f>
        <v>35642</v>
      </c>
      <c r="CC1" s="3">
        <f>DATE(97,9,14)</f>
        <v>35687</v>
      </c>
      <c r="CD1" s="3">
        <f>DATE(97,9,16)</f>
        <v>35689</v>
      </c>
      <c r="CE1" s="3">
        <f>DATE(97,9,18)</f>
        <v>35691</v>
      </c>
      <c r="CF1" s="3">
        <f>DATE(97,9,30)</f>
        <v>35703</v>
      </c>
      <c r="CG1" s="3">
        <f>DATE(97,11,3)</f>
        <v>35737</v>
      </c>
      <c r="CH1" s="3">
        <f>DATE(97,11,4)</f>
        <v>35738</v>
      </c>
      <c r="CI1" s="3">
        <f>DATE(97,12,2)</f>
        <v>35766</v>
      </c>
      <c r="CJ1" s="3">
        <f>DATE(97,12,4)</f>
        <v>35768</v>
      </c>
      <c r="CK1" s="3">
        <f>DATE(97,12,7)</f>
        <v>35771</v>
      </c>
      <c r="CL1" s="3">
        <f>DATE(97,12,10)</f>
        <v>35774</v>
      </c>
      <c r="CM1" s="3">
        <f>DATE(98,1,30)</f>
        <v>35825</v>
      </c>
      <c r="CN1" s="3">
        <f>DATE(98,2,9)</f>
        <v>35835</v>
      </c>
      <c r="CO1" s="3">
        <f>DATE(98,2,11)</f>
        <v>35837</v>
      </c>
      <c r="CP1" s="3">
        <f>DATE(98,2,13)</f>
        <v>35839</v>
      </c>
      <c r="CQ1" s="3">
        <f>DATE(98,2,19)</f>
        <v>35845</v>
      </c>
      <c r="CR1" s="3">
        <f>DATE(98,2,22)</f>
        <v>35848</v>
      </c>
      <c r="CS1" s="3">
        <f>DATE(98,2,24)</f>
        <v>35850</v>
      </c>
      <c r="CT1" s="3">
        <f>DATE(98,2,26)</f>
        <v>35852</v>
      </c>
      <c r="CU1" s="3">
        <f>DATE(98,5,4)</f>
        <v>35919</v>
      </c>
      <c r="CV1" s="3">
        <f>DATE(98,5,7)</f>
        <v>35922</v>
      </c>
      <c r="CW1" s="3">
        <f>DATE(98,5,12)</f>
        <v>35927</v>
      </c>
      <c r="CX1" s="3">
        <f>DATE(98,7,20)</f>
        <v>35996</v>
      </c>
      <c r="CY1" s="3">
        <f>DATE(98,8,3)</f>
        <v>36010</v>
      </c>
      <c r="CZ1" s="3">
        <f>DATE(98,9,1)</f>
        <v>36039</v>
      </c>
      <c r="DA1" s="3">
        <f>DATE(98,9,3)</f>
        <v>36041</v>
      </c>
      <c r="DB1" s="3">
        <f>DATE(98,9,8)</f>
        <v>36046</v>
      </c>
      <c r="DC1" s="3">
        <f>DATE(98,12,30)</f>
        <v>36159</v>
      </c>
      <c r="DD1" s="3">
        <f>DATE(99,1,5)</f>
        <v>36165</v>
      </c>
      <c r="DE1" s="3">
        <f>DATE(99,5,5)</f>
        <v>36285</v>
      </c>
      <c r="DF1" s="3">
        <f>DATE(99,6,22)</f>
        <v>36333</v>
      </c>
      <c r="DG1" s="3">
        <f>DATE(99,6,24)</f>
        <v>36335</v>
      </c>
      <c r="DH1" s="3">
        <f>DATE(99,9,3)</f>
        <v>36406</v>
      </c>
      <c r="DI1" s="3">
        <f>DATE(99,9,8)</f>
        <v>36411</v>
      </c>
      <c r="DJ1" s="3">
        <f>DATE(99,9,13)</f>
        <v>36416</v>
      </c>
      <c r="DK1" s="3">
        <f>DATE(99,10,6)</f>
        <v>36439</v>
      </c>
      <c r="DL1" s="3">
        <f>DATE(99,10,11)</f>
        <v>36444</v>
      </c>
      <c r="DM1" s="3">
        <f>DATE(99,10,20)</f>
        <v>36453</v>
      </c>
      <c r="DN1" s="3">
        <f>DATE(99,10,25)</f>
        <v>36458</v>
      </c>
      <c r="DO1" s="3">
        <f>DATE(99,11,3)</f>
        <v>36467</v>
      </c>
      <c r="DP1" s="3">
        <f>DATE(99,11,7)</f>
        <v>36471</v>
      </c>
      <c r="DQ1" s="3">
        <f>DATE(2000,1,27)</f>
        <v>36552</v>
      </c>
      <c r="DR1" s="3">
        <f>DATE(2000,1,31)</f>
        <v>36556</v>
      </c>
      <c r="DS1" s="3">
        <f>DATE(2000,3,23)</f>
        <v>36608</v>
      </c>
      <c r="DT1" s="3">
        <f>DATE(2000,3,28)</f>
        <v>36613</v>
      </c>
      <c r="DU1" s="3">
        <f>DATE(2000,4,18)</f>
        <v>36634</v>
      </c>
      <c r="DV1" s="3">
        <f>DATE(2000,4,20)</f>
        <v>36636</v>
      </c>
      <c r="DW1" s="3">
        <f>DATE(2000,5,24)</f>
        <v>36670</v>
      </c>
      <c r="DX1" s="3">
        <f>DATE(2000,7,24)</f>
        <v>36731</v>
      </c>
      <c r="DY1" s="3">
        <f>DATE(2000,7,28)</f>
        <v>36735</v>
      </c>
      <c r="DZ1" s="3">
        <f>DATE(2000,8,7)</f>
        <v>36745</v>
      </c>
      <c r="EA1" s="3">
        <f>DATE(2000,8,31)</f>
        <v>36769</v>
      </c>
      <c r="EB1" s="3">
        <f>DATE(2000,9,8)</f>
        <v>36777</v>
      </c>
      <c r="EC1" s="3">
        <f>DATE(2000,9,11)</f>
        <v>36780</v>
      </c>
      <c r="ED1" s="3">
        <f>DATE(2000,9,21)</f>
        <v>36790</v>
      </c>
      <c r="EE1" s="3">
        <f>DATE(2000,9,25)</f>
        <v>36794</v>
      </c>
      <c r="EF1" s="3">
        <f>DATE(2000,9,27)</f>
        <v>36796</v>
      </c>
      <c r="EG1" s="3">
        <f>DATE(2000,9,29)</f>
        <v>36798</v>
      </c>
      <c r="EH1" s="3">
        <f>DATE(2000,11,28)</f>
        <v>36858</v>
      </c>
      <c r="EI1" s="3">
        <f>DATE(2000,11,30)</f>
        <v>36860</v>
      </c>
      <c r="EJ1" s="3">
        <f>DATE(2000,12,1)</f>
        <v>36861</v>
      </c>
      <c r="EK1" s="3">
        <f>DATE(2000,12,5)</f>
        <v>36865</v>
      </c>
      <c r="EL1" s="3">
        <f>DATE(2000,12,7)</f>
        <v>36867</v>
      </c>
      <c r="EM1" s="3">
        <f>DATE(2001,3,22)</f>
        <v>36972</v>
      </c>
      <c r="EN1" s="3">
        <f>DATE(2001,3,26)</f>
        <v>36976</v>
      </c>
      <c r="EO1" s="3">
        <f>DATE(2001,7,9)</f>
        <v>37081</v>
      </c>
      <c r="EP1" s="3">
        <f>DATE(2001,8,16)</f>
        <v>37119</v>
      </c>
      <c r="EQ1" s="3">
        <f>DATE(2001,8,21)</f>
        <v>37124</v>
      </c>
      <c r="ER1" s="3">
        <f>DATE(2002,2,10)</f>
        <v>37297</v>
      </c>
      <c r="ES1" s="3">
        <f>DATE(2002,3,5)</f>
        <v>37320</v>
      </c>
      <c r="ET1" s="3">
        <f>DATE(2002,3,7)</f>
        <v>37322</v>
      </c>
      <c r="EU1" s="3">
        <f>DATE(2002,3,17)</f>
        <v>37332</v>
      </c>
      <c r="EV1" s="3">
        <f>DATE(2002,5,6)</f>
        <v>37382</v>
      </c>
      <c r="EW1" s="3">
        <v>37383</v>
      </c>
      <c r="EX1" s="3">
        <v>37424</v>
      </c>
      <c r="EY1" s="3">
        <f>DATE(2002,7,12)</f>
        <v>37449</v>
      </c>
      <c r="EZ1" s="3">
        <f>DATE(2002,7,15)</f>
        <v>37452</v>
      </c>
      <c r="FA1" s="3">
        <f>DATE(2002,9,3)</f>
        <v>37502</v>
      </c>
      <c r="FB1" s="3">
        <f>DATE(2002,9,4)</f>
        <v>37503</v>
      </c>
      <c r="FC1" s="3">
        <f>DATE(2002,10,14)</f>
        <v>37543</v>
      </c>
      <c r="FD1" s="3">
        <f>DATE(2002,10,16)</f>
        <v>37545</v>
      </c>
      <c r="FE1" s="3">
        <f>DATE(2002,10,18)</f>
        <v>37547</v>
      </c>
      <c r="FF1" s="3">
        <v>37685</v>
      </c>
      <c r="FG1" s="3">
        <v>37689</v>
      </c>
      <c r="FH1" s="3">
        <v>37691</v>
      </c>
      <c r="FI1" s="3">
        <v>37692</v>
      </c>
      <c r="FJ1" s="3">
        <v>37703</v>
      </c>
      <c r="FK1" s="3">
        <v>37704</v>
      </c>
      <c r="FL1" s="3">
        <v>37706</v>
      </c>
      <c r="FM1" s="3">
        <v>37725</v>
      </c>
      <c r="FN1" s="3">
        <v>37726</v>
      </c>
      <c r="FO1" s="3">
        <v>37727</v>
      </c>
      <c r="FP1" s="3">
        <v>37769</v>
      </c>
      <c r="FQ1" s="3">
        <v>37774</v>
      </c>
      <c r="FR1" s="3">
        <v>37775</v>
      </c>
      <c r="FS1" s="3">
        <v>37794</v>
      </c>
      <c r="FT1" s="3">
        <v>37817</v>
      </c>
      <c r="FU1" s="5" t="s">
        <v>8</v>
      </c>
      <c r="FV1" s="5" t="s">
        <v>5</v>
      </c>
      <c r="FW1" s="5" t="s">
        <v>13</v>
      </c>
      <c r="FX1" s="5" t="s">
        <v>12</v>
      </c>
      <c r="FY1" s="5" t="s">
        <v>6</v>
      </c>
      <c r="FZ1" s="5" t="s">
        <v>7</v>
      </c>
      <c r="GA1" s="5" t="s">
        <v>14</v>
      </c>
      <c r="GB1" s="5" t="s">
        <v>9</v>
      </c>
      <c r="GC1" s="5" t="s">
        <v>11</v>
      </c>
      <c r="GD1" s="5" t="s">
        <v>10</v>
      </c>
      <c r="GE1" s="5" t="s">
        <v>15</v>
      </c>
      <c r="GF1" s="5" t="s">
        <v>16</v>
      </c>
      <c r="GG1" s="5" t="s">
        <v>17</v>
      </c>
      <c r="GH1" s="5" t="s">
        <v>18</v>
      </c>
      <c r="GI1" s="5" t="s">
        <v>19</v>
      </c>
      <c r="GJ1" s="5" t="s">
        <v>20</v>
      </c>
      <c r="GK1" s="5" t="s">
        <v>21</v>
      </c>
      <c r="GL1" s="5" t="s">
        <v>22</v>
      </c>
      <c r="GM1" s="5" t="s">
        <v>23</v>
      </c>
      <c r="GN1" s="5" t="s">
        <v>24</v>
      </c>
      <c r="GO1" s="5" t="s">
        <v>25</v>
      </c>
      <c r="GP1" s="5" t="s">
        <v>26</v>
      </c>
      <c r="GQ1" s="5" t="s">
        <v>27</v>
      </c>
      <c r="GR1" s="5" t="s">
        <v>28</v>
      </c>
      <c r="GS1" s="5" t="s">
        <v>29</v>
      </c>
      <c r="GT1" s="5" t="s">
        <v>30</v>
      </c>
      <c r="GU1" s="5" t="s">
        <v>31</v>
      </c>
      <c r="GV1" s="5" t="s">
        <v>32</v>
      </c>
      <c r="GW1" s="5">
        <f>DATE(2003,12,12)</f>
        <v>37967</v>
      </c>
      <c r="GX1" s="5" t="s">
        <v>34</v>
      </c>
      <c r="GY1" s="5">
        <f>DATE(2004,12,18)</f>
        <v>38339</v>
      </c>
      <c r="GZ1" s="5" t="s">
        <v>33</v>
      </c>
      <c r="HA1" s="3">
        <f>DATE(2003,12,22)</f>
        <v>37977</v>
      </c>
      <c r="HB1" s="5" t="s">
        <v>35</v>
      </c>
      <c r="HC1" s="5" t="s">
        <v>36</v>
      </c>
      <c r="HD1" s="5" t="s">
        <v>37</v>
      </c>
      <c r="HE1" s="5" t="s">
        <v>38</v>
      </c>
      <c r="HF1" s="5" t="s">
        <v>39</v>
      </c>
      <c r="HG1" s="5" t="s">
        <v>40</v>
      </c>
      <c r="HH1" s="5" t="s">
        <v>41</v>
      </c>
      <c r="HI1" s="5" t="s">
        <v>42</v>
      </c>
      <c r="HJ1" s="5" t="s">
        <v>43</v>
      </c>
      <c r="HK1" s="5" t="s">
        <v>44</v>
      </c>
      <c r="HL1" s="5" t="s">
        <v>45</v>
      </c>
      <c r="HM1" s="5" t="s">
        <v>46</v>
      </c>
      <c r="HN1" s="5" t="s">
        <v>47</v>
      </c>
      <c r="HO1" s="5" t="s">
        <v>48</v>
      </c>
      <c r="HP1" s="5" t="s">
        <v>49</v>
      </c>
      <c r="HQ1" s="5" t="s">
        <v>50</v>
      </c>
      <c r="HR1" s="5" t="s">
        <v>51</v>
      </c>
      <c r="HS1" s="5" t="s">
        <v>52</v>
      </c>
      <c r="HT1" s="3">
        <f>DATE(4,6,3)</f>
        <v>1616</v>
      </c>
      <c r="HU1" s="3">
        <f>DATE(4,6,13)</f>
        <v>1626</v>
      </c>
      <c r="HV1" s="3">
        <f>DATE(4,6,14)</f>
        <v>1627</v>
      </c>
      <c r="HW1" s="3">
        <f>DATE(2004,7,26)</f>
        <v>38194</v>
      </c>
      <c r="HX1" s="3">
        <f>DATE(2004,7,31)</f>
        <v>38199</v>
      </c>
      <c r="HY1" s="3">
        <f>DATE(2004,8,5)</f>
        <v>38204</v>
      </c>
      <c r="HZ1" s="3">
        <v>38207</v>
      </c>
      <c r="IA1" s="3">
        <v>38209</v>
      </c>
      <c r="IB1" s="3">
        <v>38216</v>
      </c>
      <c r="IC1" s="3">
        <v>38218</v>
      </c>
      <c r="ID1" s="3">
        <f>DATE(2004,8,21)</f>
        <v>38220</v>
      </c>
      <c r="IE1" s="3">
        <f>DATE(2004,8,23)</f>
        <v>38222</v>
      </c>
      <c r="IF1" s="3">
        <f>DATE(2004,8,24)</f>
        <v>38223</v>
      </c>
      <c r="IG1" s="3">
        <f>DATE(2004,8,25)</f>
        <v>38224</v>
      </c>
      <c r="IH1" s="3">
        <v>38230</v>
      </c>
      <c r="II1" s="3">
        <f>DATE(2004,9,4)</f>
        <v>38234</v>
      </c>
      <c r="IJ1" s="3">
        <v>38238</v>
      </c>
      <c r="IK1" s="3">
        <v>38243</v>
      </c>
      <c r="IL1" s="3">
        <v>38246</v>
      </c>
      <c r="IM1" s="3">
        <f>DATE(2004,9,20)</f>
        <v>38250</v>
      </c>
      <c r="IN1" s="3">
        <f>DATE(2004,9,21)</f>
        <v>38251</v>
      </c>
      <c r="IO1" s="3">
        <f>DATE(2004,9,23)</f>
        <v>38253</v>
      </c>
      <c r="IP1" s="3">
        <f>DATE(2004,9,29)</f>
        <v>38259</v>
      </c>
      <c r="IQ1" s="3">
        <f>DATE(2004,10,4)</f>
        <v>38264</v>
      </c>
      <c r="IR1" s="3">
        <v>38448</v>
      </c>
      <c r="IS1" s="3">
        <v>38481</v>
      </c>
      <c r="IT1" s="3">
        <v>38482</v>
      </c>
      <c r="IU1" s="3">
        <v>38483</v>
      </c>
      <c r="IV1" s="3">
        <f>DATE(2005,5,12)</f>
        <v>38484</v>
      </c>
      <c r="IW1" s="3">
        <v>38508</v>
      </c>
    </row>
    <row r="2" spans="1:257" s="7" customFormat="1" x14ac:dyDescent="0.15">
      <c r="B2" s="7">
        <v>19</v>
      </c>
      <c r="C2" s="8"/>
      <c r="D2" s="8">
        <v>49</v>
      </c>
      <c r="E2" s="8">
        <v>22</v>
      </c>
      <c r="F2" s="8"/>
      <c r="G2" s="8"/>
      <c r="H2" s="8"/>
      <c r="I2" s="8">
        <v>20</v>
      </c>
      <c r="J2" s="8">
        <v>130</v>
      </c>
      <c r="K2" s="8">
        <v>49</v>
      </c>
      <c r="L2" s="8">
        <v>7.8</v>
      </c>
      <c r="M2" s="8">
        <v>2</v>
      </c>
      <c r="N2" s="8">
        <v>33</v>
      </c>
      <c r="O2" s="8">
        <v>2</v>
      </c>
      <c r="P2" s="8">
        <v>1.7</v>
      </c>
      <c r="Q2" s="8">
        <v>1.7</v>
      </c>
      <c r="R2" s="8">
        <v>1.7</v>
      </c>
      <c r="S2" s="8">
        <v>17</v>
      </c>
      <c r="T2" s="8">
        <v>1.7</v>
      </c>
      <c r="U2" s="8">
        <v>4</v>
      </c>
      <c r="V2" s="8"/>
      <c r="W2" s="8">
        <v>70</v>
      </c>
      <c r="X2" s="8">
        <v>4</v>
      </c>
      <c r="Y2" s="8">
        <v>6.8</v>
      </c>
      <c r="Z2" s="8">
        <v>1.8</v>
      </c>
      <c r="AA2" s="8">
        <v>130</v>
      </c>
      <c r="AB2" s="8">
        <v>17</v>
      </c>
      <c r="AC2" s="8">
        <v>49</v>
      </c>
      <c r="AD2" s="8">
        <v>13</v>
      </c>
      <c r="AE2" s="8">
        <v>2</v>
      </c>
      <c r="AF2" s="8">
        <v>7.8</v>
      </c>
      <c r="AG2" s="8">
        <v>6.1</v>
      </c>
      <c r="AH2" s="8">
        <v>2</v>
      </c>
      <c r="AI2" s="8">
        <v>17</v>
      </c>
      <c r="AJ2" s="8">
        <v>11</v>
      </c>
      <c r="AK2" s="8">
        <v>70</v>
      </c>
      <c r="AL2" s="8">
        <v>13</v>
      </c>
      <c r="AM2" s="8">
        <v>240</v>
      </c>
      <c r="AN2" s="8">
        <v>13</v>
      </c>
      <c r="AO2" s="8">
        <v>33</v>
      </c>
      <c r="AP2" s="8">
        <v>79</v>
      </c>
      <c r="AQ2" s="8">
        <v>33</v>
      </c>
      <c r="AR2" s="8">
        <v>22</v>
      </c>
      <c r="AS2" s="8"/>
      <c r="AT2" s="8"/>
      <c r="AU2" s="8">
        <v>4</v>
      </c>
      <c r="AV2" s="8">
        <v>17</v>
      </c>
      <c r="AW2" s="8">
        <v>26</v>
      </c>
      <c r="AX2" s="8">
        <v>7.8</v>
      </c>
      <c r="AY2" s="8">
        <v>2</v>
      </c>
      <c r="AZ2" s="8"/>
      <c r="BA2" s="8">
        <v>23</v>
      </c>
      <c r="BB2" s="8">
        <v>4.5</v>
      </c>
      <c r="BC2" s="8">
        <v>4.5</v>
      </c>
      <c r="BD2" s="8"/>
      <c r="BE2" s="8"/>
      <c r="BF2" s="8">
        <v>7.8</v>
      </c>
      <c r="BG2" s="8">
        <v>7.8</v>
      </c>
      <c r="BH2" s="8">
        <v>7.8</v>
      </c>
      <c r="BI2" s="8">
        <v>49</v>
      </c>
      <c r="BJ2" s="8">
        <v>4.5</v>
      </c>
      <c r="BK2" s="8">
        <v>33</v>
      </c>
      <c r="BL2" s="8">
        <v>8.1999999999999993</v>
      </c>
      <c r="BM2" s="8">
        <v>4</v>
      </c>
      <c r="BN2" s="8">
        <v>79</v>
      </c>
      <c r="BO2" s="8">
        <v>23</v>
      </c>
      <c r="BP2" s="8">
        <v>7.8</v>
      </c>
      <c r="BQ2" s="8">
        <v>33</v>
      </c>
      <c r="BR2" s="8">
        <v>23</v>
      </c>
      <c r="BS2" s="8">
        <v>6.8</v>
      </c>
      <c r="BT2" s="8">
        <v>130</v>
      </c>
      <c r="BU2" s="8">
        <v>33</v>
      </c>
      <c r="BV2" s="8">
        <v>1.7</v>
      </c>
      <c r="BW2" s="8">
        <v>4</v>
      </c>
      <c r="BX2" s="8">
        <v>13</v>
      </c>
      <c r="BY2" s="8"/>
      <c r="BZ2" s="8"/>
      <c r="CA2" s="8">
        <v>1.7</v>
      </c>
      <c r="CB2" s="8">
        <v>7.8</v>
      </c>
      <c r="CC2" s="8">
        <v>23</v>
      </c>
      <c r="CD2" s="8"/>
      <c r="CE2" s="8">
        <v>4.5</v>
      </c>
      <c r="CF2" s="8">
        <v>1.8</v>
      </c>
      <c r="CG2" s="8">
        <v>7.8</v>
      </c>
      <c r="CH2" s="8">
        <v>2</v>
      </c>
      <c r="CI2" s="8">
        <v>49</v>
      </c>
      <c r="CJ2" s="8">
        <v>6.8</v>
      </c>
      <c r="CK2" s="8"/>
      <c r="CL2" s="8"/>
      <c r="CM2" s="8">
        <v>4</v>
      </c>
      <c r="CN2" s="8">
        <v>6.8</v>
      </c>
      <c r="CO2" s="8"/>
      <c r="CP2" s="8"/>
      <c r="CQ2" s="8">
        <v>350</v>
      </c>
      <c r="CR2" s="8">
        <v>46</v>
      </c>
      <c r="CS2" s="8">
        <v>17</v>
      </c>
      <c r="CT2" s="8">
        <v>7.8</v>
      </c>
      <c r="CU2" s="8">
        <v>4</v>
      </c>
      <c r="CV2" s="8"/>
      <c r="CW2" s="8">
        <v>7.8</v>
      </c>
      <c r="CX2" s="8"/>
      <c r="CY2" s="8">
        <v>4.5</v>
      </c>
      <c r="CZ2" s="8">
        <v>130</v>
      </c>
      <c r="DA2" s="8">
        <v>79</v>
      </c>
      <c r="DB2" s="8">
        <v>4.5</v>
      </c>
      <c r="DC2" s="8"/>
      <c r="DD2" s="8"/>
      <c r="DE2" s="8">
        <v>1.7</v>
      </c>
      <c r="DF2" s="8"/>
      <c r="DG2" s="8"/>
      <c r="DH2" s="8">
        <v>2</v>
      </c>
      <c r="DI2" s="8"/>
      <c r="DJ2" s="8">
        <v>1.7</v>
      </c>
      <c r="DK2" s="8"/>
      <c r="DL2" s="8">
        <v>2</v>
      </c>
      <c r="DM2" s="8">
        <v>130</v>
      </c>
      <c r="DN2" s="8"/>
      <c r="DO2" s="8"/>
      <c r="DP2" s="8">
        <v>1.7</v>
      </c>
      <c r="DQ2" s="8">
        <v>49</v>
      </c>
      <c r="DR2" s="8">
        <v>23</v>
      </c>
      <c r="DS2" s="8">
        <v>1.8</v>
      </c>
      <c r="DT2" s="8"/>
      <c r="DU2" s="8">
        <v>4.5</v>
      </c>
      <c r="DV2" s="8">
        <v>7.8</v>
      </c>
      <c r="DW2" s="8">
        <v>2</v>
      </c>
      <c r="DX2" s="8"/>
      <c r="DY2" s="8">
        <v>4.5</v>
      </c>
      <c r="DZ2" s="8">
        <v>23</v>
      </c>
      <c r="EA2" s="8">
        <v>70</v>
      </c>
      <c r="EB2" s="8"/>
      <c r="EC2" s="8">
        <v>6.8</v>
      </c>
      <c r="ED2" s="8">
        <v>240</v>
      </c>
      <c r="EE2" s="8">
        <v>79</v>
      </c>
      <c r="EF2" s="8">
        <v>2</v>
      </c>
      <c r="EG2" s="8"/>
      <c r="EH2" s="8">
        <v>33</v>
      </c>
      <c r="EI2" s="8">
        <v>2</v>
      </c>
      <c r="EJ2" s="8"/>
      <c r="EK2" s="8"/>
      <c r="EL2" s="8"/>
      <c r="EM2" s="8">
        <v>49</v>
      </c>
      <c r="EN2" s="8">
        <v>1.7</v>
      </c>
      <c r="EO2" s="8">
        <v>1.8</v>
      </c>
      <c r="EP2" s="8">
        <v>6.8</v>
      </c>
      <c r="EQ2" s="8">
        <v>1.7</v>
      </c>
      <c r="ER2" s="8"/>
      <c r="ES2" s="8"/>
      <c r="ET2" s="8"/>
      <c r="EU2" s="8">
        <v>4</v>
      </c>
      <c r="EV2" s="8"/>
      <c r="EW2" s="9"/>
      <c r="EX2" s="9">
        <v>1.8</v>
      </c>
      <c r="EY2" s="8"/>
      <c r="EZ2" s="8">
        <v>6.8</v>
      </c>
      <c r="FA2" s="8">
        <v>17</v>
      </c>
      <c r="FB2" s="8"/>
      <c r="FC2" s="8"/>
      <c r="FD2" s="8">
        <v>23</v>
      </c>
      <c r="FE2" s="8">
        <v>2</v>
      </c>
      <c r="FF2" s="8">
        <v>1.7</v>
      </c>
      <c r="FG2" s="8">
        <v>49</v>
      </c>
      <c r="FH2" s="8">
        <v>11</v>
      </c>
      <c r="FI2" s="8">
        <v>6.8</v>
      </c>
      <c r="FJ2" s="8"/>
      <c r="FK2" s="8">
        <v>23</v>
      </c>
      <c r="FL2" s="8">
        <v>11</v>
      </c>
      <c r="FM2" s="8">
        <v>23</v>
      </c>
      <c r="FN2" s="8">
        <v>6.1</v>
      </c>
      <c r="FO2" s="8"/>
      <c r="FP2" s="8"/>
      <c r="FQ2" s="8">
        <v>1.7</v>
      </c>
      <c r="FR2" s="8"/>
      <c r="FS2" s="8">
        <v>6.8</v>
      </c>
      <c r="FT2" s="8"/>
      <c r="FU2" s="8">
        <v>2</v>
      </c>
      <c r="FV2" s="8"/>
      <c r="FW2" s="8">
        <v>130</v>
      </c>
      <c r="FX2" s="8"/>
      <c r="FY2" s="8"/>
      <c r="FZ2" s="8">
        <v>1.7</v>
      </c>
      <c r="GA2" s="8">
        <v>23</v>
      </c>
      <c r="GB2" s="8"/>
      <c r="GC2" s="8"/>
      <c r="GD2" s="8"/>
      <c r="GE2" s="8">
        <v>33</v>
      </c>
      <c r="GF2" s="8">
        <v>4.5</v>
      </c>
      <c r="GG2" s="8">
        <v>17</v>
      </c>
      <c r="GH2" s="8">
        <v>49</v>
      </c>
      <c r="GI2" s="8">
        <v>11</v>
      </c>
      <c r="GJ2" s="10">
        <v>33</v>
      </c>
      <c r="GK2" s="10"/>
      <c r="GL2" s="10"/>
      <c r="GM2" s="10">
        <v>4.5</v>
      </c>
      <c r="GN2" s="10">
        <v>49</v>
      </c>
      <c r="GO2" s="10">
        <v>11</v>
      </c>
      <c r="GP2" s="10">
        <v>17</v>
      </c>
      <c r="GQ2" s="10">
        <v>13</v>
      </c>
      <c r="GR2" s="10">
        <v>79</v>
      </c>
      <c r="GS2" s="10">
        <v>17</v>
      </c>
      <c r="GT2" s="10">
        <v>130</v>
      </c>
      <c r="GU2" s="10">
        <v>4.5</v>
      </c>
      <c r="GV2" s="10"/>
      <c r="GW2" s="10">
        <v>130</v>
      </c>
      <c r="GX2" s="10">
        <v>540</v>
      </c>
      <c r="GY2" s="10">
        <v>33</v>
      </c>
      <c r="GZ2" s="10">
        <v>33</v>
      </c>
      <c r="HA2" s="10">
        <v>1.7</v>
      </c>
      <c r="HB2" s="10"/>
      <c r="HC2" s="10">
        <v>2</v>
      </c>
      <c r="HD2" s="10">
        <v>13</v>
      </c>
      <c r="HE2" s="10"/>
      <c r="HF2" s="10"/>
      <c r="HG2" s="10"/>
      <c r="HH2" s="10"/>
      <c r="HI2" s="10"/>
      <c r="HJ2" s="10"/>
      <c r="HK2" s="10"/>
      <c r="HL2" s="10"/>
      <c r="HM2" s="10"/>
      <c r="HN2" s="10">
        <v>49</v>
      </c>
      <c r="HO2" s="10">
        <v>4.5</v>
      </c>
      <c r="HP2" s="10"/>
      <c r="HQ2" s="10"/>
      <c r="HS2" s="10"/>
      <c r="HT2" s="2"/>
      <c r="HU2" s="10"/>
      <c r="HV2" s="10"/>
      <c r="HW2" s="10"/>
      <c r="HX2" s="10"/>
      <c r="HY2" s="10">
        <v>7.8</v>
      </c>
      <c r="HZ2" s="10"/>
      <c r="IA2" s="10"/>
      <c r="IB2" s="10">
        <v>23</v>
      </c>
      <c r="IC2" s="10">
        <v>2</v>
      </c>
      <c r="ID2" s="10"/>
      <c r="IE2" s="10"/>
      <c r="IF2" s="10"/>
      <c r="IG2" s="10"/>
      <c r="IH2" s="10"/>
      <c r="II2" s="10">
        <v>23</v>
      </c>
      <c r="IJ2" s="10">
        <v>79</v>
      </c>
      <c r="IK2" s="10">
        <v>1.7</v>
      </c>
      <c r="IL2" s="10">
        <v>1.7</v>
      </c>
      <c r="IM2" s="10">
        <v>23</v>
      </c>
      <c r="IN2" s="10">
        <v>11</v>
      </c>
      <c r="IO2" s="10"/>
      <c r="IP2" s="10"/>
      <c r="IQ2" s="10"/>
      <c r="IR2" s="10"/>
      <c r="IS2" s="10">
        <v>7.8</v>
      </c>
      <c r="IT2" s="10"/>
      <c r="IU2" s="10"/>
      <c r="IV2" s="10"/>
      <c r="IW2" s="10"/>
    </row>
    <row r="3" spans="1:257" s="7" customFormat="1" x14ac:dyDescent="0.15">
      <c r="B3" s="7">
        <v>25</v>
      </c>
      <c r="C3" s="8"/>
      <c r="D3" s="8">
        <v>540</v>
      </c>
      <c r="E3" s="8">
        <v>4.5</v>
      </c>
      <c r="F3" s="8"/>
      <c r="G3" s="8"/>
      <c r="H3" s="8"/>
      <c r="I3" s="8">
        <v>13</v>
      </c>
      <c r="J3" s="8">
        <v>350</v>
      </c>
      <c r="K3" s="8">
        <v>17</v>
      </c>
      <c r="L3" s="8">
        <v>21</v>
      </c>
      <c r="M3" s="8">
        <v>11</v>
      </c>
      <c r="N3" s="8">
        <v>79</v>
      </c>
      <c r="O3" s="8">
        <v>4</v>
      </c>
      <c r="P3" s="8">
        <v>2</v>
      </c>
      <c r="Q3" s="8">
        <v>2</v>
      </c>
      <c r="R3" s="8">
        <v>4.5</v>
      </c>
      <c r="S3" s="8">
        <v>1.8</v>
      </c>
      <c r="T3" s="8">
        <v>4.5</v>
      </c>
      <c r="U3" s="8">
        <v>4.5</v>
      </c>
      <c r="V3" s="8">
        <v>7.8</v>
      </c>
      <c r="W3" s="8">
        <v>130</v>
      </c>
      <c r="X3" s="8">
        <v>14</v>
      </c>
      <c r="Y3" s="8">
        <v>17</v>
      </c>
      <c r="Z3" s="8">
        <v>4.5</v>
      </c>
      <c r="AA3" s="8"/>
      <c r="AB3" s="8">
        <v>33</v>
      </c>
      <c r="AC3" s="8">
        <v>7.8</v>
      </c>
      <c r="AD3" s="8">
        <v>49</v>
      </c>
      <c r="AE3" s="8">
        <v>1.8</v>
      </c>
      <c r="AF3" s="8">
        <v>6.8</v>
      </c>
      <c r="AG3" s="8">
        <v>4</v>
      </c>
      <c r="AH3" s="8">
        <v>4.5</v>
      </c>
      <c r="AI3" s="8">
        <v>23</v>
      </c>
      <c r="AJ3" s="8">
        <v>14</v>
      </c>
      <c r="AK3" s="8">
        <v>49</v>
      </c>
      <c r="AL3" s="8">
        <v>2</v>
      </c>
      <c r="AM3" s="8">
        <v>240</v>
      </c>
      <c r="AN3" s="8">
        <v>17</v>
      </c>
      <c r="AO3" s="8">
        <v>79</v>
      </c>
      <c r="AP3" s="8">
        <v>110</v>
      </c>
      <c r="AQ3" s="8">
        <v>49</v>
      </c>
      <c r="AR3" s="8">
        <v>13</v>
      </c>
      <c r="AS3" s="8"/>
      <c r="AT3" s="8"/>
      <c r="AU3" s="8">
        <v>4.5</v>
      </c>
      <c r="AV3" s="8">
        <v>33</v>
      </c>
      <c r="AW3" s="8">
        <v>33</v>
      </c>
      <c r="AX3" s="8">
        <v>6.8</v>
      </c>
      <c r="AY3" s="8">
        <v>7.8</v>
      </c>
      <c r="AZ3" s="8"/>
      <c r="BA3" s="8">
        <v>23</v>
      </c>
      <c r="BB3" s="8">
        <v>17</v>
      </c>
      <c r="BC3" s="8">
        <v>11</v>
      </c>
      <c r="BD3" s="8"/>
      <c r="BE3" s="8"/>
      <c r="BF3" s="8">
        <v>11</v>
      </c>
      <c r="BG3" s="8">
        <v>13</v>
      </c>
      <c r="BH3" s="8">
        <v>46</v>
      </c>
      <c r="BI3" s="8">
        <v>46</v>
      </c>
      <c r="BJ3" s="8">
        <v>13</v>
      </c>
      <c r="BK3" s="8">
        <v>33</v>
      </c>
      <c r="BL3" s="8">
        <v>130</v>
      </c>
      <c r="BM3" s="8">
        <v>2</v>
      </c>
      <c r="BN3" s="8">
        <v>130</v>
      </c>
      <c r="BO3" s="8">
        <v>33</v>
      </c>
      <c r="BP3" s="8">
        <v>23</v>
      </c>
      <c r="BQ3" s="8">
        <v>23</v>
      </c>
      <c r="BR3" s="8">
        <v>13</v>
      </c>
      <c r="BS3" s="8">
        <v>11</v>
      </c>
      <c r="BT3" s="8">
        <v>240</v>
      </c>
      <c r="BU3" s="8">
        <v>79</v>
      </c>
      <c r="BV3" s="8">
        <v>2</v>
      </c>
      <c r="BW3" s="8">
        <v>22</v>
      </c>
      <c r="BX3" s="8">
        <v>130</v>
      </c>
      <c r="BY3" s="8">
        <v>2</v>
      </c>
      <c r="BZ3" s="8"/>
      <c r="CA3" s="8">
        <v>1.7</v>
      </c>
      <c r="CB3" s="8">
        <v>2</v>
      </c>
      <c r="CC3" s="8">
        <v>4.5</v>
      </c>
      <c r="CD3" s="8"/>
      <c r="CE3" s="8">
        <v>7.8</v>
      </c>
      <c r="CF3" s="8">
        <v>6.8</v>
      </c>
      <c r="CG3" s="8">
        <v>49</v>
      </c>
      <c r="CH3" s="8">
        <v>6.8</v>
      </c>
      <c r="CI3" s="8">
        <v>170</v>
      </c>
      <c r="CJ3" s="8">
        <v>49</v>
      </c>
      <c r="CK3" s="8">
        <v>13</v>
      </c>
      <c r="CL3" s="8">
        <v>7.8</v>
      </c>
      <c r="CM3" s="8">
        <v>33</v>
      </c>
      <c r="CN3" s="8">
        <v>4.5</v>
      </c>
      <c r="CO3" s="8"/>
      <c r="CP3" s="8"/>
      <c r="CQ3" s="8">
        <v>540</v>
      </c>
      <c r="CR3" s="8">
        <v>79</v>
      </c>
      <c r="CS3" s="8">
        <v>33</v>
      </c>
      <c r="CT3" s="8">
        <v>22</v>
      </c>
      <c r="CU3" s="8">
        <v>13</v>
      </c>
      <c r="CV3" s="8"/>
      <c r="CW3" s="8">
        <v>7.8</v>
      </c>
      <c r="CX3" s="8">
        <v>4.5</v>
      </c>
      <c r="CY3" s="8">
        <v>13</v>
      </c>
      <c r="CZ3" s="8">
        <v>130</v>
      </c>
      <c r="DA3" s="8">
        <v>46</v>
      </c>
      <c r="DB3" s="8">
        <v>4.5</v>
      </c>
      <c r="DC3" s="8"/>
      <c r="DD3" s="8"/>
      <c r="DE3" s="8">
        <v>2</v>
      </c>
      <c r="DF3" s="8">
        <v>4.5</v>
      </c>
      <c r="DG3" s="8"/>
      <c r="DH3" s="8">
        <v>7.8</v>
      </c>
      <c r="DI3" s="8"/>
      <c r="DJ3" s="8">
        <v>4.5</v>
      </c>
      <c r="DK3" s="8">
        <v>17</v>
      </c>
      <c r="DL3" s="8">
        <v>4.5</v>
      </c>
      <c r="DM3" s="8">
        <v>170</v>
      </c>
      <c r="DN3" s="8">
        <v>13</v>
      </c>
      <c r="DO3" s="8"/>
      <c r="DP3" s="8">
        <v>13</v>
      </c>
      <c r="DQ3" s="8">
        <v>240</v>
      </c>
      <c r="DR3" s="8">
        <v>11</v>
      </c>
      <c r="DS3" s="8">
        <v>33</v>
      </c>
      <c r="DT3" s="8"/>
      <c r="DU3" s="8">
        <v>4.5</v>
      </c>
      <c r="DV3" s="8">
        <v>34</v>
      </c>
      <c r="DW3" s="8">
        <v>2</v>
      </c>
      <c r="DX3" s="8"/>
      <c r="DY3" s="8">
        <v>13</v>
      </c>
      <c r="DZ3" s="8">
        <v>23</v>
      </c>
      <c r="EA3" s="8">
        <v>11</v>
      </c>
      <c r="EB3" s="8">
        <v>17</v>
      </c>
      <c r="EC3" s="8">
        <v>13</v>
      </c>
      <c r="ED3" s="8">
        <v>240</v>
      </c>
      <c r="EE3" s="8">
        <v>130</v>
      </c>
      <c r="EF3" s="8">
        <v>17</v>
      </c>
      <c r="EG3" s="8"/>
      <c r="EH3" s="8">
        <v>13</v>
      </c>
      <c r="EI3" s="8">
        <v>23</v>
      </c>
      <c r="EJ3" s="8"/>
      <c r="EK3" s="8"/>
      <c r="EL3" s="8"/>
      <c r="EM3" s="8">
        <v>79</v>
      </c>
      <c r="EN3" s="8">
        <v>4.5</v>
      </c>
      <c r="EO3" s="8">
        <v>4</v>
      </c>
      <c r="EP3" s="8">
        <v>23</v>
      </c>
      <c r="EQ3" s="8">
        <v>4.5</v>
      </c>
      <c r="ER3" s="8"/>
      <c r="ES3" s="8"/>
      <c r="ET3" s="8"/>
      <c r="EU3" s="8">
        <v>6.8</v>
      </c>
      <c r="EV3" s="8"/>
      <c r="EW3" s="9"/>
      <c r="EX3" s="9">
        <v>7.8</v>
      </c>
      <c r="EY3" s="8"/>
      <c r="EZ3" s="8">
        <v>13</v>
      </c>
      <c r="FA3" s="8">
        <v>49</v>
      </c>
      <c r="FB3" s="8">
        <v>13</v>
      </c>
      <c r="FC3" s="8">
        <v>23</v>
      </c>
      <c r="FD3" s="8">
        <v>17</v>
      </c>
      <c r="FE3" s="8">
        <v>2</v>
      </c>
      <c r="FF3" s="8"/>
      <c r="FG3" s="8">
        <v>110</v>
      </c>
      <c r="FH3" s="8">
        <v>7.8</v>
      </c>
      <c r="FI3" s="8">
        <v>7.8</v>
      </c>
      <c r="FJ3" s="8"/>
      <c r="FK3" s="8">
        <v>70</v>
      </c>
      <c r="FL3" s="8">
        <v>13</v>
      </c>
      <c r="FM3" s="8">
        <v>33</v>
      </c>
      <c r="FN3" s="8">
        <v>4.5</v>
      </c>
      <c r="FO3" s="8"/>
      <c r="FP3" s="8">
        <v>240</v>
      </c>
      <c r="FQ3" s="8">
        <v>130</v>
      </c>
      <c r="FR3" s="8">
        <v>17</v>
      </c>
      <c r="FS3" s="8">
        <v>7.8</v>
      </c>
      <c r="FT3" s="8">
        <v>350</v>
      </c>
      <c r="FU3" s="8">
        <v>6.8</v>
      </c>
      <c r="FV3" s="8"/>
      <c r="FW3" s="8">
        <v>23</v>
      </c>
      <c r="FX3" s="8">
        <v>6.8</v>
      </c>
      <c r="FY3" s="8">
        <v>49</v>
      </c>
      <c r="FZ3" s="8">
        <v>17</v>
      </c>
      <c r="GA3" s="8">
        <v>33</v>
      </c>
      <c r="GB3" s="8"/>
      <c r="GC3" s="8"/>
      <c r="GD3" s="8"/>
      <c r="GE3" s="8">
        <v>23</v>
      </c>
      <c r="GF3" s="8">
        <v>6.8</v>
      </c>
      <c r="GG3" s="8">
        <v>17</v>
      </c>
      <c r="GH3" s="8">
        <v>33</v>
      </c>
      <c r="GI3" s="8">
        <v>33</v>
      </c>
      <c r="GJ3" s="10">
        <v>79</v>
      </c>
      <c r="GK3" s="10">
        <v>17</v>
      </c>
      <c r="GL3" s="10">
        <v>7.8</v>
      </c>
      <c r="GM3" s="10">
        <v>540</v>
      </c>
      <c r="GN3" s="10">
        <v>79</v>
      </c>
      <c r="GO3" s="10">
        <v>79</v>
      </c>
      <c r="GP3" s="10">
        <v>49</v>
      </c>
      <c r="GQ3" s="10">
        <v>13</v>
      </c>
      <c r="GR3" s="10">
        <v>130</v>
      </c>
      <c r="GS3" s="10">
        <v>7.8</v>
      </c>
      <c r="GT3" s="10">
        <v>540</v>
      </c>
      <c r="GU3" s="10">
        <v>13</v>
      </c>
      <c r="GV3" s="10"/>
      <c r="GW3" s="10">
        <v>920</v>
      </c>
      <c r="GX3" s="10">
        <v>540</v>
      </c>
      <c r="GY3" s="10">
        <v>170</v>
      </c>
      <c r="GZ3" s="10">
        <v>33</v>
      </c>
      <c r="HA3" s="10">
        <v>2</v>
      </c>
      <c r="HB3" s="10"/>
      <c r="HC3" s="10">
        <v>17</v>
      </c>
      <c r="HD3" s="10">
        <v>13</v>
      </c>
      <c r="HE3" s="10"/>
      <c r="HF3" s="10"/>
      <c r="HG3" s="10"/>
      <c r="HH3" s="10"/>
      <c r="HI3" s="10"/>
      <c r="HJ3" s="10"/>
      <c r="HK3" s="10"/>
      <c r="HL3" s="10"/>
      <c r="HM3" s="10"/>
      <c r="HN3" s="10">
        <v>240</v>
      </c>
      <c r="HO3" s="10">
        <v>6.8</v>
      </c>
      <c r="HP3" s="10">
        <v>13</v>
      </c>
      <c r="HQ3" s="10"/>
      <c r="HR3" s="10"/>
      <c r="HS3" s="10"/>
      <c r="HT3" s="10"/>
      <c r="HU3" s="10"/>
      <c r="HV3" s="10"/>
      <c r="HW3" s="10">
        <v>11</v>
      </c>
      <c r="HX3" s="10"/>
      <c r="HY3" s="10"/>
      <c r="HZ3" s="10"/>
      <c r="IA3" s="10"/>
      <c r="IB3" s="10">
        <v>33</v>
      </c>
      <c r="IC3" s="10"/>
      <c r="ID3" s="10"/>
      <c r="IE3" s="10"/>
      <c r="IF3" s="10"/>
      <c r="IG3" s="10"/>
      <c r="IH3" s="10">
        <v>22</v>
      </c>
      <c r="II3" s="10">
        <v>49</v>
      </c>
      <c r="IJ3" s="10">
        <v>79</v>
      </c>
      <c r="IK3" s="10">
        <v>6.8</v>
      </c>
      <c r="IL3" s="10">
        <v>33</v>
      </c>
      <c r="IM3" s="10">
        <v>13</v>
      </c>
      <c r="IN3" s="10"/>
      <c r="IO3" s="10"/>
      <c r="IP3" s="10"/>
      <c r="IQ3" s="10"/>
      <c r="IR3" s="10">
        <v>2</v>
      </c>
      <c r="IS3" s="10">
        <v>13</v>
      </c>
      <c r="IT3" s="10"/>
      <c r="IU3" s="10"/>
      <c r="IV3" s="10"/>
      <c r="IW3" s="10">
        <v>4.5</v>
      </c>
    </row>
    <row r="4" spans="1:257" s="7" customFormat="1" x14ac:dyDescent="0.15">
      <c r="B4" s="7">
        <v>20</v>
      </c>
      <c r="C4" s="8"/>
      <c r="D4" s="8">
        <v>33</v>
      </c>
      <c r="E4" s="8">
        <v>4.5</v>
      </c>
      <c r="F4" s="8"/>
      <c r="G4" s="8"/>
      <c r="H4" s="8"/>
      <c r="I4" s="8">
        <v>9.3000000000000007</v>
      </c>
      <c r="J4" s="8"/>
      <c r="K4" s="8">
        <v>23</v>
      </c>
      <c r="L4" s="8">
        <v>17</v>
      </c>
      <c r="M4" s="8"/>
      <c r="N4" s="8">
        <v>46</v>
      </c>
      <c r="O4" s="8"/>
      <c r="P4" s="8">
        <v>4.5</v>
      </c>
      <c r="Q4" s="8">
        <v>2</v>
      </c>
      <c r="R4" s="8">
        <v>2</v>
      </c>
      <c r="S4" s="8">
        <v>1.7</v>
      </c>
      <c r="T4" s="8">
        <v>6.8</v>
      </c>
      <c r="U4" s="8">
        <v>1.7</v>
      </c>
      <c r="V4" s="8"/>
      <c r="W4" s="8"/>
      <c r="X4" s="8"/>
      <c r="Y4" s="8"/>
      <c r="Z4" s="8"/>
      <c r="AA4" s="8">
        <v>49</v>
      </c>
      <c r="AB4" s="8">
        <v>7.8</v>
      </c>
      <c r="AC4" s="8"/>
      <c r="AD4" s="8">
        <v>7.8</v>
      </c>
      <c r="AE4" s="8"/>
      <c r="AF4" s="8"/>
      <c r="AG4" s="8">
        <v>1.7</v>
      </c>
      <c r="AH4" s="8">
        <v>4</v>
      </c>
      <c r="AI4" s="8"/>
      <c r="AJ4" s="8"/>
      <c r="AK4" s="8">
        <v>17</v>
      </c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>
        <v>4.5</v>
      </c>
      <c r="AX4" s="8">
        <v>2</v>
      </c>
      <c r="AY4" s="8">
        <v>1.7</v>
      </c>
      <c r="AZ4" s="8"/>
      <c r="BA4" s="8"/>
      <c r="BB4" s="8"/>
      <c r="BC4" s="8"/>
      <c r="BD4" s="8"/>
      <c r="BE4" s="8"/>
      <c r="BF4" s="8">
        <v>2</v>
      </c>
      <c r="BG4" s="8">
        <v>1.7</v>
      </c>
      <c r="BH4" s="8"/>
      <c r="BI4" s="8">
        <v>13</v>
      </c>
      <c r="BJ4" s="8"/>
      <c r="BK4" s="8"/>
      <c r="BL4" s="8"/>
      <c r="BM4" s="8"/>
      <c r="BN4" s="8">
        <v>33</v>
      </c>
      <c r="BO4" s="8">
        <v>14</v>
      </c>
      <c r="BP4" s="8">
        <v>6.8</v>
      </c>
      <c r="BQ4" s="8">
        <v>1.7</v>
      </c>
      <c r="BR4" s="8">
        <v>1.7</v>
      </c>
      <c r="BS4" s="8">
        <v>1.7</v>
      </c>
      <c r="BT4" s="8"/>
      <c r="BU4" s="8">
        <v>33</v>
      </c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>
        <v>4</v>
      </c>
      <c r="CO4" s="8"/>
      <c r="CP4" s="8"/>
      <c r="CQ4" s="8">
        <v>350</v>
      </c>
      <c r="CR4" s="8">
        <v>33</v>
      </c>
      <c r="CS4" s="8"/>
      <c r="CT4" s="8"/>
      <c r="CU4" s="8"/>
      <c r="CV4" s="8"/>
      <c r="CW4" s="8">
        <v>2</v>
      </c>
      <c r="CX4" s="8"/>
      <c r="CY4" s="8"/>
      <c r="CZ4" s="8">
        <v>49</v>
      </c>
      <c r="DA4" s="8">
        <v>130</v>
      </c>
      <c r="DB4" s="8">
        <v>33</v>
      </c>
      <c r="DC4" s="8"/>
      <c r="DD4" s="8"/>
      <c r="DE4" s="8"/>
      <c r="DF4" s="8"/>
      <c r="DG4" s="8"/>
      <c r="DH4" s="8">
        <v>7.8</v>
      </c>
      <c r="DI4" s="8"/>
      <c r="DJ4" s="8"/>
      <c r="DK4" s="8"/>
      <c r="DL4" s="8">
        <v>49</v>
      </c>
      <c r="DM4" s="8">
        <v>170</v>
      </c>
      <c r="DN4" s="8"/>
      <c r="DO4" s="8"/>
      <c r="DP4" s="8"/>
      <c r="DQ4" s="8"/>
      <c r="DR4" s="8"/>
      <c r="DS4" s="8">
        <v>2</v>
      </c>
      <c r="DT4" s="8"/>
      <c r="DU4" s="8"/>
      <c r="DV4" s="8"/>
      <c r="DW4" s="8"/>
      <c r="DX4" s="8"/>
      <c r="DY4" s="8">
        <v>1.7</v>
      </c>
      <c r="DZ4" s="8"/>
      <c r="EA4" s="8"/>
      <c r="EB4" s="8"/>
      <c r="EC4" s="8"/>
      <c r="ED4" s="8">
        <v>130</v>
      </c>
      <c r="EE4" s="8">
        <v>23</v>
      </c>
      <c r="EF4" s="8">
        <v>49</v>
      </c>
      <c r="EG4" s="8"/>
      <c r="EH4" s="8"/>
      <c r="EI4" s="8"/>
      <c r="EJ4" s="8"/>
      <c r="EK4" s="8"/>
      <c r="EL4" s="8"/>
      <c r="EM4" s="8">
        <v>130</v>
      </c>
      <c r="EN4" s="8">
        <v>4.5</v>
      </c>
      <c r="EO4" s="8">
        <v>1.7</v>
      </c>
      <c r="EP4" s="8"/>
      <c r="EQ4" s="8"/>
      <c r="ER4" s="8"/>
      <c r="ES4" s="8"/>
      <c r="ET4" s="8"/>
      <c r="EU4" s="8"/>
      <c r="EV4" s="8"/>
      <c r="EW4" s="9"/>
      <c r="EX4" s="9"/>
      <c r="EY4" s="8"/>
      <c r="EZ4" s="8"/>
      <c r="FA4" s="8">
        <v>33</v>
      </c>
      <c r="FB4" s="8"/>
      <c r="FC4" s="8"/>
      <c r="FD4" s="8"/>
      <c r="FE4" s="8"/>
      <c r="FF4" s="8"/>
      <c r="FG4" s="8"/>
      <c r="FH4" s="8"/>
      <c r="FI4" s="8"/>
      <c r="FJ4" s="8">
        <v>170</v>
      </c>
      <c r="FK4" s="8"/>
      <c r="FL4" s="8">
        <v>2</v>
      </c>
      <c r="FM4" s="8"/>
      <c r="FN4" s="8"/>
      <c r="FO4" s="8"/>
      <c r="FP4" s="8">
        <v>350</v>
      </c>
      <c r="FQ4" s="8">
        <v>11</v>
      </c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>
        <v>31</v>
      </c>
      <c r="GF4" s="8">
        <v>17</v>
      </c>
      <c r="GG4" s="8"/>
      <c r="GH4" s="8">
        <v>23</v>
      </c>
      <c r="GI4" s="8">
        <v>4.5</v>
      </c>
      <c r="GJ4" s="10"/>
      <c r="GK4" s="10"/>
      <c r="GL4" s="10"/>
      <c r="GM4" s="10">
        <v>350</v>
      </c>
      <c r="GN4" s="10">
        <v>13</v>
      </c>
      <c r="GO4" s="10">
        <v>13</v>
      </c>
      <c r="GP4" s="10"/>
      <c r="GQ4" s="10">
        <v>13</v>
      </c>
      <c r="GR4" s="10"/>
      <c r="GS4" s="10"/>
      <c r="GT4" s="10"/>
      <c r="GU4" s="10">
        <v>6.8</v>
      </c>
      <c r="GV4" s="10"/>
      <c r="GW4" s="10">
        <v>79</v>
      </c>
      <c r="GX4" s="10">
        <v>130</v>
      </c>
      <c r="GY4" s="10">
        <v>110</v>
      </c>
      <c r="GZ4" s="10">
        <v>14</v>
      </c>
      <c r="HA4" s="10">
        <v>4.5</v>
      </c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>
        <v>33</v>
      </c>
      <c r="IC4" s="10">
        <v>13</v>
      </c>
      <c r="ID4" s="10"/>
      <c r="IE4" s="10"/>
      <c r="IF4" s="10"/>
      <c r="IG4" s="10"/>
      <c r="IH4" s="10"/>
      <c r="II4" s="10">
        <v>13</v>
      </c>
      <c r="IJ4" s="10">
        <v>240</v>
      </c>
      <c r="IK4" s="10">
        <v>49</v>
      </c>
      <c r="IL4" s="10">
        <v>130</v>
      </c>
      <c r="IM4" s="10">
        <v>7.8</v>
      </c>
      <c r="IN4" s="10"/>
      <c r="IO4" s="10"/>
      <c r="IP4" s="10"/>
      <c r="IQ4" s="10"/>
      <c r="IR4" s="10"/>
      <c r="IS4" s="10">
        <v>2</v>
      </c>
      <c r="IT4" s="10"/>
      <c r="IU4" s="10"/>
      <c r="IV4" s="10"/>
      <c r="IW4" s="10"/>
    </row>
    <row r="5" spans="1:257" s="7" customFormat="1" x14ac:dyDescent="0.15">
      <c r="B5" s="7">
        <v>16</v>
      </c>
      <c r="C5" s="8"/>
      <c r="D5" s="8">
        <v>130</v>
      </c>
      <c r="E5" s="8">
        <v>23</v>
      </c>
      <c r="F5" s="8">
        <v>49</v>
      </c>
      <c r="G5" s="8">
        <v>17</v>
      </c>
      <c r="H5" s="8">
        <v>2</v>
      </c>
      <c r="I5" s="8">
        <v>4.5</v>
      </c>
      <c r="J5" s="8">
        <v>130</v>
      </c>
      <c r="K5" s="8">
        <v>46</v>
      </c>
      <c r="L5" s="8">
        <v>23</v>
      </c>
      <c r="M5" s="8">
        <v>2</v>
      </c>
      <c r="N5" s="8">
        <v>240</v>
      </c>
      <c r="O5" s="8">
        <v>1.7</v>
      </c>
      <c r="P5" s="8">
        <v>4.5</v>
      </c>
      <c r="Q5" s="8">
        <v>1.7</v>
      </c>
      <c r="R5" s="8">
        <v>2</v>
      </c>
      <c r="S5" s="8">
        <v>6.1</v>
      </c>
      <c r="T5" s="8">
        <v>13</v>
      </c>
      <c r="U5" s="8">
        <v>6.8</v>
      </c>
      <c r="V5" s="8">
        <v>13</v>
      </c>
      <c r="W5" s="8">
        <v>350</v>
      </c>
      <c r="X5" s="8">
        <v>33</v>
      </c>
      <c r="Y5" s="8">
        <v>140</v>
      </c>
      <c r="Z5" s="8">
        <v>13</v>
      </c>
      <c r="AA5" s="8">
        <v>33</v>
      </c>
      <c r="AB5" s="8">
        <v>23</v>
      </c>
      <c r="AC5" s="8">
        <v>4</v>
      </c>
      <c r="AD5" s="8">
        <v>11</v>
      </c>
      <c r="AE5" s="8">
        <v>2</v>
      </c>
      <c r="AF5" s="8">
        <v>17</v>
      </c>
      <c r="AG5" s="8">
        <v>7.8</v>
      </c>
      <c r="AH5" s="8">
        <v>17</v>
      </c>
      <c r="AI5" s="8">
        <v>27</v>
      </c>
      <c r="AJ5" s="8">
        <v>4.5</v>
      </c>
      <c r="AK5" s="8">
        <v>79</v>
      </c>
      <c r="AL5" s="8">
        <v>6.1</v>
      </c>
      <c r="AM5" s="8">
        <v>350</v>
      </c>
      <c r="AN5" s="8">
        <v>33</v>
      </c>
      <c r="AO5" s="8">
        <v>110</v>
      </c>
      <c r="AP5" s="8">
        <v>130</v>
      </c>
      <c r="AQ5" s="8">
        <v>22</v>
      </c>
      <c r="AR5" s="8">
        <v>70</v>
      </c>
      <c r="AS5" s="8">
        <v>33</v>
      </c>
      <c r="AT5" s="8">
        <v>2</v>
      </c>
      <c r="AU5" s="8">
        <v>7.8</v>
      </c>
      <c r="AV5" s="8">
        <v>23</v>
      </c>
      <c r="AW5" s="8">
        <v>130</v>
      </c>
      <c r="AX5" s="8">
        <v>7.8</v>
      </c>
      <c r="AY5" s="8">
        <v>1.7</v>
      </c>
      <c r="AZ5" s="8"/>
      <c r="BA5" s="8">
        <v>130</v>
      </c>
      <c r="BB5" s="8">
        <v>13</v>
      </c>
      <c r="BC5" s="8">
        <v>11</v>
      </c>
      <c r="BD5" s="8">
        <v>33</v>
      </c>
      <c r="BE5" s="8">
        <v>49</v>
      </c>
      <c r="BF5" s="8">
        <v>6.8</v>
      </c>
      <c r="BG5" s="8">
        <v>4.5</v>
      </c>
      <c r="BH5" s="8">
        <v>17</v>
      </c>
      <c r="BI5" s="8">
        <v>350</v>
      </c>
      <c r="BJ5" s="8">
        <v>13</v>
      </c>
      <c r="BK5" s="8">
        <v>33</v>
      </c>
      <c r="BL5" s="8">
        <v>130</v>
      </c>
      <c r="BM5" s="8">
        <v>4</v>
      </c>
      <c r="BN5" s="8">
        <v>79</v>
      </c>
      <c r="BO5" s="8">
        <v>49</v>
      </c>
      <c r="BP5" s="8">
        <v>23</v>
      </c>
      <c r="BQ5" s="8">
        <v>13</v>
      </c>
      <c r="BR5" s="8">
        <v>33</v>
      </c>
      <c r="BS5" s="8">
        <v>9.1999999999999993</v>
      </c>
      <c r="BT5" s="8">
        <v>33</v>
      </c>
      <c r="BU5" s="8">
        <v>49</v>
      </c>
      <c r="BV5" s="8">
        <v>13</v>
      </c>
      <c r="BW5" s="8">
        <v>33</v>
      </c>
      <c r="BX5" s="8">
        <v>23</v>
      </c>
      <c r="BY5" s="8"/>
      <c r="BZ5" s="8">
        <v>13</v>
      </c>
      <c r="CA5" s="8">
        <v>17</v>
      </c>
      <c r="CB5" s="8">
        <v>13</v>
      </c>
      <c r="CC5" s="8">
        <v>22</v>
      </c>
      <c r="CD5" s="8"/>
      <c r="CE5" s="8">
        <v>17</v>
      </c>
      <c r="CF5" s="8">
        <v>23</v>
      </c>
      <c r="CG5" s="8">
        <v>240</v>
      </c>
      <c r="CH5" s="8">
        <v>13</v>
      </c>
      <c r="CI5" s="8">
        <v>540</v>
      </c>
      <c r="CJ5" s="8">
        <v>70</v>
      </c>
      <c r="CK5" s="8">
        <v>49</v>
      </c>
      <c r="CL5" s="8">
        <v>13</v>
      </c>
      <c r="CM5" s="8">
        <v>33</v>
      </c>
      <c r="CN5" s="8">
        <v>49</v>
      </c>
      <c r="CO5" s="8">
        <v>33</v>
      </c>
      <c r="CP5" s="8">
        <v>33</v>
      </c>
      <c r="CQ5" s="8">
        <v>350</v>
      </c>
      <c r="CR5" s="8">
        <v>170</v>
      </c>
      <c r="CS5" s="8">
        <v>49</v>
      </c>
      <c r="CT5" s="8">
        <v>14</v>
      </c>
      <c r="CU5" s="8">
        <v>17</v>
      </c>
      <c r="CV5" s="8"/>
      <c r="CW5" s="8">
        <v>13</v>
      </c>
      <c r="CX5" s="8">
        <v>7.8</v>
      </c>
      <c r="CY5" s="8">
        <v>22</v>
      </c>
      <c r="CZ5" s="8"/>
      <c r="DA5" s="8">
        <v>130</v>
      </c>
      <c r="DB5" s="8">
        <v>23</v>
      </c>
      <c r="DC5" s="8">
        <v>130</v>
      </c>
      <c r="DD5" s="8">
        <v>6.8</v>
      </c>
      <c r="DE5" s="8">
        <v>13</v>
      </c>
      <c r="DF5" s="8">
        <v>49</v>
      </c>
      <c r="DG5" s="8">
        <v>4.5</v>
      </c>
      <c r="DH5" s="8">
        <v>2</v>
      </c>
      <c r="DI5" s="8">
        <v>170</v>
      </c>
      <c r="DJ5" s="8">
        <v>13</v>
      </c>
      <c r="DK5" s="8">
        <v>130</v>
      </c>
      <c r="DL5" s="8">
        <v>79</v>
      </c>
      <c r="DM5" s="8">
        <v>170</v>
      </c>
      <c r="DN5" s="8">
        <v>13</v>
      </c>
      <c r="DO5" s="8">
        <v>350</v>
      </c>
      <c r="DP5" s="8">
        <v>33</v>
      </c>
      <c r="DQ5" s="8">
        <v>170</v>
      </c>
      <c r="DR5" s="8">
        <v>17</v>
      </c>
      <c r="DS5" s="8">
        <v>46</v>
      </c>
      <c r="DT5" s="8">
        <v>4.5</v>
      </c>
      <c r="DU5" s="8">
        <v>33</v>
      </c>
      <c r="DV5" s="8">
        <v>17</v>
      </c>
      <c r="DW5" s="8">
        <v>4.5</v>
      </c>
      <c r="DX5" s="8"/>
      <c r="DY5" s="8">
        <v>23</v>
      </c>
      <c r="DZ5" s="8">
        <v>33</v>
      </c>
      <c r="EA5" s="8">
        <v>70</v>
      </c>
      <c r="EB5" s="8">
        <v>79</v>
      </c>
      <c r="EC5" s="8">
        <v>17</v>
      </c>
      <c r="ED5" s="8">
        <v>79</v>
      </c>
      <c r="EE5" s="8"/>
      <c r="EF5" s="8">
        <v>46</v>
      </c>
      <c r="EG5" s="8">
        <v>17</v>
      </c>
      <c r="EH5" s="8">
        <v>170</v>
      </c>
      <c r="EI5" s="8">
        <v>79</v>
      </c>
      <c r="EJ5" s="8">
        <v>49</v>
      </c>
      <c r="EK5" s="8">
        <v>79</v>
      </c>
      <c r="EL5" s="8">
        <v>22</v>
      </c>
      <c r="EM5" s="8">
        <v>540</v>
      </c>
      <c r="EN5" s="8">
        <v>11</v>
      </c>
      <c r="EO5" s="8">
        <v>4.5</v>
      </c>
      <c r="EP5" s="8">
        <v>33</v>
      </c>
      <c r="EQ5" s="8">
        <v>27</v>
      </c>
      <c r="ER5" s="8">
        <v>4.5</v>
      </c>
      <c r="ES5" s="8">
        <v>79</v>
      </c>
      <c r="ET5" s="8">
        <v>2</v>
      </c>
      <c r="EU5" s="8">
        <v>17</v>
      </c>
      <c r="EV5" s="8">
        <v>130</v>
      </c>
      <c r="EW5" s="8">
        <v>4</v>
      </c>
      <c r="EX5" s="9">
        <v>1.7</v>
      </c>
      <c r="EY5" s="8">
        <v>130</v>
      </c>
      <c r="EZ5" s="8">
        <v>13</v>
      </c>
      <c r="FA5" s="8"/>
      <c r="FB5" s="8">
        <v>4</v>
      </c>
      <c r="FC5" s="8">
        <v>79</v>
      </c>
      <c r="FD5" s="8">
        <v>17</v>
      </c>
      <c r="FE5" s="8">
        <v>7.8</v>
      </c>
      <c r="FF5" s="8">
        <v>11</v>
      </c>
      <c r="FG5" s="8">
        <v>240</v>
      </c>
      <c r="FH5" s="8">
        <v>79</v>
      </c>
      <c r="FI5" s="8">
        <v>1.8</v>
      </c>
      <c r="FJ5" s="8"/>
      <c r="FK5" s="8">
        <v>130</v>
      </c>
      <c r="FL5" s="8">
        <v>22</v>
      </c>
      <c r="FM5" s="8">
        <v>33</v>
      </c>
      <c r="FN5" s="8">
        <v>49</v>
      </c>
      <c r="FO5" s="8">
        <v>4.5</v>
      </c>
      <c r="FP5" s="8"/>
      <c r="FQ5" s="8"/>
      <c r="FR5" s="8">
        <v>17</v>
      </c>
      <c r="FS5" s="8">
        <v>11</v>
      </c>
      <c r="FT5" s="8">
        <v>540</v>
      </c>
      <c r="FU5" s="8">
        <v>49</v>
      </c>
      <c r="FV5" s="8">
        <v>23</v>
      </c>
      <c r="FW5" s="8">
        <v>27</v>
      </c>
      <c r="FX5" s="8">
        <v>17</v>
      </c>
      <c r="FY5" s="8">
        <v>130</v>
      </c>
      <c r="FZ5" s="8">
        <v>6.8</v>
      </c>
      <c r="GA5" s="8">
        <v>170</v>
      </c>
      <c r="GB5" s="8">
        <v>23</v>
      </c>
      <c r="GC5" s="8">
        <v>23</v>
      </c>
      <c r="GD5" s="8">
        <v>2</v>
      </c>
      <c r="GE5" s="8"/>
      <c r="GF5" s="8">
        <v>7.8</v>
      </c>
      <c r="GG5" s="8">
        <v>46</v>
      </c>
      <c r="GH5" s="8">
        <v>23</v>
      </c>
      <c r="GI5" s="8">
        <v>7.8</v>
      </c>
      <c r="GJ5" s="10">
        <v>33</v>
      </c>
      <c r="GK5" s="10">
        <v>33</v>
      </c>
      <c r="GL5" s="10">
        <v>7.8</v>
      </c>
      <c r="GM5" s="10">
        <v>1700</v>
      </c>
      <c r="GN5" s="10">
        <v>49</v>
      </c>
      <c r="GO5" s="10">
        <v>33</v>
      </c>
      <c r="GP5" s="10">
        <v>6.8</v>
      </c>
      <c r="GQ5" s="10"/>
      <c r="GR5" s="10"/>
      <c r="GS5" s="10"/>
      <c r="GT5" s="10">
        <v>920</v>
      </c>
      <c r="GU5" s="10">
        <v>33</v>
      </c>
      <c r="GV5" s="10">
        <v>1.8</v>
      </c>
      <c r="GW5" s="10">
        <v>540</v>
      </c>
      <c r="GX5" s="10"/>
      <c r="GY5" s="10">
        <v>49</v>
      </c>
      <c r="GZ5" s="10">
        <v>49</v>
      </c>
      <c r="HA5" s="10">
        <v>22</v>
      </c>
      <c r="HB5" s="10">
        <v>7.8</v>
      </c>
      <c r="HC5" s="10">
        <v>240</v>
      </c>
      <c r="HD5" s="10">
        <v>49</v>
      </c>
      <c r="HE5" s="10">
        <v>49</v>
      </c>
      <c r="HF5" s="10">
        <v>13</v>
      </c>
      <c r="HG5" s="10">
        <v>79</v>
      </c>
      <c r="HH5" s="10">
        <v>49</v>
      </c>
      <c r="HI5" s="10">
        <v>49</v>
      </c>
      <c r="HJ5" s="10">
        <v>4.5</v>
      </c>
      <c r="HK5" s="10">
        <v>23</v>
      </c>
      <c r="HL5" s="10">
        <v>4.5</v>
      </c>
      <c r="HM5" s="10">
        <v>540</v>
      </c>
      <c r="HN5" s="10">
        <v>170</v>
      </c>
      <c r="HO5" s="10">
        <v>7.8</v>
      </c>
      <c r="HP5" s="10">
        <v>49</v>
      </c>
      <c r="HQ5" s="10">
        <v>17</v>
      </c>
      <c r="HR5" s="10">
        <v>11</v>
      </c>
      <c r="HS5" s="10">
        <v>13</v>
      </c>
      <c r="HT5" s="10">
        <v>7.8</v>
      </c>
      <c r="HU5" s="10">
        <v>23</v>
      </c>
      <c r="HV5" s="10">
        <v>2</v>
      </c>
      <c r="HW5" s="10">
        <v>33</v>
      </c>
      <c r="HX5" s="10">
        <v>7.8</v>
      </c>
      <c r="HY5" s="10">
        <v>79</v>
      </c>
      <c r="HZ5" s="10">
        <v>27</v>
      </c>
      <c r="IA5" s="10">
        <v>4.5</v>
      </c>
      <c r="IB5" s="10"/>
      <c r="IC5" s="10">
        <v>17</v>
      </c>
      <c r="ID5" s="10">
        <v>49</v>
      </c>
      <c r="IE5" s="10">
        <v>22</v>
      </c>
      <c r="IF5" s="10">
        <v>13</v>
      </c>
      <c r="IG5" s="10">
        <v>23</v>
      </c>
      <c r="IH5" s="10">
        <v>23</v>
      </c>
      <c r="II5" s="10">
        <v>240</v>
      </c>
      <c r="IJ5" s="10">
        <v>240</v>
      </c>
      <c r="IK5" s="10">
        <v>23</v>
      </c>
      <c r="IL5" s="10">
        <v>130</v>
      </c>
      <c r="IM5" s="10">
        <v>7.8</v>
      </c>
      <c r="IN5" s="10"/>
      <c r="IO5" s="10">
        <v>13</v>
      </c>
      <c r="IP5" s="10">
        <v>49</v>
      </c>
      <c r="IQ5" s="10">
        <v>4.5</v>
      </c>
      <c r="IR5" s="10">
        <v>23</v>
      </c>
      <c r="IS5" s="10"/>
      <c r="IT5" s="10">
        <v>49</v>
      </c>
      <c r="IU5" s="10">
        <v>1.7</v>
      </c>
      <c r="IV5" s="10">
        <v>17</v>
      </c>
      <c r="IW5" s="10">
        <v>49</v>
      </c>
    </row>
    <row r="6" spans="1:257" s="7" customFormat="1" x14ac:dyDescent="0.15">
      <c r="B6" s="7">
        <v>9</v>
      </c>
      <c r="C6" s="8"/>
      <c r="D6" s="8"/>
      <c r="E6" s="8"/>
      <c r="F6" s="8">
        <v>23</v>
      </c>
      <c r="G6" s="8"/>
      <c r="H6" s="8">
        <v>13</v>
      </c>
      <c r="I6" s="8"/>
      <c r="J6" s="8">
        <v>240</v>
      </c>
      <c r="K6" s="8">
        <v>79</v>
      </c>
      <c r="L6" s="8"/>
      <c r="M6" s="8">
        <v>4.8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>
        <v>11</v>
      </c>
      <c r="AF6" s="8"/>
      <c r="AG6" s="8"/>
      <c r="AH6" s="8">
        <v>23</v>
      </c>
      <c r="AI6" s="8"/>
      <c r="AJ6" s="8"/>
      <c r="AK6" s="8"/>
      <c r="AL6" s="8"/>
      <c r="AM6" s="8"/>
      <c r="AN6" s="8"/>
      <c r="AO6" s="8"/>
      <c r="AP6" s="8"/>
      <c r="AQ6" s="8"/>
      <c r="AR6" s="8"/>
      <c r="AS6" s="8">
        <v>79</v>
      </c>
      <c r="AT6" s="8">
        <v>6.8</v>
      </c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9"/>
      <c r="EX6" s="9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>
        <v>7.8</v>
      </c>
      <c r="HM6" s="10">
        <v>1700</v>
      </c>
      <c r="HN6" s="10">
        <v>540</v>
      </c>
      <c r="HO6" s="10">
        <v>2</v>
      </c>
      <c r="HP6" s="10">
        <v>130</v>
      </c>
      <c r="HQ6" s="10">
        <v>49</v>
      </c>
      <c r="HR6" s="10">
        <v>23</v>
      </c>
      <c r="HS6" s="10">
        <v>17</v>
      </c>
      <c r="HT6" s="10">
        <v>2</v>
      </c>
      <c r="HU6" s="10">
        <v>33</v>
      </c>
      <c r="HV6" s="10">
        <v>7.8</v>
      </c>
      <c r="HW6" s="10">
        <v>79</v>
      </c>
      <c r="HX6" s="10">
        <v>4.5</v>
      </c>
      <c r="HY6" s="10">
        <v>23</v>
      </c>
      <c r="HZ6" s="10">
        <v>33</v>
      </c>
      <c r="IA6" s="10">
        <v>11</v>
      </c>
      <c r="IB6" s="10"/>
      <c r="IC6" s="10">
        <v>7.8</v>
      </c>
      <c r="ID6" s="10">
        <v>110</v>
      </c>
      <c r="IE6" s="10">
        <v>49</v>
      </c>
      <c r="IF6" s="10">
        <v>49</v>
      </c>
      <c r="IG6" s="10">
        <v>13</v>
      </c>
      <c r="IH6" s="10">
        <v>79</v>
      </c>
      <c r="II6" s="10">
        <v>220</v>
      </c>
      <c r="IJ6" s="10">
        <v>540</v>
      </c>
      <c r="IK6" s="10">
        <v>49</v>
      </c>
      <c r="IL6" s="10">
        <v>79</v>
      </c>
      <c r="IM6" s="10">
        <v>49</v>
      </c>
      <c r="IN6" s="10">
        <v>49</v>
      </c>
      <c r="IO6" s="10">
        <v>33</v>
      </c>
      <c r="IP6" s="10">
        <v>14</v>
      </c>
      <c r="IQ6" s="10">
        <v>7.8</v>
      </c>
      <c r="IR6" s="10">
        <v>4.5</v>
      </c>
      <c r="IS6" s="10"/>
      <c r="IT6" s="10">
        <v>49</v>
      </c>
      <c r="IU6" s="10">
        <v>4.5</v>
      </c>
      <c r="IV6" s="10">
        <v>7.8</v>
      </c>
      <c r="IW6" s="10">
        <v>17</v>
      </c>
    </row>
    <row r="7" spans="1:257" s="7" customFormat="1" x14ac:dyDescent="0.15">
      <c r="B7" s="7">
        <v>11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>
        <v>4.5</v>
      </c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9"/>
      <c r="EX7" s="9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>
        <v>2</v>
      </c>
      <c r="HM7" s="10">
        <v>1700</v>
      </c>
      <c r="HN7" s="10">
        <v>240</v>
      </c>
      <c r="HO7" s="10">
        <v>7.8</v>
      </c>
      <c r="HP7" s="10">
        <v>49</v>
      </c>
      <c r="HQ7" s="10">
        <v>130</v>
      </c>
      <c r="HR7" s="10">
        <v>49</v>
      </c>
      <c r="HS7" s="10">
        <v>79</v>
      </c>
      <c r="HT7" s="10">
        <v>2</v>
      </c>
      <c r="HU7" s="10">
        <v>11</v>
      </c>
      <c r="HV7" s="10">
        <v>7.8</v>
      </c>
      <c r="HW7" s="10">
        <v>7.8</v>
      </c>
      <c r="HX7" s="10">
        <v>4</v>
      </c>
      <c r="HY7" s="10"/>
      <c r="HZ7" s="10">
        <v>13</v>
      </c>
      <c r="IA7" s="10">
        <v>17</v>
      </c>
      <c r="IB7" s="10"/>
      <c r="IC7" s="10"/>
      <c r="ID7" s="10">
        <v>130</v>
      </c>
      <c r="IE7" s="10">
        <v>33</v>
      </c>
      <c r="IF7" s="10">
        <v>49</v>
      </c>
      <c r="IG7" s="10">
        <v>33</v>
      </c>
      <c r="IH7" s="10">
        <v>70</v>
      </c>
      <c r="II7" s="10">
        <v>180</v>
      </c>
      <c r="IJ7" s="10">
        <v>1600</v>
      </c>
      <c r="IK7" s="10">
        <v>49</v>
      </c>
      <c r="IL7" s="10">
        <v>350</v>
      </c>
      <c r="IM7" s="10">
        <v>23</v>
      </c>
      <c r="IN7" s="10">
        <v>70</v>
      </c>
      <c r="IO7" s="10">
        <v>13</v>
      </c>
      <c r="IP7" s="10">
        <v>23</v>
      </c>
      <c r="IQ7" s="10">
        <v>4.5</v>
      </c>
      <c r="IR7" s="10">
        <v>11</v>
      </c>
      <c r="IS7" s="10"/>
      <c r="IT7" s="10">
        <v>23</v>
      </c>
      <c r="IU7" s="10">
        <v>14</v>
      </c>
      <c r="IV7" s="10">
        <v>4</v>
      </c>
      <c r="IW7" s="10">
        <v>7.8</v>
      </c>
    </row>
    <row r="8" spans="1:257" s="7" customFormat="1" x14ac:dyDescent="0.15">
      <c r="B8" s="7">
        <v>7</v>
      </c>
      <c r="C8" s="8"/>
      <c r="D8" s="8"/>
      <c r="E8" s="8"/>
      <c r="F8" s="8"/>
      <c r="G8" s="8"/>
      <c r="H8" s="8"/>
      <c r="I8" s="8"/>
      <c r="J8" s="8"/>
      <c r="K8" s="8"/>
      <c r="L8" s="8"/>
      <c r="M8" s="8">
        <v>2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>
        <v>2</v>
      </c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>
        <v>540</v>
      </c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>
        <v>350</v>
      </c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9"/>
      <c r="EX8" s="9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>
        <v>4</v>
      </c>
      <c r="HM8" s="10">
        <v>540</v>
      </c>
      <c r="HN8" s="10">
        <v>240</v>
      </c>
      <c r="HO8" s="10">
        <v>14</v>
      </c>
      <c r="HP8" s="10">
        <v>130</v>
      </c>
      <c r="HQ8" s="10">
        <v>23</v>
      </c>
      <c r="HR8" s="10">
        <v>17</v>
      </c>
      <c r="HS8" s="10">
        <v>17</v>
      </c>
      <c r="HT8" s="10">
        <v>6.8</v>
      </c>
      <c r="HU8" s="10">
        <v>23</v>
      </c>
      <c r="HV8" s="10">
        <v>4.5</v>
      </c>
      <c r="HW8" s="10">
        <v>49</v>
      </c>
      <c r="HX8" s="10">
        <v>11</v>
      </c>
      <c r="HY8" s="10"/>
      <c r="HZ8" s="10">
        <v>170</v>
      </c>
      <c r="IA8" s="10">
        <v>17</v>
      </c>
      <c r="IB8" s="10"/>
      <c r="IC8" s="10">
        <v>33</v>
      </c>
      <c r="ID8" s="10">
        <v>70</v>
      </c>
      <c r="IE8" s="10">
        <v>32</v>
      </c>
      <c r="IF8" s="10">
        <v>33</v>
      </c>
      <c r="IG8" s="10">
        <v>33</v>
      </c>
      <c r="IH8" s="10">
        <v>130</v>
      </c>
      <c r="II8" s="10">
        <v>170</v>
      </c>
      <c r="IJ8" s="10">
        <v>170</v>
      </c>
      <c r="IK8" s="10">
        <v>79</v>
      </c>
      <c r="IL8" s="10">
        <v>220</v>
      </c>
      <c r="IM8" s="10">
        <v>79</v>
      </c>
      <c r="IN8" s="10">
        <v>33</v>
      </c>
      <c r="IO8" s="10">
        <v>23</v>
      </c>
      <c r="IP8" s="10">
        <v>49</v>
      </c>
      <c r="IQ8" s="10">
        <v>17</v>
      </c>
      <c r="IR8" s="10">
        <v>21</v>
      </c>
      <c r="IS8" s="10"/>
      <c r="IT8" s="10">
        <v>27</v>
      </c>
      <c r="IU8" s="10">
        <v>33</v>
      </c>
      <c r="IV8" s="10">
        <v>7.8</v>
      </c>
      <c r="IW8" s="10">
        <v>7.8</v>
      </c>
    </row>
    <row r="9" spans="1:257" s="7" customFormat="1" x14ac:dyDescent="0.15">
      <c r="B9" s="7">
        <v>17</v>
      </c>
      <c r="C9" s="8"/>
      <c r="D9" s="8">
        <v>49</v>
      </c>
      <c r="E9" s="8">
        <v>11</v>
      </c>
      <c r="F9" s="8"/>
      <c r="G9" s="8"/>
      <c r="H9" s="8"/>
      <c r="I9" s="8">
        <v>33</v>
      </c>
      <c r="J9" s="8"/>
      <c r="K9" s="8">
        <v>33</v>
      </c>
      <c r="L9" s="8">
        <v>79</v>
      </c>
      <c r="M9" s="8"/>
      <c r="N9" s="8">
        <v>17</v>
      </c>
      <c r="O9" s="8">
        <v>4.5</v>
      </c>
      <c r="P9" s="8">
        <v>33</v>
      </c>
      <c r="Q9" s="8">
        <v>7.8</v>
      </c>
      <c r="R9" s="8">
        <v>1.7</v>
      </c>
      <c r="S9" s="8">
        <v>11</v>
      </c>
      <c r="T9" s="8">
        <v>13</v>
      </c>
      <c r="U9" s="8">
        <v>21</v>
      </c>
      <c r="V9" s="8">
        <v>7.8</v>
      </c>
      <c r="W9" s="8">
        <v>14</v>
      </c>
      <c r="X9" s="8">
        <v>17</v>
      </c>
      <c r="Y9" s="8">
        <v>4.5</v>
      </c>
      <c r="Z9" s="8">
        <v>6.8</v>
      </c>
      <c r="AA9" s="8"/>
      <c r="AB9" s="8">
        <v>23</v>
      </c>
      <c r="AC9" s="8">
        <v>6.8</v>
      </c>
      <c r="AD9" s="8">
        <v>6.8</v>
      </c>
      <c r="AE9" s="8"/>
      <c r="AF9" s="8">
        <v>4.5</v>
      </c>
      <c r="AG9" s="8">
        <v>4.5</v>
      </c>
      <c r="AH9" s="8"/>
      <c r="AI9" s="8">
        <v>13</v>
      </c>
      <c r="AJ9" s="8">
        <v>7.8</v>
      </c>
      <c r="AK9" s="8">
        <v>21</v>
      </c>
      <c r="AL9" s="8"/>
      <c r="AM9" s="8">
        <v>540</v>
      </c>
      <c r="AN9" s="8">
        <v>11</v>
      </c>
      <c r="AO9" s="8">
        <v>130</v>
      </c>
      <c r="AP9" s="8">
        <v>49</v>
      </c>
      <c r="AQ9" s="8">
        <v>17</v>
      </c>
      <c r="AR9" s="8">
        <v>4.5</v>
      </c>
      <c r="AS9" s="8"/>
      <c r="AT9" s="8"/>
      <c r="AU9" s="8">
        <v>4.5</v>
      </c>
      <c r="AV9" s="8">
        <v>6.8</v>
      </c>
      <c r="AW9" s="8">
        <v>110</v>
      </c>
      <c r="AX9" s="8">
        <v>11</v>
      </c>
      <c r="AY9" s="8">
        <v>4.5</v>
      </c>
      <c r="AZ9" s="8"/>
      <c r="BA9" s="8">
        <v>33</v>
      </c>
      <c r="BB9" s="8">
        <v>7.8</v>
      </c>
      <c r="BC9" s="8">
        <v>22</v>
      </c>
      <c r="BD9" s="8"/>
      <c r="BE9" s="8"/>
      <c r="BF9" s="8">
        <v>2</v>
      </c>
      <c r="BG9" s="8">
        <v>4.5</v>
      </c>
      <c r="BH9" s="8">
        <v>33</v>
      </c>
      <c r="BI9" s="8">
        <v>49</v>
      </c>
      <c r="BJ9" s="8">
        <v>7.8</v>
      </c>
      <c r="BK9" s="8">
        <v>23</v>
      </c>
      <c r="BL9" s="8">
        <v>350</v>
      </c>
      <c r="BM9" s="8">
        <v>2</v>
      </c>
      <c r="BN9" s="8">
        <v>240</v>
      </c>
      <c r="BO9" s="8">
        <v>17</v>
      </c>
      <c r="BP9" s="8">
        <v>33</v>
      </c>
      <c r="BQ9" s="8">
        <v>11</v>
      </c>
      <c r="BR9" s="8">
        <v>6.8</v>
      </c>
      <c r="BS9" s="8">
        <v>13</v>
      </c>
      <c r="BT9" s="8">
        <v>46</v>
      </c>
      <c r="BU9" s="8">
        <v>22</v>
      </c>
      <c r="BV9" s="8">
        <v>9.3000000000000007</v>
      </c>
      <c r="BW9" s="8">
        <v>7.8</v>
      </c>
      <c r="BX9" s="8">
        <v>7.8</v>
      </c>
      <c r="BY9" s="8"/>
      <c r="BZ9" s="8"/>
      <c r="CA9" s="8">
        <v>2</v>
      </c>
      <c r="CB9" s="8">
        <v>7.8</v>
      </c>
      <c r="CC9" s="8">
        <v>4.5</v>
      </c>
      <c r="CD9" s="8"/>
      <c r="CE9" s="8">
        <v>4.5</v>
      </c>
      <c r="CF9" s="8">
        <v>7.8</v>
      </c>
      <c r="CG9" s="8">
        <v>79</v>
      </c>
      <c r="CH9" s="8">
        <v>22</v>
      </c>
      <c r="CI9" s="8">
        <v>240</v>
      </c>
      <c r="CJ9" s="8">
        <v>49</v>
      </c>
      <c r="CK9" s="8">
        <v>6.8</v>
      </c>
      <c r="CL9" s="8">
        <v>49</v>
      </c>
      <c r="CM9" s="8">
        <v>49</v>
      </c>
      <c r="CN9" s="8">
        <v>33</v>
      </c>
      <c r="CO9" s="8"/>
      <c r="CP9" s="8"/>
      <c r="CQ9" s="8">
        <v>350</v>
      </c>
      <c r="CR9" s="8">
        <v>23</v>
      </c>
      <c r="CS9" s="8">
        <v>33</v>
      </c>
      <c r="CT9" s="8">
        <v>22</v>
      </c>
      <c r="CU9" s="8">
        <v>11</v>
      </c>
      <c r="CV9" s="8"/>
      <c r="CW9" s="8">
        <v>14</v>
      </c>
      <c r="CX9" s="8"/>
      <c r="CY9" s="8">
        <v>7.8</v>
      </c>
      <c r="CZ9" s="8">
        <v>130</v>
      </c>
      <c r="DA9" s="8">
        <v>49</v>
      </c>
      <c r="DB9" s="8">
        <v>6.8</v>
      </c>
      <c r="DC9" s="8"/>
      <c r="DD9" s="8"/>
      <c r="DE9" s="8">
        <v>4.5</v>
      </c>
      <c r="DF9" s="8"/>
      <c r="DG9" s="8"/>
      <c r="DH9" s="8">
        <v>4.5</v>
      </c>
      <c r="DI9" s="8"/>
      <c r="DJ9" s="8">
        <v>2</v>
      </c>
      <c r="DK9" s="8">
        <v>110</v>
      </c>
      <c r="DL9" s="8"/>
      <c r="DM9" s="8">
        <v>130</v>
      </c>
      <c r="DN9" s="8"/>
      <c r="DO9" s="8"/>
      <c r="DP9" s="8">
        <v>7.8</v>
      </c>
      <c r="DQ9" s="8">
        <v>23</v>
      </c>
      <c r="DR9" s="8">
        <v>7.8</v>
      </c>
      <c r="DS9" s="8">
        <v>33</v>
      </c>
      <c r="DT9" s="8">
        <v>7.8</v>
      </c>
      <c r="DU9" s="8">
        <v>49</v>
      </c>
      <c r="DV9" s="8">
        <v>49</v>
      </c>
      <c r="DW9" s="8"/>
      <c r="DX9" s="8"/>
      <c r="DY9" s="8">
        <v>2</v>
      </c>
      <c r="DZ9" s="8">
        <v>13</v>
      </c>
      <c r="EA9" s="8">
        <v>49</v>
      </c>
      <c r="EB9" s="8">
        <v>23</v>
      </c>
      <c r="EC9" s="8">
        <v>7.8</v>
      </c>
      <c r="ED9" s="8">
        <v>130</v>
      </c>
      <c r="EE9" s="8">
        <v>110</v>
      </c>
      <c r="EF9" s="8">
        <v>13</v>
      </c>
      <c r="EG9" s="8"/>
      <c r="EH9" s="8">
        <v>350</v>
      </c>
      <c r="EI9" s="8">
        <v>33</v>
      </c>
      <c r="EJ9" s="8"/>
      <c r="EK9" s="8"/>
      <c r="EL9" s="8"/>
      <c r="EM9" s="8">
        <v>130</v>
      </c>
      <c r="EN9" s="8">
        <v>4.5</v>
      </c>
      <c r="EO9" s="8">
        <v>7.8</v>
      </c>
      <c r="EP9" s="8">
        <v>11</v>
      </c>
      <c r="EQ9" s="8"/>
      <c r="ER9" s="8"/>
      <c r="ES9" s="8"/>
      <c r="ET9" s="8"/>
      <c r="EU9" s="8">
        <v>2</v>
      </c>
      <c r="EV9" s="8"/>
      <c r="EW9" s="9"/>
      <c r="EX9" s="9"/>
      <c r="EY9" s="8"/>
      <c r="EZ9" s="8">
        <v>7.8</v>
      </c>
      <c r="FA9" s="8">
        <v>17</v>
      </c>
      <c r="FB9" s="8"/>
      <c r="FC9" s="8"/>
      <c r="FD9" s="8">
        <v>49</v>
      </c>
      <c r="FE9" s="8">
        <v>2</v>
      </c>
      <c r="FF9" s="8">
        <v>7.8</v>
      </c>
      <c r="FG9" s="8"/>
      <c r="FH9" s="8">
        <v>33</v>
      </c>
      <c r="FI9" s="8">
        <v>7.8</v>
      </c>
      <c r="FJ9" s="8"/>
      <c r="FK9" s="8">
        <v>70</v>
      </c>
      <c r="FL9" s="8">
        <v>7.8</v>
      </c>
      <c r="FM9" s="8">
        <v>49</v>
      </c>
      <c r="FN9" s="8">
        <v>23</v>
      </c>
      <c r="FO9" s="8"/>
      <c r="FP9" s="8"/>
      <c r="FQ9" s="8">
        <v>33</v>
      </c>
      <c r="FR9" s="8"/>
      <c r="FS9" s="8">
        <v>11</v>
      </c>
      <c r="FT9" s="8"/>
      <c r="FU9" s="8">
        <v>13</v>
      </c>
      <c r="FV9" s="8"/>
      <c r="FW9" s="8"/>
      <c r="FX9" s="8"/>
      <c r="FY9" s="8"/>
      <c r="FZ9" s="8">
        <v>17</v>
      </c>
      <c r="GA9" s="8">
        <v>33</v>
      </c>
      <c r="GB9" s="8"/>
      <c r="GC9" s="8"/>
      <c r="GD9" s="8"/>
      <c r="GE9" s="8">
        <v>17</v>
      </c>
      <c r="GF9" s="8"/>
      <c r="GG9" s="8">
        <v>33</v>
      </c>
      <c r="GH9" s="8">
        <v>2</v>
      </c>
      <c r="GI9" s="8">
        <v>22</v>
      </c>
      <c r="GJ9" s="10">
        <v>7.8</v>
      </c>
      <c r="GK9" s="10">
        <v>4.5</v>
      </c>
      <c r="GL9" s="10"/>
      <c r="GM9" s="10">
        <v>350</v>
      </c>
      <c r="GN9" s="10">
        <v>33</v>
      </c>
      <c r="GO9" s="10">
        <v>17</v>
      </c>
      <c r="GP9" s="10"/>
      <c r="GQ9" s="10">
        <v>14</v>
      </c>
      <c r="GR9" s="10"/>
      <c r="GS9" s="10"/>
      <c r="GT9" s="10">
        <v>240</v>
      </c>
      <c r="GU9" s="10">
        <v>11</v>
      </c>
      <c r="GV9" s="10"/>
      <c r="GW9" s="10">
        <v>350</v>
      </c>
      <c r="GX9" s="10">
        <v>170</v>
      </c>
      <c r="GY9" s="10">
        <v>170</v>
      </c>
      <c r="GZ9" s="10">
        <v>27</v>
      </c>
      <c r="HA9" s="10">
        <v>7.8</v>
      </c>
      <c r="HB9" s="10"/>
      <c r="HC9" s="10">
        <v>110</v>
      </c>
      <c r="HD9" s="10">
        <v>11</v>
      </c>
      <c r="HE9" s="10"/>
      <c r="HF9" s="10"/>
      <c r="HG9" s="10"/>
      <c r="HH9" s="10"/>
      <c r="HI9" s="10"/>
      <c r="HJ9" s="10"/>
      <c r="HK9" s="10"/>
      <c r="HL9" s="10"/>
      <c r="HM9" s="10"/>
      <c r="HN9" s="10">
        <v>130</v>
      </c>
      <c r="HO9" s="10">
        <v>13</v>
      </c>
      <c r="HP9" s="10">
        <v>23</v>
      </c>
      <c r="HQ9" s="10"/>
      <c r="HR9" s="10"/>
      <c r="HS9" s="10"/>
      <c r="HT9" s="10"/>
      <c r="HU9" s="10"/>
      <c r="HV9" s="10"/>
      <c r="HW9" s="10">
        <v>33</v>
      </c>
      <c r="HX9" s="10"/>
      <c r="HY9" s="10">
        <v>4.5</v>
      </c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</row>
    <row r="10" spans="1:257" s="7" customFormat="1" x14ac:dyDescent="0.15">
      <c r="B10" s="9">
        <v>21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>
        <v>49</v>
      </c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>
        <v>33</v>
      </c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9"/>
      <c r="EX10" s="9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J10" s="10"/>
      <c r="GK10" s="10"/>
      <c r="GL10" s="10"/>
      <c r="GM10" s="10"/>
      <c r="GN10" s="10"/>
      <c r="GO10" s="10">
        <v>17</v>
      </c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4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K10" s="10"/>
      <c r="IL10" s="10"/>
      <c r="IM10" s="10"/>
      <c r="IO10" s="3"/>
      <c r="IP10" s="3"/>
      <c r="IQ10" s="3"/>
      <c r="IR10" s="3"/>
      <c r="IS10" s="3"/>
      <c r="IT10" s="3"/>
      <c r="IU10" s="3"/>
      <c r="IV10" s="3"/>
      <c r="IW10" s="10"/>
    </row>
    <row r="11" spans="1:257" s="7" customFormat="1" x14ac:dyDescent="0.15">
      <c r="B11" s="9">
        <v>22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9"/>
      <c r="EX11" s="9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4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K11" s="10"/>
      <c r="IL11" s="10">
        <v>2</v>
      </c>
      <c r="IM11" s="10">
        <v>7.8</v>
      </c>
      <c r="IN11" s="10"/>
      <c r="IO11" s="10"/>
      <c r="IP11" s="10"/>
      <c r="IQ11" s="10"/>
      <c r="IR11" s="10"/>
      <c r="IS11" s="10"/>
      <c r="IT11" s="10"/>
      <c r="IU11" s="10"/>
      <c r="IV11" s="10"/>
      <c r="IW11" s="10"/>
    </row>
    <row r="12" spans="1:257" s="7" customFormat="1" x14ac:dyDescent="0.15">
      <c r="B12" s="7">
        <v>5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>
        <v>13</v>
      </c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9"/>
      <c r="EX12" s="9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</row>
    <row r="13" spans="1:257" s="7" customFormat="1" x14ac:dyDescent="0.15">
      <c r="B13" s="9">
        <v>24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>
        <v>22</v>
      </c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9"/>
      <c r="EX13" s="9"/>
      <c r="FJ13" s="7">
        <v>95</v>
      </c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</row>
    <row r="14" spans="1:257" s="7" customFormat="1" x14ac:dyDescent="0.15">
      <c r="B14" s="7">
        <v>13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>
        <v>1.7</v>
      </c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9"/>
      <c r="EX14" s="9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</row>
    <row r="15" spans="1:257" s="7" customFormat="1" x14ac:dyDescent="0.15">
      <c r="B15" s="7">
        <v>18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>
        <v>23</v>
      </c>
      <c r="BE15" s="8">
        <v>4.5</v>
      </c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9"/>
      <c r="EX15" s="9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</row>
    <row r="16" spans="1:257" s="7" customFormat="1" x14ac:dyDescent="0.15">
      <c r="B16" s="7">
        <v>30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>
        <v>1.7</v>
      </c>
      <c r="AU16" s="8"/>
      <c r="AV16" s="8"/>
      <c r="AW16" s="8"/>
      <c r="AX16" s="8"/>
      <c r="AY16" s="8"/>
      <c r="AZ16" s="8">
        <v>4.5</v>
      </c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9"/>
      <c r="EX16" s="9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</row>
    <row r="17" spans="2:257" s="7" customFormat="1" x14ac:dyDescent="0.15">
      <c r="B17" s="7">
        <v>30</v>
      </c>
      <c r="C17" s="8" t="s">
        <v>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>
        <v>11</v>
      </c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9"/>
      <c r="EX17" s="9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</row>
    <row r="18" spans="2:257" s="7" customFormat="1" x14ac:dyDescent="0.15">
      <c r="B18" s="7">
        <v>30</v>
      </c>
      <c r="C18" s="8" t="s">
        <v>3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>
        <v>6.1</v>
      </c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9"/>
      <c r="EX18" s="9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</row>
    <row r="19" spans="2:257" s="7" customFormat="1" x14ac:dyDescent="0.15">
      <c r="B19" s="7">
        <v>35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>
        <v>2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9"/>
      <c r="EX19" s="9"/>
      <c r="HK19" s="10"/>
      <c r="HL19" s="10"/>
      <c r="HM19" s="10"/>
      <c r="HN19" s="10"/>
      <c r="HO19" s="10"/>
      <c r="HP19" s="10"/>
      <c r="HQ19" s="10"/>
      <c r="HR19" s="10"/>
      <c r="HS19" s="4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</row>
    <row r="20" spans="2:257" s="7" customFormat="1" x14ac:dyDescent="0.15">
      <c r="B20" s="7">
        <v>36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>
        <v>23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>
        <v>170</v>
      </c>
      <c r="AT20" s="8">
        <v>7.8</v>
      </c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9"/>
      <c r="EX20" s="9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</row>
    <row r="21" spans="2:257" s="7" customFormat="1" x14ac:dyDescent="0.15">
      <c r="B21" s="7">
        <v>1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>
        <v>13</v>
      </c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9"/>
      <c r="EX21" s="9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</row>
    <row r="22" spans="2:257" s="7" customFormat="1" x14ac:dyDescent="0.15">
      <c r="B22" s="11" t="s">
        <v>4</v>
      </c>
      <c r="C22" s="8"/>
      <c r="D22" s="8"/>
      <c r="E22" s="8"/>
      <c r="F22" s="8"/>
      <c r="G22" s="8">
        <v>170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</row>
    <row r="23" spans="2:257" s="7" customFormat="1" x14ac:dyDescent="0.15">
      <c r="B23" s="9">
        <v>31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HK23" s="10"/>
      <c r="HL23" s="10">
        <v>1.7</v>
      </c>
      <c r="HM23" s="10">
        <v>130</v>
      </c>
      <c r="HN23" s="10">
        <v>240</v>
      </c>
      <c r="HO23" s="10">
        <v>7.8</v>
      </c>
      <c r="HP23" s="10">
        <v>9.3000000000000007</v>
      </c>
      <c r="HQ23" s="10">
        <v>33</v>
      </c>
      <c r="HR23" s="10"/>
      <c r="HS23" s="10">
        <v>33</v>
      </c>
      <c r="HT23" s="10">
        <v>4</v>
      </c>
      <c r="HU23" s="10">
        <v>4</v>
      </c>
      <c r="HV23" s="10">
        <v>13</v>
      </c>
      <c r="HW23" s="10">
        <v>2</v>
      </c>
      <c r="HX23" s="10">
        <v>11</v>
      </c>
      <c r="HY23" s="10"/>
      <c r="HZ23" s="10">
        <v>13</v>
      </c>
      <c r="IA23" s="10">
        <v>11</v>
      </c>
      <c r="IB23" s="10"/>
      <c r="IC23" s="10"/>
      <c r="ID23" s="10">
        <v>110</v>
      </c>
      <c r="IE23" s="10">
        <v>17</v>
      </c>
      <c r="IF23" s="10">
        <v>49</v>
      </c>
      <c r="IG23" s="10">
        <v>23</v>
      </c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</row>
    <row r="24" spans="2:257" s="7" customFormat="1" x14ac:dyDescent="0.15">
      <c r="B24" s="9">
        <v>9</v>
      </c>
      <c r="C24" s="9" t="s">
        <v>2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HK24" s="10"/>
      <c r="HL24" s="10">
        <v>4.5</v>
      </c>
      <c r="HM24" s="10">
        <v>1600</v>
      </c>
      <c r="HN24" s="10">
        <v>130</v>
      </c>
      <c r="HO24" s="10">
        <v>22</v>
      </c>
      <c r="HP24" s="10">
        <v>33</v>
      </c>
      <c r="HQ24" s="10">
        <v>6.8</v>
      </c>
      <c r="HR24" s="10">
        <v>13</v>
      </c>
      <c r="HS24" s="10">
        <v>33</v>
      </c>
      <c r="HT24" s="10">
        <v>4.5</v>
      </c>
      <c r="HU24" s="10">
        <v>33</v>
      </c>
      <c r="HV24" s="10">
        <v>79</v>
      </c>
      <c r="HW24" s="10">
        <v>11</v>
      </c>
      <c r="HX24" s="10">
        <v>13</v>
      </c>
      <c r="HY24" s="10"/>
      <c r="HZ24" s="10">
        <v>23</v>
      </c>
      <c r="IA24" s="10">
        <v>11</v>
      </c>
      <c r="IB24" s="10"/>
      <c r="IC24" s="10"/>
      <c r="ID24" s="10">
        <v>49</v>
      </c>
      <c r="IE24" s="10">
        <v>49</v>
      </c>
      <c r="IF24" s="10">
        <v>23</v>
      </c>
      <c r="IG24" s="10">
        <v>17</v>
      </c>
      <c r="IH24" s="10"/>
      <c r="II24" s="10"/>
      <c r="IJ24" s="10"/>
      <c r="IK24" s="10"/>
      <c r="IL24" s="10"/>
      <c r="IM24" s="10"/>
      <c r="IN24" s="10"/>
      <c r="IO24" s="10">
        <v>23</v>
      </c>
      <c r="IP24" s="10"/>
      <c r="IQ24" s="10"/>
      <c r="IR24" s="10"/>
      <c r="IS24" s="10"/>
      <c r="IT24" s="10"/>
      <c r="IU24" s="10"/>
      <c r="IV24" s="10"/>
      <c r="IW24" s="10"/>
    </row>
    <row r="25" spans="2:257" s="1" customFormat="1" x14ac:dyDescent="0.1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</row>
    <row r="26" spans="2:257" s="1" customFormat="1" x14ac:dyDescent="0.1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</row>
    <row r="27" spans="2:257" s="1" customFormat="1" x14ac:dyDescent="0.1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</row>
  </sheetData>
  <phoneticPr fontId="0" type="noConversion"/>
  <printOptions horizontalCentered="1" verticalCentered="1" gridLines="1"/>
  <pageMargins left="0.25" right="0.25" top="1" bottom="0.5" header="0.5" footer="0.5"/>
  <pageSetup orientation="landscape" blackAndWhite="1" horizontalDpi="300" verticalDpi="300" r:id="rId1"/>
  <headerFooter alignWithMargins="0">
    <oddHeader>&amp;L&amp;"Arial,Bold"&amp;14D2, QUEENS CREEK &amp;C&amp;"Arial,Bold"&amp;14CONDITIONAL SAMPLES&amp;R&amp;"Arial,Bold"&amp;14JAN. 15, 1993 - MAY 11, 2005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J29"/>
  <sheetViews>
    <sheetView zoomScale="88" zoomScaleNormal="100" workbookViewId="0">
      <pane xSplit="3" topLeftCell="QD1" activePane="topRight" state="frozen"/>
      <selection pane="topRight" activeCell="QJ7" sqref="QJ7"/>
    </sheetView>
  </sheetViews>
  <sheetFormatPr baseColWidth="10" defaultColWidth="9.85546875" defaultRowHeight="15" x14ac:dyDescent="0.15"/>
  <cols>
    <col min="1" max="1" width="13.140625" style="18" bestFit="1" customWidth="1"/>
    <col min="2" max="2" width="9.7109375" style="18" customWidth="1"/>
    <col min="3" max="3" width="8.140625" style="18" customWidth="1"/>
    <col min="4" max="79" width="8.28515625" style="18" bestFit="1" customWidth="1"/>
    <col min="80" max="16384" width="9.85546875" style="18"/>
  </cols>
  <sheetData>
    <row r="1" spans="1:452" s="15" customFormat="1" x14ac:dyDescent="0.15">
      <c r="A1" s="15" t="s">
        <v>60</v>
      </c>
      <c r="B1" s="16" t="s">
        <v>0</v>
      </c>
      <c r="C1" s="16" t="s">
        <v>1</v>
      </c>
      <c r="D1" s="16">
        <f>DATE(2005,5,12)</f>
        <v>38484</v>
      </c>
      <c r="E1" s="16">
        <v>38508</v>
      </c>
      <c r="F1" s="15">
        <v>38510</v>
      </c>
      <c r="G1" s="16">
        <v>38534</v>
      </c>
      <c r="H1" s="15">
        <v>38538</v>
      </c>
      <c r="I1" s="16">
        <v>38550</v>
      </c>
      <c r="J1" s="15">
        <v>38555</v>
      </c>
      <c r="K1" s="16">
        <v>38558</v>
      </c>
      <c r="L1" s="15">
        <v>38567</v>
      </c>
      <c r="M1" s="16">
        <v>38568</v>
      </c>
      <c r="N1" s="15">
        <v>38582</v>
      </c>
      <c r="O1" s="15">
        <v>38586</v>
      </c>
      <c r="P1" s="16">
        <v>38615</v>
      </c>
      <c r="Q1" s="16">
        <v>38616</v>
      </c>
      <c r="R1" s="16">
        <v>38642</v>
      </c>
      <c r="S1" s="15">
        <v>38644</v>
      </c>
      <c r="T1" s="15">
        <v>38645</v>
      </c>
      <c r="U1" s="16">
        <v>38652</v>
      </c>
      <c r="V1" s="16">
        <v>38656</v>
      </c>
      <c r="W1" s="15">
        <v>38658</v>
      </c>
      <c r="X1" s="16">
        <v>38681</v>
      </c>
      <c r="Y1" s="16">
        <v>38684</v>
      </c>
      <c r="Z1" s="16">
        <v>39050</v>
      </c>
      <c r="AA1" s="16">
        <v>38687</v>
      </c>
      <c r="AB1" s="16">
        <v>38690</v>
      </c>
      <c r="AC1" s="15">
        <v>38692</v>
      </c>
      <c r="AD1" s="15">
        <v>38694</v>
      </c>
      <c r="AE1" s="15">
        <v>38698</v>
      </c>
      <c r="AF1" s="16">
        <v>38705</v>
      </c>
      <c r="AG1" s="16">
        <v>38707</v>
      </c>
      <c r="AH1" s="16">
        <v>38713</v>
      </c>
      <c r="AI1" s="15">
        <v>38847</v>
      </c>
      <c r="AJ1" s="15">
        <v>38849</v>
      </c>
      <c r="AK1" s="15">
        <v>38867</v>
      </c>
      <c r="AL1" s="15">
        <v>38876</v>
      </c>
      <c r="AM1" s="15">
        <v>38880</v>
      </c>
      <c r="AN1" s="15">
        <v>38883</v>
      </c>
      <c r="AO1" s="15">
        <v>38884</v>
      </c>
      <c r="AP1" s="15">
        <v>38887</v>
      </c>
      <c r="AQ1" s="15">
        <v>38897</v>
      </c>
      <c r="AR1" s="15">
        <v>38898</v>
      </c>
      <c r="AS1" s="15">
        <v>38903</v>
      </c>
      <c r="AT1" s="16">
        <v>38916</v>
      </c>
      <c r="AU1" s="15">
        <v>38918</v>
      </c>
      <c r="AV1" s="16">
        <v>38954</v>
      </c>
      <c r="AW1" s="15">
        <v>38965</v>
      </c>
      <c r="AX1" s="15">
        <v>38971</v>
      </c>
      <c r="AY1" s="16">
        <v>39001</v>
      </c>
      <c r="AZ1" s="15">
        <v>39003</v>
      </c>
      <c r="BA1" s="15">
        <v>39006</v>
      </c>
      <c r="BB1" s="15">
        <v>39030</v>
      </c>
      <c r="BC1" s="15">
        <v>39034</v>
      </c>
      <c r="BD1" s="16">
        <v>39036</v>
      </c>
      <c r="BE1" s="15">
        <v>39041</v>
      </c>
      <c r="BF1" s="16">
        <v>39048</v>
      </c>
      <c r="BG1" s="15">
        <v>39050</v>
      </c>
      <c r="BH1" s="16">
        <v>39052</v>
      </c>
      <c r="BI1" s="16">
        <v>39055</v>
      </c>
      <c r="BJ1" s="16">
        <v>39057</v>
      </c>
      <c r="BK1" s="15">
        <v>39062</v>
      </c>
      <c r="BL1" s="16">
        <v>39064</v>
      </c>
      <c r="BM1" s="15">
        <v>39079</v>
      </c>
      <c r="BN1" s="16">
        <v>39084</v>
      </c>
      <c r="BO1" s="15">
        <v>39086</v>
      </c>
      <c r="BP1" s="15">
        <v>39089</v>
      </c>
      <c r="BQ1" s="15">
        <v>39091</v>
      </c>
      <c r="BR1" s="15">
        <v>39093</v>
      </c>
      <c r="BS1" s="15">
        <v>39097</v>
      </c>
      <c r="BT1" s="15">
        <v>39099</v>
      </c>
      <c r="BU1" s="15">
        <v>39106</v>
      </c>
      <c r="BV1" s="16">
        <v>39108</v>
      </c>
      <c r="BW1" s="16">
        <v>39111</v>
      </c>
      <c r="BX1" s="15">
        <v>39113</v>
      </c>
      <c r="BY1" s="16">
        <v>39118</v>
      </c>
      <c r="BZ1" s="15">
        <v>39120</v>
      </c>
      <c r="CA1" s="15">
        <v>39121</v>
      </c>
      <c r="CB1" s="15">
        <v>39238</v>
      </c>
      <c r="CC1" s="15">
        <v>39275</v>
      </c>
      <c r="CD1" s="15">
        <v>39323</v>
      </c>
      <c r="CE1" s="15">
        <v>39342</v>
      </c>
      <c r="CF1" s="15">
        <v>39385</v>
      </c>
      <c r="CG1" s="15">
        <v>39433</v>
      </c>
      <c r="CH1" s="15">
        <v>39435</v>
      </c>
      <c r="CI1" s="15">
        <v>39443</v>
      </c>
      <c r="CJ1" s="15">
        <v>39498</v>
      </c>
      <c r="CK1" s="15">
        <v>39545</v>
      </c>
      <c r="CL1" s="15">
        <v>39547</v>
      </c>
      <c r="CM1" s="15">
        <v>39549</v>
      </c>
      <c r="CN1" s="15">
        <v>39553</v>
      </c>
      <c r="CO1" s="15">
        <v>39581</v>
      </c>
      <c r="CP1" s="15">
        <v>39583</v>
      </c>
      <c r="CQ1" s="15">
        <v>39646</v>
      </c>
      <c r="CR1" s="15">
        <v>39720</v>
      </c>
      <c r="CS1" s="15">
        <v>39734</v>
      </c>
      <c r="CT1" s="15">
        <v>39736</v>
      </c>
      <c r="CU1" s="15">
        <v>39758</v>
      </c>
      <c r="CV1" s="15">
        <v>39761</v>
      </c>
      <c r="CW1" s="15">
        <v>39769</v>
      </c>
      <c r="CX1" s="15">
        <v>39771</v>
      </c>
      <c r="CY1" s="15">
        <v>39988</v>
      </c>
      <c r="CZ1" s="15">
        <v>40009</v>
      </c>
      <c r="DA1" s="15">
        <v>40021</v>
      </c>
      <c r="DB1" s="15">
        <v>40043</v>
      </c>
      <c r="DC1" s="15">
        <v>40045</v>
      </c>
      <c r="DD1" s="15">
        <v>40046</v>
      </c>
      <c r="DE1" s="15">
        <v>40065</v>
      </c>
      <c r="DF1" s="15">
        <v>40067</v>
      </c>
      <c r="DG1" s="15">
        <v>40071</v>
      </c>
      <c r="DH1" s="15">
        <v>40073</v>
      </c>
      <c r="DI1" s="15">
        <v>40080</v>
      </c>
      <c r="DJ1" s="15">
        <v>40084</v>
      </c>
      <c r="DK1" s="15">
        <v>40086</v>
      </c>
      <c r="DL1" s="15">
        <v>40133</v>
      </c>
      <c r="DM1" s="15">
        <v>40135</v>
      </c>
      <c r="DN1" s="15">
        <v>40140</v>
      </c>
      <c r="DO1" s="15">
        <v>40141</v>
      </c>
      <c r="DP1" s="15">
        <v>40145</v>
      </c>
      <c r="DQ1" s="15">
        <v>40147</v>
      </c>
      <c r="DR1" s="15">
        <v>40154</v>
      </c>
      <c r="DS1" s="15">
        <v>40157</v>
      </c>
      <c r="DT1" s="15">
        <v>40160</v>
      </c>
      <c r="DU1" s="15">
        <v>40162</v>
      </c>
      <c r="DV1" s="15">
        <v>40163</v>
      </c>
      <c r="DW1" s="15">
        <v>40164</v>
      </c>
      <c r="DX1" s="15">
        <v>40168</v>
      </c>
      <c r="DY1" s="15">
        <v>40175</v>
      </c>
      <c r="DZ1" s="15">
        <v>40177</v>
      </c>
      <c r="EA1" s="15">
        <v>40180</v>
      </c>
      <c r="EB1" s="15">
        <v>40182</v>
      </c>
      <c r="EC1" s="15">
        <v>40197</v>
      </c>
      <c r="ED1" s="15">
        <v>40198</v>
      </c>
      <c r="EE1" s="15">
        <v>40199</v>
      </c>
      <c r="EF1" s="15">
        <v>40205</v>
      </c>
      <c r="EG1" s="15">
        <v>40207</v>
      </c>
      <c r="EH1" s="15">
        <v>40210</v>
      </c>
      <c r="EI1" s="15">
        <v>40212</v>
      </c>
      <c r="EJ1" s="15">
        <v>40218</v>
      </c>
      <c r="EK1" s="15">
        <v>40220</v>
      </c>
      <c r="EL1" s="15">
        <v>40226</v>
      </c>
      <c r="EM1" s="15">
        <v>40227</v>
      </c>
      <c r="EN1" s="15">
        <v>40268</v>
      </c>
      <c r="EO1" s="15">
        <v>40273</v>
      </c>
      <c r="EP1" s="15">
        <v>40385</v>
      </c>
      <c r="EQ1" s="15">
        <v>40406</v>
      </c>
      <c r="ER1" s="15">
        <v>40414</v>
      </c>
      <c r="ES1" s="15">
        <v>40416</v>
      </c>
      <c r="ET1" s="15">
        <v>40420</v>
      </c>
      <c r="EU1" s="15">
        <v>40457</v>
      </c>
      <c r="EV1" s="15">
        <v>40459</v>
      </c>
      <c r="EW1" s="15">
        <v>40462</v>
      </c>
      <c r="EX1" s="15">
        <v>40464</v>
      </c>
      <c r="EY1" s="15">
        <v>40469</v>
      </c>
      <c r="EZ1" s="15">
        <v>40471</v>
      </c>
      <c r="FA1" s="15">
        <v>40563</v>
      </c>
      <c r="FB1" s="15">
        <v>40570</v>
      </c>
      <c r="FC1" s="15">
        <v>40574</v>
      </c>
      <c r="FD1" s="15">
        <v>40582</v>
      </c>
      <c r="FE1" s="15">
        <v>40583</v>
      </c>
      <c r="FF1" s="15">
        <v>40585</v>
      </c>
      <c r="FG1" s="15">
        <v>40588</v>
      </c>
      <c r="FH1" s="15">
        <v>40590</v>
      </c>
      <c r="FI1" s="15">
        <v>40591</v>
      </c>
      <c r="FJ1" s="15">
        <v>40785</v>
      </c>
      <c r="FK1" s="15">
        <v>40787</v>
      </c>
      <c r="FL1" s="15">
        <v>40792</v>
      </c>
      <c r="FM1" s="15">
        <v>40798</v>
      </c>
      <c r="FN1" s="15">
        <v>40837</v>
      </c>
      <c r="FO1" s="15">
        <v>40841</v>
      </c>
      <c r="FP1" s="15">
        <v>40842</v>
      </c>
      <c r="FQ1" s="15">
        <v>40975</v>
      </c>
      <c r="FR1" s="15">
        <v>41061</v>
      </c>
      <c r="FS1" s="15">
        <v>41064</v>
      </c>
      <c r="FT1" s="15">
        <v>41085</v>
      </c>
      <c r="FU1" s="15">
        <v>41102</v>
      </c>
      <c r="FV1" s="15">
        <v>41106</v>
      </c>
      <c r="FW1" s="15">
        <v>41116</v>
      </c>
      <c r="FX1" s="15">
        <v>41148</v>
      </c>
      <c r="FY1" s="15">
        <v>41213</v>
      </c>
      <c r="FZ1" s="15">
        <v>41317</v>
      </c>
      <c r="GA1" s="15">
        <v>41319</v>
      </c>
      <c r="GB1" s="15">
        <v>41323</v>
      </c>
      <c r="GC1" s="15">
        <v>41325</v>
      </c>
      <c r="GD1" s="15">
        <v>41330</v>
      </c>
      <c r="GE1" s="15">
        <v>41334</v>
      </c>
      <c r="GF1" s="15">
        <v>41337</v>
      </c>
      <c r="GG1" s="15">
        <v>41340</v>
      </c>
      <c r="GH1" s="15">
        <v>41344</v>
      </c>
      <c r="GI1" s="15">
        <v>41347</v>
      </c>
      <c r="GJ1" s="15">
        <v>41351</v>
      </c>
      <c r="GK1" s="15">
        <v>41435</v>
      </c>
      <c r="GL1" s="15">
        <v>41470</v>
      </c>
      <c r="GM1" s="15">
        <v>41558</v>
      </c>
      <c r="GN1" s="15">
        <v>41561</v>
      </c>
      <c r="GO1" s="15">
        <v>41562</v>
      </c>
      <c r="GP1" s="15">
        <v>41565</v>
      </c>
      <c r="GQ1" s="15">
        <v>41610</v>
      </c>
      <c r="GR1" s="15">
        <v>41684</v>
      </c>
      <c r="GS1" s="15">
        <v>41687</v>
      </c>
      <c r="GT1" s="15">
        <v>41709</v>
      </c>
      <c r="GU1" s="15">
        <v>41752</v>
      </c>
      <c r="GV1" s="15">
        <v>41753</v>
      </c>
      <c r="GW1" s="15">
        <v>41757</v>
      </c>
      <c r="GX1" s="15">
        <v>41758</v>
      </c>
      <c r="GY1" s="15">
        <v>41827</v>
      </c>
      <c r="GZ1" s="15">
        <v>41848</v>
      </c>
      <c r="HA1" s="15">
        <v>41850</v>
      </c>
      <c r="HB1" s="15">
        <v>41858</v>
      </c>
      <c r="HC1" s="15">
        <v>41862</v>
      </c>
      <c r="HD1" s="15">
        <v>41893</v>
      </c>
      <c r="HE1" s="15">
        <v>41897</v>
      </c>
      <c r="HF1" s="15">
        <v>41900</v>
      </c>
      <c r="HG1" s="15">
        <v>41904</v>
      </c>
      <c r="HH1" s="15">
        <v>41911</v>
      </c>
      <c r="HI1" s="15">
        <v>41931</v>
      </c>
      <c r="HJ1" s="15">
        <v>41974</v>
      </c>
      <c r="HK1" s="15">
        <v>41976</v>
      </c>
      <c r="HL1" s="15">
        <v>42002</v>
      </c>
      <c r="HM1" s="15">
        <v>42003</v>
      </c>
      <c r="HN1" s="15">
        <v>42006</v>
      </c>
      <c r="HO1" s="15">
        <v>42010</v>
      </c>
      <c r="HP1" s="15">
        <v>42013</v>
      </c>
      <c r="HQ1" s="15">
        <v>42033</v>
      </c>
      <c r="HR1" s="15">
        <v>42038</v>
      </c>
      <c r="HS1" s="15">
        <v>42065</v>
      </c>
      <c r="HT1" s="15">
        <v>42067</v>
      </c>
      <c r="HU1" s="15">
        <v>42069</v>
      </c>
      <c r="HV1" s="15">
        <v>42072</v>
      </c>
      <c r="HW1" s="15">
        <v>42073</v>
      </c>
      <c r="HX1" s="15">
        <v>42138</v>
      </c>
      <c r="HY1" s="15">
        <v>42142</v>
      </c>
      <c r="HZ1" s="15">
        <v>42163</v>
      </c>
      <c r="IA1" s="15">
        <v>42164</v>
      </c>
      <c r="IB1" s="15">
        <v>42166</v>
      </c>
      <c r="IC1" s="15">
        <v>42170</v>
      </c>
      <c r="ID1" s="15">
        <v>42172</v>
      </c>
      <c r="IE1" s="15">
        <v>42174</v>
      </c>
      <c r="IF1" s="15">
        <v>42177</v>
      </c>
      <c r="IG1" s="15">
        <v>42179</v>
      </c>
      <c r="IH1" s="15">
        <v>42201</v>
      </c>
      <c r="II1" s="15">
        <v>42213</v>
      </c>
      <c r="IJ1" s="15">
        <v>42222</v>
      </c>
      <c r="IK1" s="15">
        <v>42229</v>
      </c>
      <c r="IL1" s="15">
        <v>42233</v>
      </c>
      <c r="IM1" s="15">
        <v>42250</v>
      </c>
      <c r="IN1" s="15">
        <v>42251</v>
      </c>
      <c r="IO1" s="15">
        <v>42255</v>
      </c>
      <c r="IP1" s="15">
        <v>42276</v>
      </c>
      <c r="IQ1" s="15">
        <v>42289</v>
      </c>
      <c r="IR1" s="15">
        <v>42292</v>
      </c>
      <c r="IS1" s="15">
        <v>42293</v>
      </c>
      <c r="IT1" s="15">
        <v>42321</v>
      </c>
      <c r="IU1" s="15">
        <v>42324</v>
      </c>
      <c r="IV1" s="15">
        <v>42331</v>
      </c>
      <c r="IW1" s="15">
        <v>42336</v>
      </c>
      <c r="IX1" s="15">
        <v>42338</v>
      </c>
      <c r="IY1" s="15">
        <v>42339</v>
      </c>
      <c r="IZ1" s="15">
        <v>42341</v>
      </c>
      <c r="JA1" s="15">
        <v>42347</v>
      </c>
      <c r="JB1" s="15">
        <v>42348</v>
      </c>
      <c r="JC1" s="15">
        <v>42349</v>
      </c>
      <c r="JD1" s="15">
        <v>42354</v>
      </c>
      <c r="JE1" s="15">
        <v>42355</v>
      </c>
      <c r="JF1" s="15">
        <v>42359</v>
      </c>
      <c r="JG1" s="15">
        <v>42366</v>
      </c>
      <c r="JH1" s="15">
        <v>42368</v>
      </c>
      <c r="JI1" s="15">
        <v>42373</v>
      </c>
      <c r="JJ1" s="15">
        <v>42376</v>
      </c>
      <c r="JK1" s="15">
        <v>42382</v>
      </c>
      <c r="JL1" s="15">
        <v>42389</v>
      </c>
      <c r="JM1" s="15">
        <v>42394</v>
      </c>
      <c r="JN1" s="15">
        <v>42395</v>
      </c>
      <c r="JO1" s="15">
        <v>42401</v>
      </c>
      <c r="JP1" s="15">
        <v>42411</v>
      </c>
      <c r="JQ1" s="15">
        <v>42415</v>
      </c>
      <c r="JR1" s="15">
        <v>42418</v>
      </c>
      <c r="JS1" s="15">
        <v>42422</v>
      </c>
      <c r="JT1" s="15">
        <v>42426</v>
      </c>
      <c r="JU1" s="15">
        <v>42429</v>
      </c>
      <c r="JV1" s="15">
        <v>42495</v>
      </c>
      <c r="JW1" s="15">
        <v>42499</v>
      </c>
      <c r="JX1" s="15">
        <v>42531</v>
      </c>
      <c r="JY1" s="15">
        <v>42548</v>
      </c>
      <c r="JZ1" s="15">
        <v>42573</v>
      </c>
      <c r="KA1" s="15">
        <v>42590</v>
      </c>
      <c r="KB1" s="15">
        <v>42604</v>
      </c>
      <c r="KC1" s="15">
        <v>42606</v>
      </c>
      <c r="KD1" s="15">
        <v>42607</v>
      </c>
      <c r="KE1" s="15">
        <v>42620</v>
      </c>
      <c r="KF1" s="15">
        <v>42635</v>
      </c>
      <c r="KG1" s="15">
        <v>42641</v>
      </c>
      <c r="KH1" s="15">
        <v>42642</v>
      </c>
      <c r="KI1" s="15">
        <v>42645</v>
      </c>
      <c r="KJ1" s="15">
        <v>42655</v>
      </c>
      <c r="KK1" s="15">
        <v>42661</v>
      </c>
      <c r="KL1" s="15">
        <v>42662</v>
      </c>
      <c r="KM1" s="15">
        <v>42712</v>
      </c>
      <c r="KN1" s="15">
        <v>42718</v>
      </c>
      <c r="KO1" s="15">
        <v>42719</v>
      </c>
      <c r="KP1" s="15">
        <v>42724</v>
      </c>
      <c r="KQ1" s="15">
        <v>42725</v>
      </c>
      <c r="KR1" s="15">
        <v>42732</v>
      </c>
      <c r="KS1" s="15">
        <v>42780</v>
      </c>
      <c r="KT1" s="15">
        <v>42810</v>
      </c>
      <c r="KU1" s="15">
        <v>42814</v>
      </c>
      <c r="KV1" s="15">
        <v>42815</v>
      </c>
      <c r="KW1" s="15">
        <v>42817</v>
      </c>
      <c r="KX1" s="15">
        <v>42821</v>
      </c>
      <c r="KY1" s="15">
        <v>42836</v>
      </c>
      <c r="KZ1" s="15">
        <v>42856</v>
      </c>
      <c r="LA1" s="15">
        <v>42857</v>
      </c>
      <c r="LB1" s="15">
        <v>42859</v>
      </c>
      <c r="LC1" s="15">
        <v>42864</v>
      </c>
      <c r="LD1" s="15">
        <v>42887</v>
      </c>
      <c r="LE1" s="15">
        <v>42891</v>
      </c>
      <c r="LF1" s="15">
        <v>42913</v>
      </c>
      <c r="LG1" s="15">
        <v>42936</v>
      </c>
      <c r="LH1" s="15">
        <v>42940</v>
      </c>
      <c r="LI1" s="15">
        <v>42962</v>
      </c>
      <c r="LJ1" s="15">
        <v>41873</v>
      </c>
      <c r="LK1" s="15">
        <v>42978</v>
      </c>
      <c r="LL1" s="15">
        <v>42983</v>
      </c>
      <c r="LM1" s="15">
        <v>43040</v>
      </c>
      <c r="LN1" s="15">
        <v>43041</v>
      </c>
      <c r="LO1" s="15">
        <v>43045</v>
      </c>
      <c r="LP1" s="15">
        <v>43046</v>
      </c>
      <c r="LQ1" s="15">
        <v>43081</v>
      </c>
      <c r="LR1" s="15">
        <v>43083</v>
      </c>
      <c r="LS1" s="15">
        <v>43087</v>
      </c>
      <c r="LT1" s="15">
        <v>43109</v>
      </c>
      <c r="LU1" s="15">
        <v>43110</v>
      </c>
      <c r="LV1" s="15">
        <v>43117</v>
      </c>
      <c r="LW1" s="15">
        <v>43132</v>
      </c>
      <c r="LX1" s="15">
        <v>43137</v>
      </c>
      <c r="LY1" s="15">
        <v>43138</v>
      </c>
      <c r="LZ1" s="15">
        <v>43139</v>
      </c>
      <c r="MA1" s="15">
        <v>43144</v>
      </c>
      <c r="MB1" s="15">
        <v>43146</v>
      </c>
      <c r="MC1" s="15">
        <v>43150</v>
      </c>
      <c r="MD1" s="15">
        <v>43151</v>
      </c>
      <c r="ME1" s="15">
        <v>43153</v>
      </c>
      <c r="MF1" s="15">
        <v>43158</v>
      </c>
      <c r="MG1" s="15">
        <v>43185</v>
      </c>
      <c r="MH1" s="15">
        <v>43186</v>
      </c>
      <c r="MI1" s="15">
        <v>43202</v>
      </c>
      <c r="MJ1" s="15">
        <v>43209</v>
      </c>
      <c r="MK1" s="15">
        <v>43220</v>
      </c>
      <c r="ML1" s="15">
        <v>43255</v>
      </c>
      <c r="MM1" s="15">
        <v>43257</v>
      </c>
      <c r="MN1" s="15">
        <v>43264</v>
      </c>
      <c r="MO1" s="15">
        <v>43271</v>
      </c>
      <c r="MP1" s="15">
        <v>43253</v>
      </c>
      <c r="MQ1" s="15">
        <v>43283</v>
      </c>
      <c r="MR1" s="15">
        <v>43297</v>
      </c>
      <c r="MS1" s="15">
        <v>43314</v>
      </c>
      <c r="MT1" s="15">
        <v>43318</v>
      </c>
      <c r="MU1" s="15">
        <v>43321</v>
      </c>
      <c r="MV1" s="15">
        <v>43326</v>
      </c>
      <c r="MW1" s="15">
        <v>43381</v>
      </c>
      <c r="MX1" s="15">
        <v>43389</v>
      </c>
      <c r="MY1" s="15">
        <v>43391</v>
      </c>
      <c r="MZ1" s="15">
        <v>43403</v>
      </c>
      <c r="NA1" s="15">
        <v>43405</v>
      </c>
      <c r="NB1" s="15">
        <v>43423</v>
      </c>
      <c r="NC1" s="15">
        <v>43424</v>
      </c>
      <c r="ND1" s="15">
        <v>43431</v>
      </c>
      <c r="NE1" s="15">
        <v>43432</v>
      </c>
      <c r="NF1" s="15">
        <v>43437</v>
      </c>
      <c r="NG1" s="15">
        <v>43439</v>
      </c>
      <c r="NH1" s="15">
        <v>43447</v>
      </c>
      <c r="NI1" s="15">
        <v>43451</v>
      </c>
      <c r="NJ1" s="15">
        <v>43453</v>
      </c>
      <c r="NK1" s="15">
        <v>43461</v>
      </c>
      <c r="NL1" s="15">
        <v>43467</v>
      </c>
      <c r="NM1" s="15">
        <v>43468</v>
      </c>
      <c r="NN1" s="15">
        <v>43472</v>
      </c>
      <c r="NO1" s="15">
        <v>43473</v>
      </c>
      <c r="NP1" s="15">
        <v>43475</v>
      </c>
      <c r="NQ1" s="15">
        <v>43479</v>
      </c>
      <c r="NR1" s="15">
        <v>43480</v>
      </c>
      <c r="NS1" s="15">
        <v>43493</v>
      </c>
      <c r="NT1" s="15">
        <v>43495</v>
      </c>
      <c r="NU1" s="15">
        <v>43502</v>
      </c>
      <c r="NV1" s="15">
        <v>43503</v>
      </c>
      <c r="NW1" s="15">
        <v>43572</v>
      </c>
      <c r="NX1" s="15">
        <v>43601</v>
      </c>
      <c r="NY1" s="15">
        <v>43619</v>
      </c>
      <c r="NZ1" s="15">
        <v>43620</v>
      </c>
      <c r="OA1" s="15">
        <v>43629</v>
      </c>
      <c r="OB1" s="15">
        <v>43657</v>
      </c>
      <c r="OC1" s="15">
        <v>43661</v>
      </c>
      <c r="OD1" s="15">
        <v>43698</v>
      </c>
      <c r="OE1" s="15">
        <v>43719</v>
      </c>
      <c r="OF1" s="15">
        <v>43724</v>
      </c>
      <c r="OG1" s="15">
        <v>43755</v>
      </c>
      <c r="OH1" s="15">
        <v>43761</v>
      </c>
      <c r="OI1" s="15">
        <v>43762</v>
      </c>
      <c r="OJ1" s="15">
        <v>43810</v>
      </c>
      <c r="OK1" s="15">
        <v>43816</v>
      </c>
      <c r="OL1" s="15">
        <v>43867</v>
      </c>
      <c r="OM1" s="15">
        <v>43872</v>
      </c>
      <c r="ON1" s="15">
        <v>43874</v>
      </c>
      <c r="OO1" s="15">
        <v>43878</v>
      </c>
      <c r="OP1" s="15">
        <v>43879</v>
      </c>
      <c r="OQ1" s="15">
        <v>43885</v>
      </c>
      <c r="OR1" s="15">
        <v>43888</v>
      </c>
      <c r="OS1" s="15">
        <v>43899</v>
      </c>
      <c r="OT1" s="15">
        <v>43901</v>
      </c>
      <c r="OU1" s="15">
        <v>43937</v>
      </c>
      <c r="OV1" s="15">
        <v>43943</v>
      </c>
      <c r="OW1" s="15">
        <v>43950</v>
      </c>
      <c r="OX1" s="15">
        <v>43955</v>
      </c>
      <c r="OY1" s="15">
        <v>43977</v>
      </c>
      <c r="OZ1" s="15">
        <v>43983</v>
      </c>
      <c r="PA1" s="15">
        <v>43986</v>
      </c>
      <c r="PB1" s="15">
        <v>43990</v>
      </c>
      <c r="PC1" s="15">
        <v>44005</v>
      </c>
      <c r="PD1" s="15">
        <v>43914</v>
      </c>
      <c r="PE1" s="15">
        <v>44007</v>
      </c>
      <c r="PF1" s="15">
        <v>44011</v>
      </c>
      <c r="PG1" s="15">
        <v>44027</v>
      </c>
      <c r="PH1" s="15">
        <v>44034</v>
      </c>
      <c r="PI1" s="15">
        <v>44053</v>
      </c>
      <c r="PJ1" s="15">
        <v>44054</v>
      </c>
      <c r="PK1" s="15">
        <v>44067</v>
      </c>
      <c r="PL1" s="15">
        <v>44069</v>
      </c>
      <c r="PM1" s="15">
        <v>44070</v>
      </c>
      <c r="PN1" s="15">
        <v>44097</v>
      </c>
      <c r="PO1" s="15">
        <v>44105</v>
      </c>
      <c r="PP1" s="15">
        <v>44109</v>
      </c>
      <c r="PQ1" s="15">
        <v>44111</v>
      </c>
      <c r="PR1" s="15">
        <v>44132</v>
      </c>
      <c r="PS1" s="15">
        <v>44137</v>
      </c>
      <c r="PT1" s="15">
        <v>44138</v>
      </c>
      <c r="PU1" s="15">
        <v>44153</v>
      </c>
      <c r="PV1" s="15">
        <v>44155</v>
      </c>
      <c r="PW1" s="15">
        <v>44158</v>
      </c>
      <c r="PX1" s="15">
        <v>44159</v>
      </c>
      <c r="PY1" s="15">
        <v>44167</v>
      </c>
      <c r="PZ1" s="15">
        <v>44173</v>
      </c>
      <c r="QA1" s="15">
        <v>44175</v>
      </c>
      <c r="QB1" s="15">
        <v>44176</v>
      </c>
      <c r="QC1" s="15">
        <v>44180</v>
      </c>
      <c r="QD1" s="15">
        <v>44187</v>
      </c>
      <c r="QE1" s="15">
        <v>44195</v>
      </c>
      <c r="QF1" s="15">
        <v>44200</v>
      </c>
      <c r="QG1" s="15">
        <v>44202</v>
      </c>
      <c r="QH1" s="15">
        <v>44207</v>
      </c>
      <c r="QI1" s="15">
        <v>44209</v>
      </c>
      <c r="QJ1" s="15">
        <v>44231</v>
      </c>
    </row>
    <row r="2" spans="1:452" s="17" customFormat="1" x14ac:dyDescent="0.15">
      <c r="A2" s="17" t="s">
        <v>61</v>
      </c>
      <c r="B2" s="18">
        <v>19</v>
      </c>
      <c r="C2" s="19"/>
      <c r="G2" s="17">
        <v>7.8</v>
      </c>
      <c r="H2" s="17">
        <v>4.5</v>
      </c>
      <c r="K2" s="17">
        <v>2</v>
      </c>
      <c r="L2" s="17">
        <v>4.5</v>
      </c>
      <c r="P2" s="17">
        <v>1.7</v>
      </c>
      <c r="R2" s="17">
        <v>2</v>
      </c>
      <c r="U2" s="17">
        <v>22</v>
      </c>
      <c r="V2" s="17">
        <v>1.7</v>
      </c>
      <c r="X2" s="17">
        <v>540</v>
      </c>
      <c r="Y2" s="17">
        <v>33</v>
      </c>
      <c r="Z2" s="17">
        <v>23</v>
      </c>
      <c r="AA2" s="17">
        <v>27</v>
      </c>
      <c r="AB2" s="17">
        <v>11</v>
      </c>
      <c r="AF2" s="17">
        <v>2</v>
      </c>
      <c r="AG2" s="17">
        <v>4.3</v>
      </c>
      <c r="AH2" s="17">
        <v>1.7</v>
      </c>
      <c r="AI2" s="17">
        <v>17</v>
      </c>
      <c r="AK2" s="17">
        <v>2</v>
      </c>
      <c r="AL2" s="17">
        <v>2</v>
      </c>
      <c r="AQ2" s="17">
        <v>130</v>
      </c>
      <c r="AR2" s="17">
        <v>1.7</v>
      </c>
      <c r="AS2" s="15"/>
      <c r="AT2" s="17">
        <v>4.5</v>
      </c>
      <c r="AV2" s="17">
        <v>4.5</v>
      </c>
      <c r="AY2" s="17">
        <v>1.7</v>
      </c>
      <c r="AZ2" s="17">
        <v>4.5</v>
      </c>
      <c r="BB2" s="17">
        <v>7.8</v>
      </c>
      <c r="BC2" s="15"/>
      <c r="BF2" s="17">
        <v>21</v>
      </c>
      <c r="BG2" s="17">
        <v>23</v>
      </c>
      <c r="BH2" s="17">
        <v>130</v>
      </c>
      <c r="BI2" s="17">
        <v>17</v>
      </c>
      <c r="BJ2" s="17">
        <v>6.8</v>
      </c>
      <c r="BM2" s="17">
        <v>79</v>
      </c>
      <c r="BN2" s="17">
        <v>23</v>
      </c>
      <c r="BO2" s="17">
        <v>2</v>
      </c>
      <c r="BU2" s="17">
        <v>130</v>
      </c>
      <c r="BV2" s="17">
        <v>46</v>
      </c>
      <c r="BW2" s="17">
        <v>7.8</v>
      </c>
      <c r="BX2" s="15"/>
      <c r="CE2" s="17">
        <v>2</v>
      </c>
      <c r="CF2" s="17">
        <v>1.7</v>
      </c>
      <c r="CG2" s="17">
        <v>79</v>
      </c>
      <c r="CH2" s="17">
        <v>130</v>
      </c>
      <c r="CI2" s="17">
        <v>7.8</v>
      </c>
      <c r="CK2" s="17">
        <v>21</v>
      </c>
      <c r="CL2" s="17">
        <v>33</v>
      </c>
      <c r="CO2" s="17">
        <v>33</v>
      </c>
      <c r="CP2" s="17">
        <v>2</v>
      </c>
      <c r="CQ2" s="17">
        <v>7.8</v>
      </c>
      <c r="CR2" s="17">
        <v>2</v>
      </c>
      <c r="CW2" s="17">
        <v>2</v>
      </c>
      <c r="DB2" s="17">
        <v>7.8</v>
      </c>
      <c r="DL2" s="17">
        <v>70</v>
      </c>
      <c r="DO2" s="17">
        <v>70</v>
      </c>
      <c r="DP2" s="17">
        <v>49</v>
      </c>
      <c r="DQ2" s="17">
        <v>7.8</v>
      </c>
      <c r="DR2" s="17">
        <v>79</v>
      </c>
      <c r="DS2" s="17">
        <v>23</v>
      </c>
      <c r="DT2" s="17">
        <v>4.5</v>
      </c>
      <c r="EC2" s="17">
        <v>13</v>
      </c>
      <c r="EJ2" s="17">
        <v>13</v>
      </c>
      <c r="EK2" s="17">
        <v>4.5</v>
      </c>
      <c r="EN2" s="17">
        <v>4.5</v>
      </c>
      <c r="EP2" s="17">
        <v>4</v>
      </c>
      <c r="EU2" s="17">
        <v>79</v>
      </c>
      <c r="EV2" s="17">
        <v>1.8</v>
      </c>
      <c r="FA2" s="17">
        <v>1.7</v>
      </c>
      <c r="FM2" s="17">
        <v>1.7</v>
      </c>
      <c r="FN2" s="17">
        <v>11</v>
      </c>
      <c r="FR2" s="17">
        <v>2</v>
      </c>
      <c r="FT2" s="17">
        <v>4</v>
      </c>
      <c r="FU2" s="17">
        <v>2</v>
      </c>
      <c r="FX2" s="17">
        <v>4</v>
      </c>
      <c r="FY2" s="17">
        <v>1.7</v>
      </c>
      <c r="GA2" s="17">
        <v>4.5</v>
      </c>
      <c r="GK2" s="17">
        <v>2</v>
      </c>
      <c r="GM2" s="17">
        <v>4.5</v>
      </c>
      <c r="GN2" s="17">
        <v>7.8</v>
      </c>
      <c r="GT2" s="17">
        <v>11</v>
      </c>
      <c r="GU2" s="17">
        <v>13</v>
      </c>
      <c r="GV2" s="17">
        <v>6.8</v>
      </c>
      <c r="GY2" s="17">
        <v>1.7</v>
      </c>
      <c r="GZ2" s="17">
        <v>1.7</v>
      </c>
      <c r="HC2" s="17">
        <v>2</v>
      </c>
      <c r="HE2" s="17">
        <v>33</v>
      </c>
      <c r="HF2" s="17">
        <v>17</v>
      </c>
      <c r="HG2" s="17">
        <v>17</v>
      </c>
      <c r="HJ2" s="17">
        <v>4.5</v>
      </c>
      <c r="HL2" s="17">
        <v>13</v>
      </c>
      <c r="HM2" s="17">
        <v>31</v>
      </c>
      <c r="HN2" s="17">
        <v>9.3000000000000007</v>
      </c>
      <c r="HQ2" s="17">
        <v>33</v>
      </c>
      <c r="HR2" s="17">
        <v>4.5</v>
      </c>
      <c r="HX2" s="17">
        <v>11</v>
      </c>
      <c r="IB2" s="17">
        <v>70</v>
      </c>
      <c r="IC2" s="17">
        <v>7.8</v>
      </c>
      <c r="IH2" s="17">
        <v>1.7</v>
      </c>
      <c r="II2" s="17">
        <v>1.7</v>
      </c>
      <c r="IJ2" s="17">
        <v>7.8</v>
      </c>
      <c r="IM2" s="17">
        <v>7.8</v>
      </c>
      <c r="IP2" s="17">
        <v>2</v>
      </c>
      <c r="IQ2" s="17">
        <v>79</v>
      </c>
      <c r="IS2" s="17">
        <v>2</v>
      </c>
      <c r="IT2" s="17">
        <v>4.5</v>
      </c>
      <c r="IU2" s="17">
        <v>17</v>
      </c>
      <c r="IV2" s="17">
        <v>240</v>
      </c>
      <c r="IW2" s="17">
        <v>13</v>
      </c>
      <c r="JM2" s="17">
        <v>23</v>
      </c>
      <c r="JO2" s="17">
        <v>13</v>
      </c>
      <c r="JQ2" s="17">
        <v>49</v>
      </c>
      <c r="JR2" s="17">
        <v>4.5</v>
      </c>
      <c r="JS2" s="17">
        <v>33</v>
      </c>
      <c r="JT2" s="17">
        <v>49</v>
      </c>
      <c r="JU2" s="17">
        <v>2</v>
      </c>
      <c r="JV2" s="17">
        <v>33</v>
      </c>
      <c r="JW2" s="17">
        <v>2</v>
      </c>
      <c r="JX2" s="17">
        <v>13</v>
      </c>
      <c r="JY2" s="17">
        <v>6.8</v>
      </c>
      <c r="JZ2" s="17">
        <v>1.7</v>
      </c>
      <c r="KA2" s="17">
        <v>1.7</v>
      </c>
      <c r="KB2" s="17">
        <v>1.7</v>
      </c>
      <c r="KF2" s="17">
        <v>7.8</v>
      </c>
      <c r="KG2" s="17">
        <v>13</v>
      </c>
      <c r="KK2" s="17">
        <v>11</v>
      </c>
      <c r="KM2" s="17">
        <v>79</v>
      </c>
      <c r="KN2" s="17">
        <v>33</v>
      </c>
      <c r="KO2" s="17">
        <v>2</v>
      </c>
      <c r="KT2" s="20">
        <v>95</v>
      </c>
      <c r="KU2" s="17">
        <v>7.8</v>
      </c>
      <c r="KV2" s="17">
        <v>17</v>
      </c>
      <c r="KY2" s="17">
        <v>6.8</v>
      </c>
      <c r="KZ2" s="17">
        <v>7.8</v>
      </c>
      <c r="LF2" s="17">
        <v>2</v>
      </c>
      <c r="LG2" s="17">
        <v>7.8</v>
      </c>
      <c r="LJ2" s="17">
        <v>4.5</v>
      </c>
      <c r="LM2" s="17">
        <v>170</v>
      </c>
      <c r="LO2" s="17">
        <v>17</v>
      </c>
      <c r="LP2" s="17">
        <v>2</v>
      </c>
      <c r="LQ2" s="17">
        <v>13</v>
      </c>
      <c r="LR2" s="17">
        <v>1.7</v>
      </c>
      <c r="LV2" s="17">
        <v>2</v>
      </c>
      <c r="LW2" s="17">
        <v>79</v>
      </c>
      <c r="LX2" s="17">
        <v>11</v>
      </c>
      <c r="MJ2" s="17">
        <v>3.7</v>
      </c>
      <c r="MK2" s="17">
        <v>4.5</v>
      </c>
      <c r="ML2" s="17">
        <v>17</v>
      </c>
      <c r="MM2" s="17">
        <v>4.5</v>
      </c>
      <c r="MN2" s="17">
        <v>79</v>
      </c>
      <c r="MO2" s="17">
        <v>6.8</v>
      </c>
      <c r="MQ2" s="17">
        <v>1.7</v>
      </c>
      <c r="MR2" s="17">
        <v>4.5</v>
      </c>
      <c r="MS2" s="17">
        <v>2</v>
      </c>
      <c r="MW2" s="17">
        <v>170</v>
      </c>
      <c r="MX2" s="17">
        <v>23</v>
      </c>
      <c r="MY2" s="17">
        <v>13</v>
      </c>
      <c r="MZ2" s="17">
        <v>6.8</v>
      </c>
      <c r="NK2" s="17">
        <v>11</v>
      </c>
      <c r="NS2" s="17">
        <v>33</v>
      </c>
      <c r="NT2" s="17">
        <v>79</v>
      </c>
      <c r="NU2" s="17">
        <v>1.7</v>
      </c>
      <c r="NW2" s="17">
        <v>1.7</v>
      </c>
      <c r="NY2" s="17">
        <v>7.8</v>
      </c>
      <c r="OC2" s="17">
        <v>1.7</v>
      </c>
      <c r="OD2" s="17">
        <v>4.5</v>
      </c>
      <c r="OF2" s="17">
        <v>6.8</v>
      </c>
      <c r="ON2" s="17">
        <v>7.8</v>
      </c>
      <c r="OU2" s="17">
        <v>49</v>
      </c>
      <c r="OV2" s="17">
        <v>2</v>
      </c>
      <c r="OZ2" s="17">
        <v>79</v>
      </c>
      <c r="PA2" s="17">
        <v>2</v>
      </c>
      <c r="PD2" s="17">
        <v>13</v>
      </c>
      <c r="PI2" s="17">
        <v>1.7</v>
      </c>
      <c r="PK2" s="17">
        <v>17</v>
      </c>
      <c r="PN2" s="17">
        <v>11</v>
      </c>
      <c r="PO2" s="17">
        <v>33</v>
      </c>
      <c r="PP2" s="17">
        <v>7.8</v>
      </c>
      <c r="PU2" s="17">
        <v>4.5</v>
      </c>
      <c r="PY2" s="17">
        <v>13</v>
      </c>
      <c r="PZ2" s="17">
        <v>79</v>
      </c>
      <c r="QA2" s="17">
        <v>7.8</v>
      </c>
      <c r="QD2" s="17">
        <v>110</v>
      </c>
      <c r="QE2" s="17">
        <v>1.7</v>
      </c>
      <c r="QJ2" s="17">
        <v>11</v>
      </c>
    </row>
    <row r="3" spans="1:452" s="17" customFormat="1" x14ac:dyDescent="0.15">
      <c r="A3" s="17" t="s">
        <v>62</v>
      </c>
      <c r="B3" s="18">
        <v>25</v>
      </c>
      <c r="C3" s="19"/>
      <c r="E3" s="17">
        <v>4.5</v>
      </c>
      <c r="G3" s="17">
        <v>33</v>
      </c>
      <c r="H3" s="17">
        <v>4</v>
      </c>
      <c r="I3" s="17">
        <v>1.7</v>
      </c>
      <c r="J3" s="17">
        <v>33</v>
      </c>
      <c r="K3" s="17">
        <v>1.8</v>
      </c>
      <c r="L3" s="17">
        <v>4.5</v>
      </c>
      <c r="R3" s="17">
        <v>22</v>
      </c>
      <c r="S3" s="17">
        <v>7.8</v>
      </c>
      <c r="U3" s="17">
        <v>79</v>
      </c>
      <c r="V3" s="17">
        <v>1.7</v>
      </c>
      <c r="X3" s="17">
        <v>920</v>
      </c>
      <c r="Y3" s="17">
        <v>33</v>
      </c>
      <c r="Z3" s="17">
        <v>70</v>
      </c>
      <c r="AA3" s="17">
        <v>34</v>
      </c>
      <c r="AB3" s="17">
        <v>11</v>
      </c>
      <c r="AF3" s="17">
        <v>79</v>
      </c>
      <c r="AG3" s="17">
        <v>79</v>
      </c>
      <c r="AH3" s="17">
        <v>7.8</v>
      </c>
      <c r="AI3" s="17">
        <v>4.5</v>
      </c>
      <c r="AK3" s="17">
        <v>1.8</v>
      </c>
      <c r="AL3" s="17">
        <v>4.5</v>
      </c>
      <c r="AR3" s="17">
        <v>79</v>
      </c>
      <c r="AT3" s="17">
        <v>2</v>
      </c>
      <c r="AV3" s="17">
        <v>4.5</v>
      </c>
      <c r="AW3" s="17">
        <v>240</v>
      </c>
      <c r="AX3" s="17">
        <v>7.8</v>
      </c>
      <c r="AY3" s="17">
        <v>17</v>
      </c>
      <c r="AZ3" s="17">
        <v>11</v>
      </c>
      <c r="BB3" s="17">
        <v>49</v>
      </c>
      <c r="BF3" s="17">
        <v>140</v>
      </c>
      <c r="BG3" s="17">
        <v>23</v>
      </c>
      <c r="BH3" s="17">
        <v>34</v>
      </c>
      <c r="BI3" s="17">
        <v>11</v>
      </c>
      <c r="BJ3" s="17">
        <v>6.8</v>
      </c>
      <c r="BM3" s="17">
        <v>170</v>
      </c>
      <c r="BN3" s="17">
        <v>49</v>
      </c>
      <c r="BO3" s="17">
        <v>7.8</v>
      </c>
      <c r="BU3" s="17">
        <v>49</v>
      </c>
      <c r="BV3" s="17">
        <v>49</v>
      </c>
      <c r="BW3" s="17">
        <v>17</v>
      </c>
      <c r="BY3" s="17">
        <v>4.5</v>
      </c>
      <c r="CB3" s="17">
        <v>7.8</v>
      </c>
      <c r="CE3" s="17">
        <v>2</v>
      </c>
      <c r="CF3" s="17">
        <v>2</v>
      </c>
      <c r="CG3" s="17">
        <v>350</v>
      </c>
      <c r="CH3" s="17">
        <v>130</v>
      </c>
      <c r="CI3" s="17">
        <v>4.5</v>
      </c>
      <c r="CK3" s="17">
        <v>27</v>
      </c>
      <c r="CL3" s="17">
        <v>49</v>
      </c>
      <c r="CO3" s="17">
        <v>46</v>
      </c>
      <c r="CP3" s="17">
        <v>1.7</v>
      </c>
      <c r="CQ3" s="17">
        <v>1.7</v>
      </c>
      <c r="CR3" s="17">
        <v>6.8</v>
      </c>
      <c r="CU3" s="17">
        <v>6.8</v>
      </c>
      <c r="CW3" s="17">
        <v>4.5</v>
      </c>
      <c r="DB3" s="17">
        <v>9.3000000000000007</v>
      </c>
      <c r="DF3" s="17">
        <v>49</v>
      </c>
      <c r="DL3" s="21" t="s">
        <v>57</v>
      </c>
      <c r="DP3" s="17">
        <v>11</v>
      </c>
      <c r="DQ3" s="17">
        <v>7.8</v>
      </c>
      <c r="DR3" s="17">
        <v>70</v>
      </c>
      <c r="DS3" s="17">
        <v>23</v>
      </c>
      <c r="DT3" s="17">
        <v>7.8</v>
      </c>
      <c r="DY3" s="17">
        <v>170</v>
      </c>
      <c r="DZ3" s="17">
        <v>49</v>
      </c>
      <c r="EA3" s="17">
        <v>17</v>
      </c>
      <c r="EC3" s="17">
        <v>23</v>
      </c>
      <c r="ED3" s="17">
        <v>13</v>
      </c>
      <c r="EJ3" s="17">
        <v>33</v>
      </c>
      <c r="EK3" s="17">
        <v>23</v>
      </c>
      <c r="EL3" s="17">
        <v>11</v>
      </c>
      <c r="EN3" s="17">
        <v>11</v>
      </c>
      <c r="EP3" s="17">
        <v>2</v>
      </c>
      <c r="EU3" s="17">
        <v>49</v>
      </c>
      <c r="EV3" s="17">
        <v>4.5</v>
      </c>
      <c r="FA3" s="17">
        <v>4.5</v>
      </c>
      <c r="FM3" s="17">
        <v>1.7</v>
      </c>
      <c r="FN3" s="17">
        <v>14</v>
      </c>
      <c r="FR3" s="17">
        <v>17</v>
      </c>
      <c r="FT3" s="17">
        <v>1.7</v>
      </c>
      <c r="FU3" s="17">
        <v>4.5</v>
      </c>
      <c r="FY3" s="17">
        <v>2</v>
      </c>
      <c r="GA3" s="17">
        <v>13</v>
      </c>
      <c r="GK3" s="17">
        <v>7.8</v>
      </c>
      <c r="GM3" s="17">
        <v>17</v>
      </c>
      <c r="GN3" s="17">
        <v>4.5</v>
      </c>
      <c r="GT3" s="17">
        <v>4.5</v>
      </c>
      <c r="GU3" s="17">
        <v>49</v>
      </c>
      <c r="GV3" s="17">
        <v>7.8</v>
      </c>
      <c r="GY3" s="17">
        <v>13</v>
      </c>
      <c r="GZ3" s="17">
        <v>4</v>
      </c>
      <c r="HC3" s="17">
        <v>6.8</v>
      </c>
      <c r="HE3" s="17">
        <v>110</v>
      </c>
      <c r="HF3" s="17">
        <v>23</v>
      </c>
      <c r="HG3" s="17">
        <v>2</v>
      </c>
      <c r="HJ3" s="17">
        <v>6.8</v>
      </c>
      <c r="HQ3" s="17">
        <v>79</v>
      </c>
      <c r="HR3" s="17">
        <v>1.7</v>
      </c>
      <c r="HX3" s="17">
        <v>9.1999999999999993</v>
      </c>
      <c r="IB3" s="17">
        <v>79</v>
      </c>
      <c r="IC3" s="17">
        <v>11</v>
      </c>
      <c r="IH3" s="17">
        <v>4.5</v>
      </c>
      <c r="II3" s="17">
        <v>7.8</v>
      </c>
      <c r="IJ3" s="17">
        <v>4.5</v>
      </c>
      <c r="IM3" s="17">
        <v>11</v>
      </c>
      <c r="IQ3" s="17">
        <v>23</v>
      </c>
      <c r="IS3" s="17">
        <v>2</v>
      </c>
      <c r="IT3" s="17">
        <v>11</v>
      </c>
      <c r="IU3" s="17">
        <v>13</v>
      </c>
      <c r="IV3" s="17">
        <v>130</v>
      </c>
      <c r="IW3" s="17">
        <v>7.8</v>
      </c>
      <c r="JM3" s="17">
        <v>17</v>
      </c>
      <c r="JO3" s="17">
        <v>1.8</v>
      </c>
      <c r="JQ3" s="17">
        <v>27</v>
      </c>
      <c r="JR3" s="17">
        <v>17</v>
      </c>
      <c r="JS3" s="17">
        <v>11</v>
      </c>
      <c r="JT3" s="17">
        <v>49</v>
      </c>
      <c r="JU3" s="17">
        <v>2</v>
      </c>
      <c r="JV3" s="17">
        <v>7.8</v>
      </c>
      <c r="JW3" s="17">
        <v>4.5</v>
      </c>
      <c r="JX3" s="17">
        <v>4.5</v>
      </c>
      <c r="JZ3" s="17">
        <v>2</v>
      </c>
      <c r="KA3" s="17">
        <v>4</v>
      </c>
      <c r="KB3" s="17">
        <v>13</v>
      </c>
      <c r="KF3" s="17">
        <v>7.8</v>
      </c>
      <c r="KG3" s="17">
        <v>1.7</v>
      </c>
      <c r="KK3" s="17">
        <v>11</v>
      </c>
      <c r="KM3" s="17">
        <v>240</v>
      </c>
      <c r="KN3" s="17">
        <v>22</v>
      </c>
      <c r="KO3" s="17">
        <v>6.8</v>
      </c>
      <c r="KT3" s="20">
        <v>24</v>
      </c>
      <c r="KU3" s="17">
        <v>6.8</v>
      </c>
      <c r="KY3" s="17">
        <v>6.8</v>
      </c>
      <c r="KZ3" s="17">
        <v>11</v>
      </c>
      <c r="LF3" s="17">
        <v>6.8</v>
      </c>
      <c r="LG3" s="17">
        <v>17</v>
      </c>
      <c r="LJ3" s="17">
        <v>7.8</v>
      </c>
      <c r="LM3" s="17">
        <v>49</v>
      </c>
      <c r="LO3" s="17">
        <v>4.5</v>
      </c>
      <c r="LQ3" s="17">
        <v>49</v>
      </c>
      <c r="LR3" s="17">
        <v>4.5</v>
      </c>
      <c r="LV3" s="17">
        <v>7.8</v>
      </c>
      <c r="LW3" s="17">
        <v>17</v>
      </c>
      <c r="LX3" s="17">
        <v>4.5</v>
      </c>
      <c r="MJ3" s="17">
        <v>11</v>
      </c>
      <c r="MK3" s="17">
        <v>13</v>
      </c>
      <c r="ML3" s="17">
        <v>17</v>
      </c>
      <c r="MM3" s="17">
        <v>4.5</v>
      </c>
      <c r="MN3" s="17">
        <v>79</v>
      </c>
      <c r="MO3" s="17">
        <v>11</v>
      </c>
      <c r="MQ3" s="17">
        <v>1.7</v>
      </c>
      <c r="MR3" s="17">
        <v>23</v>
      </c>
      <c r="MS3" s="17">
        <v>7.8</v>
      </c>
      <c r="MT3" s="17">
        <v>33</v>
      </c>
      <c r="MU3" s="17">
        <v>13</v>
      </c>
      <c r="MV3" s="17">
        <v>11</v>
      </c>
      <c r="MW3" s="17">
        <v>2</v>
      </c>
      <c r="MX3" s="17">
        <v>7.8</v>
      </c>
      <c r="MY3" s="17">
        <v>2</v>
      </c>
      <c r="MZ3" s="17">
        <v>13</v>
      </c>
      <c r="NH3" s="17">
        <v>240</v>
      </c>
      <c r="NI3" s="17">
        <v>110</v>
      </c>
      <c r="NJ3" s="17">
        <v>6.8</v>
      </c>
      <c r="NK3" s="17">
        <v>14</v>
      </c>
      <c r="NL3" s="17">
        <v>23</v>
      </c>
      <c r="NM3" s="17">
        <v>11</v>
      </c>
      <c r="NN3" s="17">
        <v>4</v>
      </c>
      <c r="NS3" s="17">
        <v>110</v>
      </c>
      <c r="NT3" s="17">
        <v>17</v>
      </c>
      <c r="NU3" s="17">
        <v>2</v>
      </c>
      <c r="NW3" s="17">
        <v>2</v>
      </c>
      <c r="NY3" s="17">
        <v>23</v>
      </c>
      <c r="NZ3" s="17">
        <v>4.5</v>
      </c>
      <c r="OC3" s="17">
        <v>1.7</v>
      </c>
      <c r="OD3" s="17">
        <v>11</v>
      </c>
      <c r="OF3" s="17">
        <v>2</v>
      </c>
      <c r="ON3" s="17">
        <v>22</v>
      </c>
      <c r="OO3" s="17">
        <v>7.8</v>
      </c>
      <c r="OQ3" s="17">
        <v>4.5</v>
      </c>
      <c r="OS3" s="17">
        <v>2</v>
      </c>
      <c r="OU3" s="17">
        <v>11</v>
      </c>
      <c r="OV3" s="17">
        <v>2</v>
      </c>
      <c r="OZ3" s="17">
        <v>49</v>
      </c>
      <c r="PA3" s="17">
        <v>2</v>
      </c>
      <c r="PD3" s="17">
        <v>14</v>
      </c>
      <c r="PF3" s="17">
        <v>7.8</v>
      </c>
      <c r="PI3" s="17">
        <v>1.7</v>
      </c>
      <c r="PK3" s="17">
        <v>7.8</v>
      </c>
      <c r="PN3" s="17">
        <v>2</v>
      </c>
      <c r="PO3" s="17">
        <v>7.8</v>
      </c>
      <c r="PP3" s="17">
        <v>4.5</v>
      </c>
      <c r="PU3" s="17">
        <v>33</v>
      </c>
      <c r="PV3" s="17">
        <v>23</v>
      </c>
      <c r="PW3" s="17">
        <v>49</v>
      </c>
      <c r="PX3" s="17">
        <v>33</v>
      </c>
      <c r="PY3" s="17">
        <v>95</v>
      </c>
      <c r="PZ3" s="17">
        <v>33</v>
      </c>
      <c r="QA3" s="17">
        <v>33</v>
      </c>
      <c r="QB3" s="17">
        <v>7.8</v>
      </c>
      <c r="QD3" s="17">
        <v>280</v>
      </c>
      <c r="QE3" s="17">
        <v>2</v>
      </c>
      <c r="QJ3" s="17">
        <v>11</v>
      </c>
    </row>
    <row r="4" spans="1:452" s="17" customFormat="1" x14ac:dyDescent="0.15">
      <c r="A4" s="17" t="s">
        <v>64</v>
      </c>
      <c r="B4" s="22">
        <v>24</v>
      </c>
      <c r="C4" s="19"/>
      <c r="D4" s="19"/>
      <c r="E4" s="19"/>
      <c r="IP4" s="17">
        <v>7.8</v>
      </c>
      <c r="IR4" s="17">
        <v>11</v>
      </c>
      <c r="JX4" s="17">
        <v>4.5</v>
      </c>
      <c r="JZ4" s="17">
        <v>2</v>
      </c>
      <c r="KA4" s="17">
        <v>2</v>
      </c>
      <c r="KB4" s="17">
        <v>14</v>
      </c>
      <c r="KF4" s="17">
        <v>23</v>
      </c>
      <c r="KG4" s="17">
        <v>11</v>
      </c>
      <c r="KI4" s="17">
        <v>17</v>
      </c>
      <c r="KK4" s="17">
        <v>6.8</v>
      </c>
      <c r="KM4" s="17">
        <v>64</v>
      </c>
      <c r="KN4" s="17">
        <v>6.8</v>
      </c>
      <c r="KO4" s="17">
        <v>2</v>
      </c>
      <c r="KT4" s="20">
        <v>220</v>
      </c>
      <c r="KU4" s="17">
        <v>11</v>
      </c>
      <c r="KY4" s="17">
        <v>11</v>
      </c>
      <c r="KZ4" s="17">
        <v>13</v>
      </c>
      <c r="LF4" s="17">
        <v>4.5</v>
      </c>
      <c r="LG4" s="17">
        <v>13</v>
      </c>
      <c r="LJ4" s="17">
        <v>1.7</v>
      </c>
      <c r="LM4" s="17">
        <v>130</v>
      </c>
      <c r="LO4" s="17">
        <v>11</v>
      </c>
      <c r="LQ4" s="17">
        <v>79</v>
      </c>
      <c r="LR4" s="17">
        <v>4.5</v>
      </c>
      <c r="LV4" s="17">
        <v>4</v>
      </c>
      <c r="LW4" s="17">
        <v>17</v>
      </c>
      <c r="LX4" s="17">
        <v>17</v>
      </c>
      <c r="MJ4" s="17">
        <v>27</v>
      </c>
      <c r="MK4" s="17">
        <v>1.7</v>
      </c>
      <c r="ML4" s="17">
        <v>4.5</v>
      </c>
      <c r="MM4" s="17">
        <v>4.5</v>
      </c>
      <c r="MN4" s="17">
        <v>49</v>
      </c>
      <c r="MO4" s="17">
        <v>11</v>
      </c>
      <c r="MQ4" s="17">
        <v>2</v>
      </c>
      <c r="MR4" s="17">
        <v>1.7</v>
      </c>
      <c r="MS4" s="17">
        <v>33</v>
      </c>
      <c r="MT4" s="17">
        <v>13</v>
      </c>
      <c r="MU4" s="17">
        <v>79</v>
      </c>
      <c r="MV4" s="17">
        <v>11</v>
      </c>
      <c r="MW4" s="17">
        <v>13</v>
      </c>
      <c r="MX4" s="17">
        <v>22</v>
      </c>
      <c r="MY4" s="17">
        <v>7.8</v>
      </c>
      <c r="MZ4" s="17">
        <v>22</v>
      </c>
      <c r="NA4" s="17">
        <v>4.5</v>
      </c>
      <c r="NH4" s="17">
        <v>49</v>
      </c>
      <c r="NI4" s="17">
        <v>23</v>
      </c>
      <c r="NJ4" s="17">
        <v>23</v>
      </c>
      <c r="NK4" s="17">
        <v>46</v>
      </c>
      <c r="NL4" s="17">
        <v>7.8</v>
      </c>
      <c r="NM4" s="17">
        <v>17</v>
      </c>
      <c r="NN4" s="17">
        <v>7.8</v>
      </c>
      <c r="NS4" s="17">
        <v>140</v>
      </c>
      <c r="NT4" s="17">
        <v>33</v>
      </c>
      <c r="NU4" s="17">
        <v>7.8</v>
      </c>
      <c r="NW4" s="17">
        <v>6.8</v>
      </c>
      <c r="NY4" s="17">
        <v>6.1</v>
      </c>
      <c r="OC4" s="17">
        <v>1.7</v>
      </c>
      <c r="OD4" s="17">
        <v>1.7</v>
      </c>
      <c r="OF4" s="17">
        <v>2</v>
      </c>
      <c r="ON4" s="17">
        <v>7.8</v>
      </c>
      <c r="OO4" s="17">
        <v>13</v>
      </c>
      <c r="OQ4" s="17">
        <v>6.8</v>
      </c>
      <c r="OS4" s="17">
        <v>4.5</v>
      </c>
      <c r="OU4" s="17">
        <v>23</v>
      </c>
      <c r="OV4" s="17">
        <v>4.5</v>
      </c>
      <c r="OZ4" s="17">
        <v>33</v>
      </c>
      <c r="PA4" s="17">
        <v>2</v>
      </c>
      <c r="PD4" s="17">
        <v>49</v>
      </c>
      <c r="PF4" s="17">
        <v>13</v>
      </c>
      <c r="PJ4" s="17">
        <v>1.7</v>
      </c>
      <c r="PK4" s="17">
        <v>4.5</v>
      </c>
      <c r="PN4" s="17">
        <v>11</v>
      </c>
      <c r="PO4" s="17">
        <v>23</v>
      </c>
      <c r="PP4" s="17">
        <v>7.8</v>
      </c>
      <c r="PU4" s="17">
        <v>23</v>
      </c>
      <c r="PV4" s="17">
        <v>33</v>
      </c>
      <c r="PW4" s="17">
        <v>33</v>
      </c>
      <c r="PX4" s="17">
        <v>7.8</v>
      </c>
      <c r="PY4" s="17">
        <v>1600</v>
      </c>
      <c r="PZ4" s="17">
        <v>49</v>
      </c>
      <c r="QA4" s="17">
        <v>23</v>
      </c>
      <c r="QB4" s="17">
        <v>17</v>
      </c>
      <c r="QD4" s="17">
        <v>540</v>
      </c>
      <c r="QE4" s="17">
        <v>2</v>
      </c>
      <c r="QJ4" s="17">
        <v>17</v>
      </c>
    </row>
    <row r="5" spans="1:452" s="17" customFormat="1" x14ac:dyDescent="0.15">
      <c r="A5" s="17" t="s">
        <v>65</v>
      </c>
      <c r="B5" s="18">
        <v>9</v>
      </c>
      <c r="C5" s="19"/>
      <c r="D5" s="17">
        <v>7.8</v>
      </c>
      <c r="E5" s="17">
        <v>17</v>
      </c>
      <c r="F5" s="17">
        <v>4.5</v>
      </c>
      <c r="G5" s="17">
        <v>170</v>
      </c>
      <c r="H5" s="17">
        <v>4.5</v>
      </c>
      <c r="I5" s="17">
        <v>14</v>
      </c>
      <c r="J5" s="17">
        <v>27</v>
      </c>
      <c r="K5" s="17">
        <v>4</v>
      </c>
      <c r="L5" s="17">
        <v>49</v>
      </c>
      <c r="M5" s="17">
        <v>2</v>
      </c>
      <c r="N5" s="17">
        <v>7.8</v>
      </c>
      <c r="O5" s="17">
        <v>4.5</v>
      </c>
      <c r="Q5" s="17">
        <v>7.8</v>
      </c>
      <c r="R5" s="17">
        <v>33</v>
      </c>
      <c r="S5" s="17">
        <v>33</v>
      </c>
      <c r="T5" s="17">
        <v>23</v>
      </c>
      <c r="U5" s="17">
        <v>110</v>
      </c>
      <c r="V5" s="17">
        <v>4.5</v>
      </c>
      <c r="W5" s="17">
        <v>4.5</v>
      </c>
      <c r="Z5" s="17">
        <v>79</v>
      </c>
      <c r="AA5" s="17">
        <v>110</v>
      </c>
      <c r="AB5" s="17">
        <v>49</v>
      </c>
      <c r="AC5" s="17">
        <v>49</v>
      </c>
      <c r="AD5" s="17">
        <v>79</v>
      </c>
      <c r="AE5" s="17">
        <v>17</v>
      </c>
      <c r="AF5" s="17">
        <v>170</v>
      </c>
      <c r="AG5" s="17">
        <v>540</v>
      </c>
      <c r="AH5" s="17">
        <v>11</v>
      </c>
      <c r="AI5" s="17">
        <v>130</v>
      </c>
      <c r="AJ5" s="17">
        <v>4</v>
      </c>
      <c r="AK5" s="17">
        <v>1.7</v>
      </c>
      <c r="AL5" s="17">
        <v>23</v>
      </c>
      <c r="AM5" s="17">
        <v>6.8</v>
      </c>
      <c r="AN5" s="17">
        <v>33</v>
      </c>
      <c r="AO5" s="17">
        <v>7.8</v>
      </c>
      <c r="AP5" s="17">
        <v>2</v>
      </c>
      <c r="AQ5" s="17">
        <v>350</v>
      </c>
      <c r="AR5" s="17">
        <v>79</v>
      </c>
      <c r="AS5" s="17">
        <v>2</v>
      </c>
      <c r="AT5" s="17">
        <v>49</v>
      </c>
      <c r="AU5" s="17">
        <v>1.7</v>
      </c>
      <c r="AV5" s="17">
        <v>2</v>
      </c>
      <c r="AY5" s="17">
        <v>33</v>
      </c>
      <c r="AZ5" s="17">
        <v>23</v>
      </c>
      <c r="BA5" s="17">
        <v>4.5</v>
      </c>
      <c r="BB5" s="17">
        <v>110</v>
      </c>
      <c r="BC5" s="17">
        <v>49</v>
      </c>
      <c r="BD5" s="17">
        <v>33</v>
      </c>
      <c r="BE5" s="17">
        <v>13</v>
      </c>
      <c r="BH5" s="17">
        <v>27</v>
      </c>
      <c r="BI5" s="17">
        <v>49</v>
      </c>
      <c r="BJ5" s="17">
        <v>49</v>
      </c>
      <c r="BK5" s="17">
        <v>13</v>
      </c>
      <c r="BL5" s="17">
        <v>13</v>
      </c>
      <c r="BM5" s="17">
        <v>350</v>
      </c>
      <c r="BN5" s="17">
        <v>130</v>
      </c>
      <c r="BO5" s="17">
        <v>49</v>
      </c>
      <c r="BP5" s="17">
        <v>49</v>
      </c>
      <c r="BQ5" s="17">
        <v>240</v>
      </c>
      <c r="BR5" s="17">
        <v>240</v>
      </c>
      <c r="BS5" s="17">
        <v>33</v>
      </c>
      <c r="BT5" s="17">
        <v>23</v>
      </c>
      <c r="BU5" s="17">
        <v>19</v>
      </c>
      <c r="BV5" s="17">
        <v>79</v>
      </c>
      <c r="BW5" s="17">
        <v>13</v>
      </c>
      <c r="BX5" s="17">
        <v>22</v>
      </c>
      <c r="BY5" s="17">
        <v>46</v>
      </c>
      <c r="BZ5" s="17">
        <v>23</v>
      </c>
      <c r="CA5" s="17">
        <v>13</v>
      </c>
      <c r="CB5" s="17">
        <v>1.7</v>
      </c>
      <c r="CC5" s="17">
        <v>2</v>
      </c>
      <c r="CD5" s="17">
        <v>2</v>
      </c>
      <c r="CE5" s="17">
        <v>4</v>
      </c>
      <c r="CF5" s="17">
        <v>2</v>
      </c>
      <c r="CG5" s="17">
        <v>920</v>
      </c>
      <c r="CH5" s="17">
        <v>350</v>
      </c>
      <c r="CI5" s="17">
        <v>6.8</v>
      </c>
      <c r="CJ5" s="17">
        <v>2</v>
      </c>
      <c r="CK5" s="17">
        <v>130</v>
      </c>
      <c r="CL5" s="17">
        <v>49</v>
      </c>
      <c r="CM5" s="17" t="s">
        <v>54</v>
      </c>
      <c r="CN5" s="17">
        <v>14</v>
      </c>
      <c r="CO5" s="17">
        <v>540</v>
      </c>
      <c r="CP5" s="17">
        <v>13</v>
      </c>
      <c r="CQ5" s="17">
        <v>1.7</v>
      </c>
      <c r="CR5" s="17">
        <v>2</v>
      </c>
      <c r="CS5" s="17">
        <v>7.8</v>
      </c>
      <c r="CT5" s="17">
        <v>4.5</v>
      </c>
      <c r="CU5" s="17">
        <v>33</v>
      </c>
      <c r="CV5" s="17">
        <v>7.8</v>
      </c>
      <c r="CW5" s="17">
        <v>49</v>
      </c>
      <c r="CX5" s="17">
        <v>11</v>
      </c>
      <c r="CY5" s="17">
        <v>11</v>
      </c>
      <c r="CZ5" s="17">
        <v>1.7</v>
      </c>
      <c r="DA5" s="17">
        <v>4.5</v>
      </c>
      <c r="DB5" s="17">
        <v>33</v>
      </c>
      <c r="DC5" s="17">
        <v>17</v>
      </c>
      <c r="DD5" s="17">
        <v>13</v>
      </c>
      <c r="DF5" s="17">
        <v>49</v>
      </c>
      <c r="DH5" s="17">
        <v>1.7</v>
      </c>
      <c r="DI5" s="17">
        <v>79</v>
      </c>
      <c r="DJ5" s="17">
        <v>23</v>
      </c>
      <c r="DK5" s="17">
        <v>13</v>
      </c>
      <c r="DN5" s="17">
        <v>33</v>
      </c>
      <c r="DP5" s="17">
        <v>23</v>
      </c>
      <c r="DQ5" s="17">
        <v>33</v>
      </c>
      <c r="DR5" s="17">
        <v>140</v>
      </c>
      <c r="DS5" s="17">
        <v>140</v>
      </c>
      <c r="DT5" s="17">
        <v>14</v>
      </c>
      <c r="DU5" s="17">
        <v>17</v>
      </c>
      <c r="DV5" s="17">
        <v>13</v>
      </c>
      <c r="DW5" s="17">
        <v>14</v>
      </c>
      <c r="DX5" s="17">
        <v>130</v>
      </c>
      <c r="DY5" s="17">
        <v>540</v>
      </c>
      <c r="DZ5" s="17">
        <v>79</v>
      </c>
      <c r="EA5" s="17">
        <v>33</v>
      </c>
      <c r="EB5" s="17">
        <v>13</v>
      </c>
      <c r="EC5" s="17">
        <v>17</v>
      </c>
      <c r="ED5" s="17">
        <v>33</v>
      </c>
      <c r="EF5" s="17">
        <v>350</v>
      </c>
      <c r="EG5" s="17">
        <v>22</v>
      </c>
      <c r="EH5" s="17">
        <v>49</v>
      </c>
      <c r="EI5" s="17">
        <v>49</v>
      </c>
      <c r="EJ5" s="17">
        <v>110</v>
      </c>
      <c r="EK5" s="17">
        <v>79</v>
      </c>
      <c r="EL5" s="17">
        <v>11</v>
      </c>
      <c r="EN5" s="17">
        <v>13</v>
      </c>
      <c r="EO5" s="17">
        <v>14</v>
      </c>
      <c r="EP5" s="17">
        <v>1.7</v>
      </c>
      <c r="EQ5" s="17">
        <v>2</v>
      </c>
      <c r="ER5" s="17">
        <v>4.5</v>
      </c>
      <c r="ES5" s="17">
        <v>7.8</v>
      </c>
      <c r="ET5" s="17">
        <v>1.7</v>
      </c>
      <c r="EU5" s="17">
        <v>130</v>
      </c>
      <c r="EV5" s="17">
        <v>49</v>
      </c>
      <c r="EW5" s="17">
        <v>23</v>
      </c>
      <c r="EX5" s="17">
        <v>49</v>
      </c>
      <c r="EY5" s="17">
        <v>6.8</v>
      </c>
      <c r="EZ5" s="17">
        <v>13</v>
      </c>
      <c r="FA5" s="17">
        <v>22</v>
      </c>
      <c r="FB5" s="17">
        <v>130</v>
      </c>
      <c r="FC5" s="17">
        <v>7.8</v>
      </c>
      <c r="FD5" s="17">
        <v>70</v>
      </c>
      <c r="FE5" s="17">
        <v>70</v>
      </c>
      <c r="FF5" s="17">
        <v>49</v>
      </c>
      <c r="FG5" s="17">
        <v>27</v>
      </c>
      <c r="FH5" s="17">
        <v>7.8</v>
      </c>
      <c r="FI5" s="17">
        <v>1.7</v>
      </c>
      <c r="FK5" s="17">
        <v>13</v>
      </c>
      <c r="FL5" s="17">
        <v>4</v>
      </c>
      <c r="FM5" s="17">
        <v>2</v>
      </c>
      <c r="FN5" s="17">
        <v>33</v>
      </c>
      <c r="FO5" s="17">
        <v>6.8</v>
      </c>
      <c r="FP5" s="17">
        <v>1.7</v>
      </c>
      <c r="FQ5" s="17">
        <v>2</v>
      </c>
      <c r="FS5" s="17">
        <v>2</v>
      </c>
      <c r="FT5" s="17">
        <v>4.5</v>
      </c>
      <c r="FU5" s="17">
        <v>33</v>
      </c>
      <c r="FV5" s="17">
        <v>2</v>
      </c>
      <c r="FW5" s="17">
        <v>4.5</v>
      </c>
      <c r="FX5" s="17">
        <v>13</v>
      </c>
      <c r="FY5" s="17">
        <v>7.8</v>
      </c>
      <c r="GA5" s="17">
        <v>7.8</v>
      </c>
      <c r="GB5" s="17">
        <v>21</v>
      </c>
      <c r="GC5" s="17">
        <v>13</v>
      </c>
      <c r="GD5" s="17">
        <v>7.8</v>
      </c>
      <c r="GE5" s="17">
        <v>7.8</v>
      </c>
      <c r="GF5" s="17">
        <v>2</v>
      </c>
      <c r="GG5" s="17">
        <v>49</v>
      </c>
      <c r="GH5" s="17">
        <v>4</v>
      </c>
      <c r="GI5" s="17">
        <v>14</v>
      </c>
      <c r="GJ5" s="17">
        <v>6.8</v>
      </c>
      <c r="GK5" s="17">
        <v>4.5</v>
      </c>
      <c r="GL5" s="17">
        <v>13</v>
      </c>
      <c r="GM5" s="17">
        <v>95</v>
      </c>
      <c r="GN5" s="17">
        <v>14</v>
      </c>
      <c r="GO5" s="17">
        <v>49</v>
      </c>
      <c r="GP5" s="17">
        <v>6.8</v>
      </c>
      <c r="GQ5" s="17">
        <v>17</v>
      </c>
      <c r="GS5" s="17">
        <v>4.5</v>
      </c>
      <c r="GT5" s="17">
        <v>13</v>
      </c>
      <c r="GU5" s="17">
        <v>110</v>
      </c>
      <c r="GV5" s="17">
        <v>13</v>
      </c>
      <c r="GW5" s="17">
        <v>13</v>
      </c>
      <c r="GX5" s="17">
        <v>4</v>
      </c>
      <c r="GY5" s="17">
        <v>4</v>
      </c>
      <c r="GZ5" s="17">
        <v>23</v>
      </c>
      <c r="HA5" s="17">
        <v>11</v>
      </c>
      <c r="HC5" s="17">
        <v>13</v>
      </c>
      <c r="HD5" s="17">
        <v>17</v>
      </c>
      <c r="HE5" s="17">
        <v>170</v>
      </c>
      <c r="HF5" s="17">
        <v>33</v>
      </c>
      <c r="HG5" s="17">
        <v>22</v>
      </c>
      <c r="HH5" s="17">
        <v>13</v>
      </c>
      <c r="HI5" s="17">
        <v>2</v>
      </c>
      <c r="HJ5" s="17">
        <v>17</v>
      </c>
      <c r="HK5" s="17">
        <v>4.5</v>
      </c>
      <c r="HL5" s="17">
        <v>49</v>
      </c>
      <c r="HM5" s="17">
        <v>46</v>
      </c>
      <c r="HN5" s="17">
        <v>17</v>
      </c>
      <c r="HO5" s="17">
        <v>23</v>
      </c>
      <c r="HP5" s="17">
        <v>13</v>
      </c>
      <c r="HQ5" s="17">
        <v>27</v>
      </c>
      <c r="HR5" s="17">
        <v>13</v>
      </c>
      <c r="HS5" s="17">
        <v>22</v>
      </c>
      <c r="HT5" s="17">
        <v>26</v>
      </c>
      <c r="HU5" s="17">
        <v>13</v>
      </c>
      <c r="HV5" s="17">
        <v>2</v>
      </c>
      <c r="HW5" s="17">
        <v>4.5</v>
      </c>
      <c r="HX5" s="17">
        <v>17</v>
      </c>
      <c r="HY5" s="17">
        <v>2</v>
      </c>
      <c r="HZ5" s="17">
        <v>49</v>
      </c>
      <c r="IA5" s="17">
        <v>7.8</v>
      </c>
      <c r="IB5" s="17">
        <v>540</v>
      </c>
      <c r="IC5" s="17">
        <v>33</v>
      </c>
      <c r="ID5" s="17">
        <v>7.8</v>
      </c>
      <c r="IE5" s="17">
        <v>26</v>
      </c>
      <c r="IF5" s="17">
        <v>23</v>
      </c>
      <c r="IG5" s="17">
        <v>17</v>
      </c>
      <c r="IH5" s="17">
        <v>2</v>
      </c>
      <c r="II5" s="17">
        <v>4.5</v>
      </c>
      <c r="IJ5" s="17">
        <v>4.5</v>
      </c>
      <c r="IK5" s="17">
        <v>11</v>
      </c>
      <c r="IL5" s="17">
        <v>1.7</v>
      </c>
      <c r="IM5" s="17">
        <v>33</v>
      </c>
      <c r="IN5" s="17">
        <v>49</v>
      </c>
      <c r="IO5" s="17">
        <v>13</v>
      </c>
      <c r="IP5" s="17">
        <v>14</v>
      </c>
      <c r="IQ5" s="17">
        <v>70</v>
      </c>
      <c r="IS5" s="17">
        <v>13</v>
      </c>
      <c r="IT5" s="17">
        <v>79</v>
      </c>
      <c r="IU5" s="17">
        <v>13</v>
      </c>
      <c r="IX5" s="17">
        <v>7.8</v>
      </c>
      <c r="IY5" s="17">
        <v>7.8</v>
      </c>
      <c r="IZ5" s="17">
        <v>22</v>
      </c>
      <c r="JA5" s="17">
        <v>49</v>
      </c>
      <c r="JD5" s="17">
        <v>23</v>
      </c>
      <c r="JE5" s="17">
        <v>33</v>
      </c>
      <c r="JF5" s="17">
        <v>21</v>
      </c>
      <c r="JG5" s="17">
        <v>170</v>
      </c>
      <c r="JH5" s="17">
        <v>49</v>
      </c>
      <c r="JI5" s="17">
        <v>79</v>
      </c>
      <c r="JJ5" s="17">
        <v>22</v>
      </c>
      <c r="JK5" s="17">
        <v>9.1999999999999993</v>
      </c>
      <c r="JL5" s="17">
        <v>49</v>
      </c>
      <c r="JM5" s="17">
        <v>220</v>
      </c>
      <c r="JN5" s="17">
        <v>110</v>
      </c>
      <c r="JO5" s="17">
        <v>11</v>
      </c>
      <c r="JQ5" s="17">
        <v>33</v>
      </c>
      <c r="JR5" s="17">
        <v>33</v>
      </c>
      <c r="JS5" s="17">
        <v>1.7</v>
      </c>
      <c r="JV5" s="17">
        <v>2</v>
      </c>
      <c r="JW5" s="17">
        <v>4.5</v>
      </c>
      <c r="JX5" s="17">
        <v>7.8</v>
      </c>
      <c r="JZ5" s="17">
        <v>4.5</v>
      </c>
      <c r="KA5" s="17">
        <v>7.8</v>
      </c>
      <c r="KB5" s="17">
        <v>33</v>
      </c>
      <c r="KC5" s="17">
        <v>26</v>
      </c>
      <c r="KD5" s="17">
        <v>11</v>
      </c>
      <c r="KF5" s="17">
        <v>17</v>
      </c>
      <c r="KG5" s="17">
        <v>17</v>
      </c>
      <c r="KH5" s="17">
        <v>13</v>
      </c>
      <c r="KI5" s="17">
        <v>70</v>
      </c>
      <c r="KJ5" s="17">
        <v>70</v>
      </c>
      <c r="KK5" s="17">
        <v>6.1</v>
      </c>
      <c r="KL5" s="17">
        <v>9.1999999999999993</v>
      </c>
      <c r="KM5" s="17">
        <v>540</v>
      </c>
      <c r="KN5" s="17">
        <v>11</v>
      </c>
      <c r="KO5" s="17">
        <v>13</v>
      </c>
      <c r="KP5" s="17">
        <v>130</v>
      </c>
      <c r="KQ5" s="17">
        <v>49</v>
      </c>
      <c r="KR5" s="17">
        <v>13</v>
      </c>
      <c r="KS5" s="17">
        <v>1.7</v>
      </c>
      <c r="KT5" s="20">
        <v>170</v>
      </c>
      <c r="KU5" s="20">
        <v>79</v>
      </c>
      <c r="KV5" s="17">
        <v>13</v>
      </c>
      <c r="KW5" s="17">
        <v>4.5</v>
      </c>
      <c r="KX5" s="17">
        <v>4.5</v>
      </c>
      <c r="KY5" s="17">
        <v>7.8</v>
      </c>
      <c r="KZ5" s="17">
        <v>23</v>
      </c>
      <c r="LA5" s="17">
        <v>33</v>
      </c>
      <c r="LB5" s="17">
        <v>1.7</v>
      </c>
      <c r="LC5" s="17">
        <v>6.8</v>
      </c>
      <c r="LD5" s="17">
        <v>13</v>
      </c>
      <c r="LE5" s="17">
        <v>4.5</v>
      </c>
      <c r="LF5" s="17">
        <v>14</v>
      </c>
      <c r="LG5" s="17">
        <v>14</v>
      </c>
      <c r="LH5" s="17">
        <v>2</v>
      </c>
      <c r="LI5" s="17">
        <v>13</v>
      </c>
      <c r="LJ5" s="17">
        <v>13</v>
      </c>
      <c r="LK5" s="17">
        <v>79</v>
      </c>
      <c r="LL5" s="17">
        <v>4.5</v>
      </c>
      <c r="LM5" s="17">
        <v>130</v>
      </c>
      <c r="LO5" s="17">
        <v>7.8</v>
      </c>
      <c r="LQ5" s="17">
        <v>33</v>
      </c>
      <c r="LR5" s="17">
        <v>17</v>
      </c>
      <c r="LS5" s="17">
        <v>4.5</v>
      </c>
      <c r="LT5" s="17">
        <v>4.5</v>
      </c>
      <c r="LU5" s="17">
        <v>11</v>
      </c>
      <c r="LV5" s="17">
        <v>4.5</v>
      </c>
      <c r="LW5" s="17">
        <v>79</v>
      </c>
      <c r="LX5" s="17">
        <v>17</v>
      </c>
      <c r="LY5" s="17">
        <v>23</v>
      </c>
      <c r="LZ5" s="17">
        <v>33</v>
      </c>
      <c r="MA5" s="17">
        <v>1600</v>
      </c>
      <c r="MB5" s="17">
        <v>110</v>
      </c>
      <c r="MC5" s="17">
        <v>33</v>
      </c>
      <c r="ME5" s="17">
        <v>130</v>
      </c>
      <c r="MF5" s="17">
        <v>11</v>
      </c>
      <c r="MG5" s="17">
        <v>70</v>
      </c>
      <c r="MH5" s="17">
        <v>13</v>
      </c>
      <c r="MI5" s="17">
        <v>17</v>
      </c>
      <c r="MJ5" s="17">
        <v>47</v>
      </c>
      <c r="MK5" s="17">
        <v>2</v>
      </c>
      <c r="ML5" s="17">
        <v>33</v>
      </c>
      <c r="MM5" s="17">
        <v>4</v>
      </c>
      <c r="MN5" s="17">
        <v>23</v>
      </c>
      <c r="MO5" s="17">
        <v>49</v>
      </c>
      <c r="MP5" s="17">
        <v>4.5</v>
      </c>
      <c r="MQ5" s="17">
        <v>4.5</v>
      </c>
      <c r="MR5" s="17">
        <v>1.7</v>
      </c>
      <c r="MS5" s="17">
        <v>33</v>
      </c>
      <c r="MT5" s="17">
        <v>23</v>
      </c>
      <c r="MU5" s="17">
        <v>170</v>
      </c>
      <c r="MV5" s="17">
        <v>4</v>
      </c>
      <c r="MX5" s="17">
        <v>49</v>
      </c>
      <c r="MY5" s="17">
        <v>17</v>
      </c>
      <c r="MZ5" s="17">
        <v>17</v>
      </c>
      <c r="NA5" s="17">
        <v>13</v>
      </c>
      <c r="NB5" s="17">
        <v>140</v>
      </c>
      <c r="NC5" s="17">
        <v>23</v>
      </c>
      <c r="ND5" s="17">
        <v>33</v>
      </c>
      <c r="NE5" s="17">
        <v>13</v>
      </c>
      <c r="NF5" s="17">
        <v>23</v>
      </c>
      <c r="NG5" s="17">
        <v>7.8</v>
      </c>
      <c r="NH5" s="17">
        <v>170</v>
      </c>
      <c r="NI5" s="17">
        <v>130</v>
      </c>
      <c r="NJ5" s="17">
        <v>79</v>
      </c>
      <c r="NK5" s="17">
        <v>79</v>
      </c>
      <c r="NL5" s="17">
        <v>33</v>
      </c>
      <c r="NM5" s="17">
        <v>33</v>
      </c>
      <c r="NN5" s="17">
        <v>33</v>
      </c>
      <c r="NO5" s="17">
        <v>23</v>
      </c>
      <c r="NP5" s="17">
        <v>17</v>
      </c>
      <c r="NQ5" s="17">
        <v>33</v>
      </c>
      <c r="NR5" s="17">
        <v>11</v>
      </c>
      <c r="NS5" s="17">
        <v>130</v>
      </c>
      <c r="NT5" s="17">
        <v>49</v>
      </c>
      <c r="NU5" s="17">
        <v>23</v>
      </c>
      <c r="NV5" s="17">
        <v>1.8</v>
      </c>
      <c r="NW5" s="17">
        <v>4.5</v>
      </c>
      <c r="NX5" s="17">
        <v>17</v>
      </c>
      <c r="NY5" s="17">
        <v>2</v>
      </c>
      <c r="OA5" s="17">
        <v>7.8</v>
      </c>
      <c r="OC5" s="17">
        <v>2</v>
      </c>
      <c r="OD5" s="17">
        <v>6.8</v>
      </c>
      <c r="OF5" s="17">
        <v>4.5</v>
      </c>
      <c r="OG5" s="17">
        <v>6.8</v>
      </c>
      <c r="OH5" s="17">
        <v>49</v>
      </c>
      <c r="OI5" s="17">
        <v>6.8</v>
      </c>
      <c r="OJ5" s="17">
        <v>6.8</v>
      </c>
      <c r="OK5" s="17">
        <v>11</v>
      </c>
      <c r="OL5" s="17">
        <v>2</v>
      </c>
      <c r="ON5" s="17">
        <v>17</v>
      </c>
      <c r="OO5" s="17">
        <v>33</v>
      </c>
      <c r="OP5" s="17">
        <v>33</v>
      </c>
      <c r="OQ5" s="17">
        <v>49</v>
      </c>
      <c r="OR5" s="17">
        <v>17</v>
      </c>
      <c r="OS5" s="17">
        <v>27</v>
      </c>
      <c r="OT5" s="17">
        <v>4.5</v>
      </c>
      <c r="OU5" s="17">
        <v>79</v>
      </c>
      <c r="OV5" s="17">
        <v>2</v>
      </c>
      <c r="OW5" s="17">
        <v>4.5</v>
      </c>
      <c r="OX5" s="17">
        <v>2</v>
      </c>
      <c r="OZ5" s="17">
        <v>79</v>
      </c>
      <c r="PA5" s="17">
        <v>4.5</v>
      </c>
      <c r="PB5" s="17">
        <v>7.8</v>
      </c>
      <c r="PD5" s="17">
        <v>33</v>
      </c>
      <c r="PE5" s="17">
        <v>23</v>
      </c>
      <c r="PF5" s="17">
        <v>7.8</v>
      </c>
      <c r="PG5" s="17">
        <v>33</v>
      </c>
      <c r="PH5" s="17">
        <v>1.7</v>
      </c>
      <c r="PJ5" s="17">
        <v>4.5</v>
      </c>
      <c r="PK5" s="17">
        <v>13</v>
      </c>
      <c r="PL5" s="17">
        <v>49</v>
      </c>
      <c r="PM5" s="17">
        <v>17</v>
      </c>
      <c r="PN5" s="17">
        <v>4.5</v>
      </c>
      <c r="PO5" s="17">
        <v>33</v>
      </c>
      <c r="PP5" s="17">
        <v>17</v>
      </c>
      <c r="PQ5" s="17">
        <v>4</v>
      </c>
      <c r="PR5" s="17">
        <v>9.3000000000000007</v>
      </c>
      <c r="PS5" s="17">
        <v>13</v>
      </c>
      <c r="PU5" s="17">
        <v>23</v>
      </c>
      <c r="PV5" s="17">
        <v>33</v>
      </c>
      <c r="PW5" s="17">
        <v>33</v>
      </c>
      <c r="PX5" s="17">
        <v>17</v>
      </c>
      <c r="PY5" s="17">
        <v>1700</v>
      </c>
      <c r="PZ5" s="17">
        <v>350</v>
      </c>
      <c r="QA5" s="17">
        <v>33</v>
      </c>
      <c r="QB5" s="17">
        <v>33</v>
      </c>
      <c r="QC5" s="17">
        <v>22</v>
      </c>
      <c r="QD5" s="17">
        <v>350</v>
      </c>
      <c r="QE5" s="17">
        <v>11</v>
      </c>
      <c r="QF5" s="17">
        <v>49</v>
      </c>
      <c r="QG5" s="17">
        <v>140</v>
      </c>
      <c r="QH5" s="17">
        <v>6.8</v>
      </c>
      <c r="QJ5" s="17">
        <v>110</v>
      </c>
    </row>
    <row r="6" spans="1:452" s="17" customFormat="1" x14ac:dyDescent="0.15">
      <c r="A6" s="17" t="s">
        <v>63</v>
      </c>
      <c r="B6" s="18">
        <v>7</v>
      </c>
      <c r="C6" s="19"/>
      <c r="D6" s="17">
        <v>7.8</v>
      </c>
      <c r="E6" s="17">
        <v>7.8</v>
      </c>
      <c r="F6" s="17">
        <v>1.7</v>
      </c>
      <c r="H6" s="17">
        <v>4.5</v>
      </c>
      <c r="J6" s="17">
        <v>49</v>
      </c>
      <c r="K6" s="17">
        <v>2</v>
      </c>
      <c r="L6" s="17">
        <v>49</v>
      </c>
      <c r="M6" s="17">
        <v>13</v>
      </c>
      <c r="N6" s="17">
        <v>13</v>
      </c>
      <c r="O6" s="17">
        <v>4.5</v>
      </c>
      <c r="Q6" s="17">
        <v>4</v>
      </c>
      <c r="R6" s="17">
        <v>95</v>
      </c>
      <c r="S6" s="17">
        <v>33</v>
      </c>
      <c r="T6" s="17">
        <v>23</v>
      </c>
      <c r="U6" s="17">
        <v>240</v>
      </c>
      <c r="V6" s="17">
        <v>33</v>
      </c>
      <c r="W6" s="17">
        <v>11</v>
      </c>
      <c r="Z6" s="17">
        <v>49</v>
      </c>
      <c r="AA6" s="17">
        <v>130</v>
      </c>
      <c r="AB6" s="17">
        <v>23</v>
      </c>
      <c r="AC6" s="17">
        <v>46</v>
      </c>
      <c r="AD6" s="17">
        <v>49</v>
      </c>
      <c r="AE6" s="17">
        <v>7.8</v>
      </c>
      <c r="AF6" s="17">
        <v>540</v>
      </c>
      <c r="AG6" s="17">
        <v>350</v>
      </c>
      <c r="AH6" s="17">
        <v>33</v>
      </c>
      <c r="AI6" s="17">
        <v>79</v>
      </c>
      <c r="AJ6" s="17">
        <v>6.8</v>
      </c>
      <c r="AK6" s="17">
        <v>7.8</v>
      </c>
      <c r="AL6" s="17">
        <v>17</v>
      </c>
      <c r="AM6" s="17">
        <v>11</v>
      </c>
      <c r="AN6" s="17">
        <v>79</v>
      </c>
      <c r="AO6" s="17">
        <v>33</v>
      </c>
      <c r="AP6" s="17">
        <v>2</v>
      </c>
      <c r="AR6" s="17">
        <v>79</v>
      </c>
      <c r="AS6" s="17">
        <v>4.5</v>
      </c>
      <c r="AT6" s="17">
        <v>2</v>
      </c>
      <c r="AU6" s="17">
        <v>2</v>
      </c>
      <c r="AV6" s="17">
        <v>6.8</v>
      </c>
      <c r="AX6" s="17">
        <v>13</v>
      </c>
      <c r="AY6" s="17">
        <v>33</v>
      </c>
      <c r="AZ6" s="17">
        <v>23</v>
      </c>
      <c r="BA6" s="17">
        <v>4</v>
      </c>
      <c r="BB6" s="17">
        <v>140</v>
      </c>
      <c r="BC6" s="17">
        <v>23</v>
      </c>
      <c r="BD6" s="17">
        <v>23</v>
      </c>
      <c r="BE6" s="17">
        <v>7.8</v>
      </c>
      <c r="BH6" s="17">
        <v>23</v>
      </c>
      <c r="BI6" s="17">
        <v>110</v>
      </c>
      <c r="BJ6" s="17">
        <v>17</v>
      </c>
      <c r="BK6" s="17">
        <v>49</v>
      </c>
      <c r="BL6" s="17">
        <v>11</v>
      </c>
      <c r="BM6" s="17">
        <v>240</v>
      </c>
      <c r="BN6" s="17">
        <v>130</v>
      </c>
      <c r="BO6" s="17">
        <v>33</v>
      </c>
      <c r="BP6" s="17">
        <v>79</v>
      </c>
      <c r="BQ6" s="17">
        <v>350</v>
      </c>
      <c r="BR6" s="17">
        <v>140</v>
      </c>
      <c r="BS6" s="17">
        <v>79</v>
      </c>
      <c r="BT6" s="17">
        <v>49</v>
      </c>
      <c r="BU6" s="17">
        <v>79</v>
      </c>
      <c r="BV6" s="17">
        <v>170</v>
      </c>
      <c r="BW6" s="17">
        <v>130</v>
      </c>
      <c r="BX6" s="17">
        <v>17</v>
      </c>
      <c r="BZ6" s="17">
        <v>27</v>
      </c>
      <c r="CA6" s="17">
        <v>17</v>
      </c>
      <c r="CB6" s="17">
        <v>17</v>
      </c>
      <c r="CC6" s="17">
        <v>1.8</v>
      </c>
      <c r="CD6" s="17">
        <v>7.8</v>
      </c>
      <c r="CE6" s="17">
        <v>4.5</v>
      </c>
      <c r="CF6" s="17">
        <v>4.5</v>
      </c>
      <c r="CG6" s="17">
        <v>1600</v>
      </c>
      <c r="CH6" s="17">
        <v>350</v>
      </c>
      <c r="CI6" s="17">
        <v>7.8</v>
      </c>
      <c r="CJ6" s="17">
        <v>2</v>
      </c>
      <c r="CK6" s="17">
        <v>350</v>
      </c>
      <c r="CL6" s="17">
        <v>33</v>
      </c>
      <c r="CM6" s="17" t="s">
        <v>54</v>
      </c>
      <c r="CN6" s="17">
        <v>4.5</v>
      </c>
      <c r="CO6" s="17">
        <v>350</v>
      </c>
      <c r="CP6" s="17">
        <v>9.3000000000000007</v>
      </c>
      <c r="CQ6" s="17">
        <v>1.7</v>
      </c>
      <c r="CR6" s="17">
        <v>4.5</v>
      </c>
      <c r="CS6" s="17">
        <v>4.5</v>
      </c>
      <c r="CT6" s="17">
        <v>2</v>
      </c>
      <c r="CU6" s="17">
        <v>240</v>
      </c>
      <c r="CV6" s="17">
        <v>11</v>
      </c>
      <c r="CW6" s="17">
        <v>23</v>
      </c>
      <c r="CX6" s="17">
        <v>7.8</v>
      </c>
      <c r="CY6" s="17">
        <v>7.8</v>
      </c>
      <c r="CZ6" s="17">
        <v>4.5</v>
      </c>
      <c r="DA6" s="17">
        <v>7.8</v>
      </c>
      <c r="DB6" s="17">
        <v>49</v>
      </c>
      <c r="DC6" s="17">
        <v>79</v>
      </c>
      <c r="DD6" s="17">
        <v>11</v>
      </c>
      <c r="DF6" s="17">
        <v>49</v>
      </c>
      <c r="DG6" s="17">
        <v>4</v>
      </c>
      <c r="DH6" s="17">
        <v>13</v>
      </c>
      <c r="DI6" s="17">
        <v>130</v>
      </c>
      <c r="DJ6" s="17">
        <v>33</v>
      </c>
      <c r="DK6" s="17">
        <v>11</v>
      </c>
      <c r="DP6" s="17">
        <v>49</v>
      </c>
      <c r="DQ6" s="17">
        <v>33</v>
      </c>
      <c r="DR6" s="17">
        <v>170</v>
      </c>
      <c r="DS6" s="17">
        <v>110</v>
      </c>
      <c r="DT6" s="17">
        <v>13</v>
      </c>
      <c r="DU6" s="17">
        <v>23</v>
      </c>
      <c r="DV6" s="17">
        <v>23</v>
      </c>
      <c r="DW6" s="17">
        <v>23</v>
      </c>
      <c r="DX6" s="17">
        <v>23</v>
      </c>
      <c r="EC6" s="17">
        <v>170</v>
      </c>
      <c r="ED6" s="17">
        <v>46</v>
      </c>
      <c r="EF6" s="17">
        <v>79</v>
      </c>
      <c r="EG6" s="17">
        <v>7.8</v>
      </c>
      <c r="EH6" s="17">
        <v>70</v>
      </c>
      <c r="EI6" s="17">
        <v>49</v>
      </c>
      <c r="EJ6" s="17">
        <v>130</v>
      </c>
      <c r="EK6" s="17">
        <v>110</v>
      </c>
      <c r="EL6" s="17">
        <v>13</v>
      </c>
      <c r="EN6" s="17">
        <v>17</v>
      </c>
      <c r="EO6" s="17">
        <v>11</v>
      </c>
      <c r="EP6" s="17">
        <v>1.7</v>
      </c>
      <c r="EQ6" s="17">
        <v>17</v>
      </c>
      <c r="ER6" s="17">
        <v>1.7</v>
      </c>
      <c r="ES6" s="17">
        <v>23</v>
      </c>
      <c r="ET6" s="17">
        <v>7.8</v>
      </c>
      <c r="EU6" s="17">
        <v>140</v>
      </c>
      <c r="EV6" s="17">
        <v>33</v>
      </c>
      <c r="EW6" s="17">
        <v>33</v>
      </c>
      <c r="EX6" s="17">
        <v>17</v>
      </c>
      <c r="EY6" s="17">
        <v>13</v>
      </c>
      <c r="EZ6" s="17">
        <v>7.8</v>
      </c>
      <c r="FA6" s="17">
        <v>4.5</v>
      </c>
      <c r="FB6" s="17">
        <v>350</v>
      </c>
      <c r="FC6" s="17">
        <v>6.8</v>
      </c>
      <c r="FD6" s="17">
        <v>170</v>
      </c>
      <c r="FE6" s="17">
        <v>33</v>
      </c>
      <c r="FF6" s="17">
        <v>33</v>
      </c>
      <c r="FG6" s="17">
        <v>13</v>
      </c>
      <c r="FH6" s="17">
        <v>2</v>
      </c>
      <c r="FI6" s="17">
        <v>6.8</v>
      </c>
      <c r="FK6" s="17">
        <v>22</v>
      </c>
      <c r="FL6" s="17">
        <v>1.7</v>
      </c>
      <c r="FM6" s="17">
        <v>3.7</v>
      </c>
      <c r="FN6" s="17">
        <v>79</v>
      </c>
      <c r="FO6" s="17">
        <v>11</v>
      </c>
      <c r="FP6" s="17">
        <v>2</v>
      </c>
      <c r="FQ6" s="17">
        <v>2</v>
      </c>
      <c r="FS6" s="17">
        <v>1.7</v>
      </c>
      <c r="FT6" s="17">
        <v>7.8</v>
      </c>
      <c r="FU6" s="17">
        <v>22</v>
      </c>
      <c r="FV6" s="17">
        <v>4.5</v>
      </c>
      <c r="FW6" s="17">
        <v>4.5</v>
      </c>
      <c r="FX6" s="17">
        <v>13</v>
      </c>
      <c r="FY6" s="17">
        <v>11</v>
      </c>
      <c r="GA6" s="17">
        <v>34</v>
      </c>
      <c r="GB6" s="17">
        <v>22</v>
      </c>
      <c r="GC6" s="17">
        <v>33</v>
      </c>
      <c r="GD6" s="17">
        <v>11</v>
      </c>
      <c r="GE6" s="17">
        <v>23</v>
      </c>
      <c r="GF6" s="17">
        <v>23</v>
      </c>
      <c r="GG6" s="17">
        <v>49</v>
      </c>
      <c r="GH6" s="17">
        <v>4.5</v>
      </c>
      <c r="GI6" s="17">
        <v>33</v>
      </c>
      <c r="GJ6" s="17">
        <v>4.5</v>
      </c>
      <c r="GK6" s="17">
        <v>13</v>
      </c>
      <c r="GL6" s="17">
        <v>7.8</v>
      </c>
      <c r="GM6" s="17">
        <v>79</v>
      </c>
      <c r="GN6" s="17">
        <v>22</v>
      </c>
      <c r="GO6" s="17">
        <v>23</v>
      </c>
      <c r="GP6" s="17">
        <v>2</v>
      </c>
      <c r="GQ6" s="17">
        <v>11</v>
      </c>
      <c r="GR6" s="17">
        <v>49</v>
      </c>
      <c r="GS6" s="17">
        <v>6.8</v>
      </c>
      <c r="GT6" s="17">
        <v>7.8</v>
      </c>
      <c r="GU6" s="17">
        <v>79</v>
      </c>
      <c r="GV6" s="17">
        <v>33</v>
      </c>
      <c r="GW6" s="17">
        <v>7.8</v>
      </c>
      <c r="GX6" s="17">
        <v>4.5</v>
      </c>
      <c r="GY6" s="17">
        <v>4.5</v>
      </c>
      <c r="GZ6" s="17">
        <v>7.8</v>
      </c>
      <c r="HA6" s="17">
        <v>7.8</v>
      </c>
      <c r="HC6" s="17">
        <v>17</v>
      </c>
      <c r="HD6" s="17">
        <v>9.3000000000000007</v>
      </c>
      <c r="HE6" s="17">
        <v>170</v>
      </c>
      <c r="HF6" s="17">
        <v>33</v>
      </c>
      <c r="HG6" s="17">
        <v>23</v>
      </c>
      <c r="HH6" s="17">
        <v>17</v>
      </c>
      <c r="HI6" s="17">
        <v>13</v>
      </c>
      <c r="HJ6" s="17">
        <v>33</v>
      </c>
      <c r="HK6" s="17">
        <v>4.5</v>
      </c>
      <c r="HL6" s="17">
        <v>79</v>
      </c>
      <c r="HM6" s="17">
        <v>79</v>
      </c>
      <c r="HN6" s="17">
        <v>13</v>
      </c>
      <c r="HO6" s="17">
        <v>23</v>
      </c>
      <c r="HP6" s="17">
        <v>13</v>
      </c>
      <c r="HQ6" s="17">
        <v>22</v>
      </c>
      <c r="HR6" s="17">
        <v>13</v>
      </c>
      <c r="HS6" s="17">
        <v>79</v>
      </c>
      <c r="HT6" s="17">
        <v>2</v>
      </c>
      <c r="HU6" s="17">
        <v>11</v>
      </c>
      <c r="HV6" s="17">
        <v>11</v>
      </c>
      <c r="HW6" s="17">
        <v>7.8</v>
      </c>
      <c r="HX6" s="17">
        <v>79</v>
      </c>
      <c r="HY6" s="17">
        <v>2</v>
      </c>
      <c r="HZ6" s="17">
        <v>13</v>
      </c>
      <c r="IA6" s="17">
        <v>4.5</v>
      </c>
      <c r="IB6" s="17">
        <v>1600</v>
      </c>
      <c r="IC6" s="17">
        <v>240</v>
      </c>
      <c r="ID6" s="17">
        <v>79</v>
      </c>
      <c r="IE6" s="17">
        <v>49</v>
      </c>
      <c r="IF6" s="17">
        <v>14</v>
      </c>
      <c r="IG6" s="17">
        <v>14</v>
      </c>
      <c r="IH6" s="17">
        <v>2</v>
      </c>
      <c r="II6" s="17">
        <v>4</v>
      </c>
      <c r="IJ6" s="17">
        <v>9.3000000000000007</v>
      </c>
      <c r="IK6" s="17">
        <v>7.8</v>
      </c>
      <c r="IL6" s="17">
        <v>4.5</v>
      </c>
      <c r="IM6" s="17">
        <v>23</v>
      </c>
      <c r="IN6" s="17">
        <v>4.5</v>
      </c>
      <c r="IO6" s="17">
        <v>13</v>
      </c>
      <c r="IQ6" s="17">
        <v>95</v>
      </c>
      <c r="IS6" s="17">
        <v>9.3000000000000007</v>
      </c>
      <c r="IT6" s="17">
        <v>79</v>
      </c>
      <c r="IU6" s="17">
        <v>13</v>
      </c>
      <c r="IW6" s="17">
        <v>22</v>
      </c>
      <c r="IX6" s="17">
        <v>49</v>
      </c>
      <c r="IY6" s="17">
        <v>23</v>
      </c>
      <c r="IZ6" s="17">
        <v>46</v>
      </c>
      <c r="JA6" s="17">
        <v>170</v>
      </c>
      <c r="JB6" s="17">
        <v>33</v>
      </c>
      <c r="JC6" s="17">
        <v>23</v>
      </c>
      <c r="JD6" s="17">
        <v>49</v>
      </c>
      <c r="JE6" s="17">
        <v>21</v>
      </c>
      <c r="JF6" s="17">
        <v>23</v>
      </c>
      <c r="JG6" s="17">
        <v>46</v>
      </c>
      <c r="JH6" s="17">
        <v>49</v>
      </c>
      <c r="JI6" s="17">
        <v>130</v>
      </c>
      <c r="JJ6" s="17">
        <v>33</v>
      </c>
      <c r="JK6" s="17">
        <v>23</v>
      </c>
      <c r="JL6" s="17">
        <v>23</v>
      </c>
      <c r="JM6" s="17">
        <v>130</v>
      </c>
      <c r="JN6" s="17">
        <v>33</v>
      </c>
      <c r="JO6" s="17">
        <v>13</v>
      </c>
      <c r="JQ6" s="17">
        <v>17</v>
      </c>
      <c r="JR6" s="17">
        <v>79</v>
      </c>
      <c r="JS6" s="17">
        <v>11</v>
      </c>
      <c r="JV6" s="17">
        <v>17</v>
      </c>
      <c r="JW6" s="17">
        <v>7.8</v>
      </c>
      <c r="JX6" s="17">
        <v>17</v>
      </c>
      <c r="JZ6" s="17">
        <v>2</v>
      </c>
      <c r="KA6" s="17">
        <v>4.5</v>
      </c>
      <c r="KB6" s="17">
        <v>49</v>
      </c>
      <c r="KC6" s="17">
        <v>13</v>
      </c>
      <c r="KD6" s="17">
        <v>17</v>
      </c>
      <c r="KF6" s="17">
        <v>7.8</v>
      </c>
      <c r="KG6" s="17">
        <v>22</v>
      </c>
      <c r="KH6" s="17">
        <v>17</v>
      </c>
      <c r="KI6" s="17">
        <v>49</v>
      </c>
      <c r="KJ6" s="17">
        <v>70</v>
      </c>
      <c r="KK6" s="17">
        <v>49</v>
      </c>
      <c r="KL6" s="17">
        <v>13</v>
      </c>
      <c r="KM6" s="17">
        <v>140</v>
      </c>
      <c r="KN6" s="17">
        <v>79</v>
      </c>
      <c r="KO6" s="17">
        <v>23</v>
      </c>
      <c r="KP6" s="17">
        <v>79</v>
      </c>
      <c r="KQ6" s="17">
        <v>23</v>
      </c>
      <c r="KR6" s="17">
        <v>11</v>
      </c>
      <c r="KS6" s="17">
        <v>7.8</v>
      </c>
      <c r="KT6" s="20">
        <v>920</v>
      </c>
      <c r="KU6" s="20">
        <v>33</v>
      </c>
      <c r="KV6" s="17">
        <v>17</v>
      </c>
      <c r="KW6" s="17">
        <v>49</v>
      </c>
      <c r="KX6" s="17">
        <v>2</v>
      </c>
      <c r="KY6" s="17">
        <v>1.8</v>
      </c>
      <c r="KZ6" s="17">
        <v>4</v>
      </c>
      <c r="LA6" s="17">
        <v>11</v>
      </c>
      <c r="LB6" s="17">
        <v>11</v>
      </c>
      <c r="LC6" s="17">
        <v>7.8</v>
      </c>
      <c r="LD6" s="17">
        <v>23</v>
      </c>
      <c r="LE6" s="17">
        <v>2</v>
      </c>
      <c r="LF6" s="17">
        <v>2</v>
      </c>
      <c r="LG6" s="17">
        <v>70</v>
      </c>
      <c r="LH6" s="17">
        <v>7.8</v>
      </c>
      <c r="LI6" s="17">
        <v>7.8</v>
      </c>
      <c r="LJ6" s="17">
        <v>6.8</v>
      </c>
      <c r="LK6" s="17">
        <v>49</v>
      </c>
      <c r="LL6" s="17">
        <v>4.5</v>
      </c>
      <c r="LM6" s="17">
        <v>540</v>
      </c>
      <c r="LO6" s="17">
        <v>130</v>
      </c>
      <c r="LP6" s="17">
        <v>11</v>
      </c>
      <c r="LQ6" s="17">
        <v>350</v>
      </c>
      <c r="LR6" s="17">
        <v>17</v>
      </c>
      <c r="LS6" s="17">
        <v>1.7</v>
      </c>
      <c r="LT6" s="17">
        <v>17</v>
      </c>
      <c r="LU6" s="17">
        <v>6.8</v>
      </c>
      <c r="LV6" s="17">
        <v>4.5</v>
      </c>
      <c r="LW6" s="17">
        <v>33</v>
      </c>
      <c r="LX6" s="17">
        <v>46</v>
      </c>
      <c r="LY6" s="17">
        <v>31</v>
      </c>
      <c r="LZ6" s="17">
        <v>49</v>
      </c>
      <c r="MA6" s="17">
        <v>1600</v>
      </c>
      <c r="MB6" s="17">
        <v>350</v>
      </c>
      <c r="MC6" s="17">
        <v>7.8</v>
      </c>
      <c r="MD6" s="17">
        <v>23</v>
      </c>
      <c r="ME6" s="17">
        <v>13</v>
      </c>
      <c r="MF6" s="17">
        <v>7.8</v>
      </c>
      <c r="MG6" s="17">
        <v>22</v>
      </c>
      <c r="MH6" s="17">
        <v>13</v>
      </c>
      <c r="MI6" s="17">
        <v>17</v>
      </c>
      <c r="MJ6" s="17">
        <v>47</v>
      </c>
      <c r="MK6" s="17">
        <v>6.8</v>
      </c>
      <c r="ML6" s="17">
        <v>46</v>
      </c>
      <c r="MM6" s="17">
        <v>7.8</v>
      </c>
      <c r="MN6" s="17">
        <v>23</v>
      </c>
      <c r="MO6" s="17">
        <v>17</v>
      </c>
      <c r="MP6" s="17">
        <v>4.5</v>
      </c>
      <c r="MQ6" s="17">
        <v>11</v>
      </c>
      <c r="MR6" s="17">
        <v>2</v>
      </c>
      <c r="MS6" s="17">
        <v>130</v>
      </c>
      <c r="MT6" s="17">
        <v>33</v>
      </c>
      <c r="MU6" s="17">
        <v>540</v>
      </c>
      <c r="MV6" s="17">
        <v>4</v>
      </c>
      <c r="MX6" s="17">
        <v>17</v>
      </c>
      <c r="MY6" s="17">
        <v>11</v>
      </c>
      <c r="MZ6" s="17">
        <v>33</v>
      </c>
      <c r="NA6" s="17">
        <v>49</v>
      </c>
      <c r="NB6" s="17">
        <v>170</v>
      </c>
      <c r="NC6" s="17">
        <v>49</v>
      </c>
      <c r="ND6" s="17">
        <v>33</v>
      </c>
      <c r="NE6" s="17">
        <v>49</v>
      </c>
      <c r="NF6" s="17">
        <v>23</v>
      </c>
      <c r="NG6" s="17">
        <v>4.5</v>
      </c>
      <c r="NH6" s="17">
        <v>130</v>
      </c>
      <c r="NI6" s="17">
        <v>70</v>
      </c>
      <c r="NJ6" s="17">
        <v>22</v>
      </c>
      <c r="NK6" s="17">
        <v>33</v>
      </c>
      <c r="NL6" s="17">
        <v>13</v>
      </c>
      <c r="NM6" s="17">
        <v>23</v>
      </c>
      <c r="NN6" s="17">
        <v>49</v>
      </c>
      <c r="NO6" s="17">
        <v>17</v>
      </c>
      <c r="NP6" s="17">
        <v>79</v>
      </c>
      <c r="NQ6" s="17">
        <v>70</v>
      </c>
      <c r="NR6" s="17">
        <v>11</v>
      </c>
      <c r="NT6" s="17">
        <v>33</v>
      </c>
      <c r="NU6" s="17">
        <v>33</v>
      </c>
      <c r="NV6" s="17">
        <v>7.8</v>
      </c>
      <c r="NW6" s="17">
        <v>2</v>
      </c>
      <c r="NX6" s="17">
        <v>11</v>
      </c>
      <c r="NY6" s="17">
        <v>8.3000000000000007</v>
      </c>
      <c r="OA6" s="17">
        <v>4.5</v>
      </c>
      <c r="OC6" s="17">
        <v>4.5</v>
      </c>
      <c r="OD6" s="17">
        <v>2</v>
      </c>
      <c r="OF6" s="17">
        <v>4.5</v>
      </c>
      <c r="OG6" s="17">
        <v>33</v>
      </c>
      <c r="OH6" s="17">
        <v>49</v>
      </c>
      <c r="OI6" s="17">
        <v>4</v>
      </c>
      <c r="OJ6" s="17">
        <v>13</v>
      </c>
      <c r="OK6" s="17">
        <v>13</v>
      </c>
      <c r="OL6" s="17">
        <v>7.8</v>
      </c>
      <c r="ON6" s="17">
        <v>49</v>
      </c>
      <c r="OO6" s="17">
        <v>49</v>
      </c>
      <c r="OP6" s="17">
        <v>79</v>
      </c>
      <c r="OQ6" s="17">
        <v>33</v>
      </c>
      <c r="OR6" s="17">
        <v>14</v>
      </c>
      <c r="OS6" s="17">
        <v>11</v>
      </c>
      <c r="OT6" s="17">
        <v>13</v>
      </c>
      <c r="OU6" s="17">
        <v>170</v>
      </c>
      <c r="OV6" s="17">
        <v>4</v>
      </c>
      <c r="OW6" s="17">
        <v>7.8</v>
      </c>
      <c r="OX6" s="17">
        <v>1.7</v>
      </c>
      <c r="OZ6" s="17">
        <v>130</v>
      </c>
      <c r="PA6" s="17">
        <v>23</v>
      </c>
      <c r="PB6" s="17">
        <v>7.8</v>
      </c>
      <c r="PD6" s="17">
        <v>7.8</v>
      </c>
      <c r="PF6" s="17">
        <v>7.8</v>
      </c>
      <c r="PG6" s="17">
        <v>79</v>
      </c>
      <c r="PH6" s="17">
        <v>2</v>
      </c>
      <c r="PJ6" s="17">
        <v>2</v>
      </c>
      <c r="PK6" s="17">
        <v>23</v>
      </c>
      <c r="PL6" s="17">
        <v>13</v>
      </c>
      <c r="PM6" s="17">
        <v>13</v>
      </c>
      <c r="PN6" s="17">
        <v>1.7</v>
      </c>
      <c r="PO6" s="17">
        <v>23</v>
      </c>
      <c r="PP6" s="17">
        <v>23</v>
      </c>
      <c r="PQ6" s="17">
        <v>2</v>
      </c>
      <c r="PR6" s="17">
        <v>79</v>
      </c>
      <c r="PS6" s="17">
        <v>70</v>
      </c>
      <c r="PT6" s="17">
        <v>13</v>
      </c>
      <c r="PU6" s="17">
        <v>26</v>
      </c>
      <c r="PV6" s="17">
        <v>79</v>
      </c>
      <c r="PW6" s="17">
        <v>23</v>
      </c>
      <c r="PX6" s="17">
        <v>23</v>
      </c>
      <c r="PY6" s="17">
        <v>1700</v>
      </c>
      <c r="PZ6" s="17">
        <v>170</v>
      </c>
      <c r="QA6" s="17">
        <v>49</v>
      </c>
      <c r="QB6" s="17">
        <v>11</v>
      </c>
      <c r="QC6" s="17">
        <v>33</v>
      </c>
      <c r="QD6" s="17">
        <v>350</v>
      </c>
      <c r="QE6" s="17">
        <v>33</v>
      </c>
      <c r="QF6" s="17">
        <v>79</v>
      </c>
      <c r="QG6" s="17">
        <v>79</v>
      </c>
      <c r="QH6" s="17">
        <v>33</v>
      </c>
      <c r="QI6" s="17">
        <v>49</v>
      </c>
      <c r="QJ6" s="17">
        <v>11</v>
      </c>
    </row>
    <row r="7" spans="1:452" s="17" customFormat="1" x14ac:dyDescent="0.15">
      <c r="A7" s="17" t="s">
        <v>66</v>
      </c>
      <c r="B7" s="18">
        <v>20</v>
      </c>
      <c r="C7" s="19"/>
      <c r="P7" s="17">
        <v>1.7</v>
      </c>
      <c r="R7" s="17">
        <v>7.8</v>
      </c>
      <c r="S7" s="17">
        <v>14</v>
      </c>
      <c r="X7" s="17">
        <v>350</v>
      </c>
      <c r="Y7" s="17">
        <v>13</v>
      </c>
      <c r="AA7" s="17">
        <v>49</v>
      </c>
      <c r="AB7" s="17">
        <v>2</v>
      </c>
      <c r="AQ7" s="17">
        <v>79</v>
      </c>
      <c r="AR7" s="17">
        <v>7.8</v>
      </c>
      <c r="AX7" s="17">
        <v>14</v>
      </c>
      <c r="BF7" s="17">
        <v>49</v>
      </c>
      <c r="BG7" s="17">
        <v>13</v>
      </c>
      <c r="BH7" s="17">
        <v>17</v>
      </c>
      <c r="BI7" s="17">
        <v>31</v>
      </c>
      <c r="BJ7" s="17">
        <v>170</v>
      </c>
      <c r="BK7" s="17">
        <v>7.8</v>
      </c>
      <c r="BN7" s="17">
        <v>49</v>
      </c>
      <c r="CO7" s="17">
        <v>17</v>
      </c>
      <c r="DF7" s="17">
        <v>7.8</v>
      </c>
      <c r="DL7" s="21" t="s">
        <v>57</v>
      </c>
      <c r="DO7" s="17">
        <v>33</v>
      </c>
      <c r="DP7" s="17">
        <v>11</v>
      </c>
      <c r="EU7" s="17">
        <v>33</v>
      </c>
      <c r="EV7" s="17">
        <v>13</v>
      </c>
      <c r="FJ7" s="17">
        <v>11</v>
      </c>
      <c r="FR7" s="17">
        <v>1.7</v>
      </c>
      <c r="FX7" s="17">
        <v>1.8</v>
      </c>
      <c r="FZ7" s="17">
        <v>6.8</v>
      </c>
      <c r="HB7" s="17">
        <v>13</v>
      </c>
      <c r="HC7" s="17">
        <v>4.5</v>
      </c>
      <c r="HE7" s="17">
        <v>13</v>
      </c>
      <c r="HF7" s="17">
        <v>33</v>
      </c>
      <c r="HG7" s="17">
        <v>7.8</v>
      </c>
      <c r="HL7" s="17">
        <v>4.5</v>
      </c>
      <c r="HM7" s="17">
        <v>2</v>
      </c>
      <c r="HX7" s="17">
        <v>2</v>
      </c>
      <c r="IH7" s="17">
        <v>1.7</v>
      </c>
      <c r="II7" s="17">
        <v>1.7</v>
      </c>
      <c r="IM7" s="17">
        <v>7.8</v>
      </c>
      <c r="IQ7" s="17">
        <v>7.8</v>
      </c>
      <c r="IR7" s="17">
        <v>2</v>
      </c>
      <c r="IT7" s="17">
        <v>27</v>
      </c>
      <c r="IU7" s="17">
        <v>4.5</v>
      </c>
      <c r="IV7" s="17">
        <v>79</v>
      </c>
      <c r="IW7" s="17">
        <v>4.5</v>
      </c>
      <c r="JP7" s="17">
        <v>23</v>
      </c>
      <c r="JQ7" s="17">
        <v>11</v>
      </c>
      <c r="JX7" s="17">
        <v>1.7</v>
      </c>
      <c r="KB7" s="17">
        <v>1.7</v>
      </c>
      <c r="KE7" s="17">
        <v>11</v>
      </c>
      <c r="KK7" s="17">
        <v>1.7</v>
      </c>
      <c r="KZ7" s="17">
        <v>1.7</v>
      </c>
      <c r="LM7" s="17">
        <v>17</v>
      </c>
      <c r="LN7" s="17">
        <v>21</v>
      </c>
      <c r="LO7" s="17">
        <v>7.8</v>
      </c>
      <c r="MW7" s="17">
        <v>4</v>
      </c>
      <c r="OB7" s="17">
        <v>2</v>
      </c>
      <c r="OC7" s="17">
        <v>1.7</v>
      </c>
      <c r="OE7" s="17">
        <v>11</v>
      </c>
      <c r="OF7" s="17">
        <v>11</v>
      </c>
      <c r="OM7" s="17">
        <v>33</v>
      </c>
      <c r="ON7" s="17">
        <v>2</v>
      </c>
      <c r="OY7" s="17">
        <v>7.8</v>
      </c>
      <c r="PC7" s="17">
        <v>1.7</v>
      </c>
      <c r="PU7" s="17">
        <v>2</v>
      </c>
    </row>
    <row r="8" spans="1:452" s="17" customFormat="1" x14ac:dyDescent="0.15">
      <c r="B8" s="18">
        <v>16</v>
      </c>
      <c r="C8" s="19"/>
      <c r="D8" s="17">
        <v>17</v>
      </c>
      <c r="E8" s="17">
        <v>49</v>
      </c>
      <c r="F8" s="17">
        <v>7.8</v>
      </c>
      <c r="G8" s="17">
        <v>79</v>
      </c>
      <c r="H8" s="17">
        <v>1.7</v>
      </c>
      <c r="I8" s="17">
        <v>2</v>
      </c>
      <c r="J8" s="17">
        <v>49</v>
      </c>
      <c r="K8" s="17">
        <v>7.8</v>
      </c>
      <c r="L8" s="17">
        <v>79</v>
      </c>
      <c r="M8" s="17">
        <v>22</v>
      </c>
      <c r="N8" s="17">
        <v>6.8</v>
      </c>
      <c r="O8" s="17">
        <v>2</v>
      </c>
      <c r="Q8" s="17">
        <v>13</v>
      </c>
      <c r="R8" s="17">
        <v>33</v>
      </c>
      <c r="S8" s="17">
        <v>33</v>
      </c>
      <c r="T8" s="17">
        <v>7.8</v>
      </c>
      <c r="U8" s="17">
        <v>130</v>
      </c>
      <c r="V8" s="17">
        <v>11</v>
      </c>
      <c r="W8" s="17">
        <v>13</v>
      </c>
      <c r="Z8" s="17">
        <v>110</v>
      </c>
      <c r="AA8" s="17">
        <v>240</v>
      </c>
      <c r="AB8" s="17">
        <v>49</v>
      </c>
      <c r="AC8" s="17">
        <v>23</v>
      </c>
      <c r="AD8" s="17">
        <v>49</v>
      </c>
      <c r="AE8" s="17">
        <v>4.5</v>
      </c>
      <c r="AF8" s="17">
        <v>540</v>
      </c>
      <c r="AG8" s="17">
        <v>70</v>
      </c>
      <c r="AH8" s="17">
        <v>11</v>
      </c>
      <c r="AI8" s="17">
        <v>220</v>
      </c>
      <c r="AJ8" s="17">
        <v>33</v>
      </c>
      <c r="AK8" s="17">
        <v>1.7</v>
      </c>
      <c r="AL8" s="17">
        <v>23</v>
      </c>
      <c r="AM8" s="17">
        <v>46</v>
      </c>
      <c r="AN8" s="17">
        <v>46</v>
      </c>
      <c r="AO8" s="17">
        <v>11</v>
      </c>
      <c r="AP8" s="17">
        <v>2</v>
      </c>
      <c r="AQ8" s="17">
        <v>240</v>
      </c>
      <c r="AR8" s="17">
        <v>49</v>
      </c>
      <c r="AS8" s="17">
        <v>2</v>
      </c>
      <c r="AT8" s="17">
        <v>11</v>
      </c>
      <c r="AU8" s="17">
        <v>11</v>
      </c>
      <c r="AV8" s="17">
        <v>7.8</v>
      </c>
      <c r="AX8" s="17">
        <v>7.8</v>
      </c>
      <c r="AY8" s="17">
        <v>79</v>
      </c>
      <c r="AZ8" s="17">
        <v>6.8</v>
      </c>
      <c r="BA8" s="17">
        <v>1.7</v>
      </c>
      <c r="BB8" s="17">
        <v>110</v>
      </c>
      <c r="BC8" s="17">
        <v>23</v>
      </c>
      <c r="BD8" s="17">
        <v>23</v>
      </c>
      <c r="BE8" s="17">
        <v>33</v>
      </c>
      <c r="BH8" s="17">
        <v>33</v>
      </c>
      <c r="BI8" s="17">
        <v>49</v>
      </c>
      <c r="BJ8" s="17">
        <v>33</v>
      </c>
      <c r="BK8" s="17">
        <v>22</v>
      </c>
      <c r="BL8" s="17">
        <v>7.8</v>
      </c>
      <c r="BM8" s="17">
        <v>350</v>
      </c>
      <c r="BN8" s="17">
        <v>170</v>
      </c>
      <c r="BO8" s="17">
        <v>33</v>
      </c>
      <c r="BP8" s="17">
        <v>49</v>
      </c>
      <c r="BQ8" s="17">
        <v>130</v>
      </c>
      <c r="BR8" s="17">
        <v>130</v>
      </c>
      <c r="BS8" s="17">
        <v>22</v>
      </c>
      <c r="BT8" s="17">
        <v>33</v>
      </c>
      <c r="BU8" s="17">
        <v>33</v>
      </c>
      <c r="BV8" s="17">
        <v>49</v>
      </c>
      <c r="BW8" s="17">
        <v>46</v>
      </c>
      <c r="BX8" s="17">
        <v>4</v>
      </c>
      <c r="BY8" s="17">
        <v>11</v>
      </c>
      <c r="BZ8" s="17">
        <v>13</v>
      </c>
      <c r="CA8" s="17">
        <v>7.8</v>
      </c>
      <c r="CB8" s="17">
        <v>11</v>
      </c>
      <c r="CC8" s="17">
        <v>2</v>
      </c>
      <c r="CD8" s="17">
        <v>4.5</v>
      </c>
      <c r="CE8" s="17">
        <v>4.5</v>
      </c>
      <c r="CF8" s="17">
        <v>4.5</v>
      </c>
      <c r="CG8" s="17">
        <v>350</v>
      </c>
      <c r="CH8" s="17">
        <v>130</v>
      </c>
      <c r="CI8" s="17">
        <v>4.5</v>
      </c>
      <c r="CJ8" s="17">
        <v>7.8</v>
      </c>
      <c r="CK8" s="17">
        <v>49</v>
      </c>
      <c r="CL8" s="17">
        <v>46</v>
      </c>
      <c r="CM8" s="17" t="s">
        <v>54</v>
      </c>
      <c r="CN8" s="17">
        <v>4</v>
      </c>
      <c r="CO8" s="17">
        <v>110</v>
      </c>
      <c r="CP8" s="17">
        <v>6.8</v>
      </c>
      <c r="CQ8" s="17">
        <v>13</v>
      </c>
      <c r="CR8" s="17">
        <v>2</v>
      </c>
      <c r="CS8" s="17">
        <v>1.8</v>
      </c>
      <c r="CT8" s="17">
        <v>2</v>
      </c>
      <c r="CV8" s="17">
        <v>1.7</v>
      </c>
      <c r="CW8" s="17">
        <v>17</v>
      </c>
      <c r="CX8" s="17">
        <v>4</v>
      </c>
      <c r="CY8" s="17">
        <v>6.8</v>
      </c>
      <c r="CZ8" s="17">
        <v>2</v>
      </c>
      <c r="DA8" s="17">
        <v>4.5</v>
      </c>
      <c r="DB8" s="17">
        <v>33</v>
      </c>
      <c r="DC8" s="17">
        <v>7.8</v>
      </c>
      <c r="DD8" s="17">
        <v>6.8</v>
      </c>
      <c r="DG8" s="17">
        <v>22</v>
      </c>
      <c r="DH8" s="17">
        <v>4.5</v>
      </c>
      <c r="DI8" s="17">
        <v>49</v>
      </c>
      <c r="DJ8" s="17">
        <v>49</v>
      </c>
      <c r="DK8" s="17">
        <v>7.8</v>
      </c>
      <c r="DN8" s="17">
        <v>23</v>
      </c>
      <c r="DP8" s="17">
        <v>33</v>
      </c>
      <c r="DQ8" s="17">
        <v>31</v>
      </c>
      <c r="DR8" s="17">
        <v>31</v>
      </c>
      <c r="DS8" s="17">
        <v>170</v>
      </c>
      <c r="DT8" s="17">
        <v>33</v>
      </c>
      <c r="DU8" s="17">
        <v>17</v>
      </c>
      <c r="DV8" s="17">
        <v>33</v>
      </c>
      <c r="DW8" s="17">
        <v>46</v>
      </c>
      <c r="DX8" s="17">
        <v>49</v>
      </c>
      <c r="EB8" s="17">
        <v>7.8</v>
      </c>
      <c r="EC8" s="17">
        <v>33</v>
      </c>
      <c r="ED8" s="17">
        <v>7.8</v>
      </c>
      <c r="EE8" s="17">
        <v>4.5</v>
      </c>
      <c r="EF8" s="17">
        <v>130</v>
      </c>
      <c r="EG8" s="17">
        <v>7.8</v>
      </c>
      <c r="EH8" s="17">
        <v>6.8</v>
      </c>
      <c r="EI8" s="17">
        <v>17</v>
      </c>
      <c r="EJ8" s="17">
        <v>49</v>
      </c>
      <c r="EK8" s="17">
        <v>33</v>
      </c>
      <c r="EL8" s="17">
        <v>7.8</v>
      </c>
      <c r="EN8" s="17">
        <v>22</v>
      </c>
      <c r="EO8" s="17">
        <v>4</v>
      </c>
      <c r="EP8" s="17">
        <v>1.7</v>
      </c>
      <c r="EQ8" s="17">
        <v>13</v>
      </c>
      <c r="ER8" s="17">
        <v>2</v>
      </c>
      <c r="ES8" s="17">
        <v>33</v>
      </c>
      <c r="ET8" s="17">
        <v>4.5</v>
      </c>
      <c r="EU8" s="17">
        <v>49</v>
      </c>
      <c r="EV8" s="17">
        <v>23</v>
      </c>
      <c r="EW8" s="17">
        <v>79</v>
      </c>
      <c r="EX8" s="17">
        <v>17</v>
      </c>
      <c r="EY8" s="17">
        <v>2</v>
      </c>
      <c r="EZ8" s="17">
        <v>13</v>
      </c>
      <c r="FA8" s="17">
        <v>11</v>
      </c>
      <c r="FB8" s="17">
        <v>79</v>
      </c>
      <c r="FC8" s="17">
        <v>4.5</v>
      </c>
      <c r="FD8" s="17">
        <v>110</v>
      </c>
      <c r="FE8" s="17">
        <v>33</v>
      </c>
      <c r="FF8" s="17">
        <v>33</v>
      </c>
      <c r="FG8" s="17">
        <v>4.5</v>
      </c>
      <c r="FH8" s="17">
        <v>11</v>
      </c>
      <c r="FI8" s="17">
        <v>2</v>
      </c>
      <c r="FK8" s="17">
        <v>11</v>
      </c>
      <c r="FL8" s="17">
        <v>2</v>
      </c>
      <c r="FM8" s="17">
        <v>2</v>
      </c>
      <c r="FN8" s="17">
        <v>17</v>
      </c>
      <c r="FO8" s="17">
        <v>23</v>
      </c>
      <c r="FP8" s="17">
        <v>13</v>
      </c>
      <c r="FQ8" s="17">
        <v>9.3000000000000007</v>
      </c>
      <c r="FS8" s="17">
        <v>4.5</v>
      </c>
      <c r="FT8" s="17">
        <v>13</v>
      </c>
      <c r="FU8" s="17">
        <v>4.5</v>
      </c>
      <c r="FV8" s="17">
        <v>3.7</v>
      </c>
      <c r="FW8" s="17">
        <v>4</v>
      </c>
      <c r="FX8" s="17">
        <v>7.8</v>
      </c>
      <c r="FY8" s="17">
        <v>7.8</v>
      </c>
      <c r="GA8" s="17">
        <v>7.8</v>
      </c>
      <c r="GB8" s="17">
        <v>13</v>
      </c>
      <c r="GC8" s="17">
        <v>11</v>
      </c>
      <c r="GD8" s="17">
        <v>22</v>
      </c>
      <c r="GE8" s="17">
        <v>4.5</v>
      </c>
      <c r="GF8" s="17">
        <v>6.8</v>
      </c>
      <c r="GG8" s="17">
        <v>33</v>
      </c>
      <c r="GH8" s="17">
        <v>7.8</v>
      </c>
      <c r="GI8" s="17">
        <v>11</v>
      </c>
      <c r="GJ8" s="17">
        <v>2</v>
      </c>
      <c r="GK8" s="17">
        <v>4.5</v>
      </c>
      <c r="GL8" s="17">
        <v>4.5</v>
      </c>
      <c r="GM8" s="17">
        <v>49</v>
      </c>
      <c r="GN8" s="17">
        <v>23</v>
      </c>
      <c r="GO8" s="17">
        <v>13</v>
      </c>
      <c r="GP8" s="17">
        <v>4</v>
      </c>
      <c r="GQ8" s="17">
        <v>13</v>
      </c>
      <c r="GR8" s="17">
        <v>49</v>
      </c>
      <c r="GS8" s="17">
        <v>4.5</v>
      </c>
      <c r="GT8" s="17">
        <v>2</v>
      </c>
      <c r="GU8" s="17">
        <v>17</v>
      </c>
      <c r="GV8" s="17">
        <v>6.8</v>
      </c>
      <c r="GW8" s="17">
        <v>1.7</v>
      </c>
      <c r="GX8" s="17">
        <v>4.5</v>
      </c>
      <c r="GY8" s="17">
        <v>2</v>
      </c>
      <c r="GZ8" s="17">
        <v>13</v>
      </c>
      <c r="HA8" s="17">
        <v>13</v>
      </c>
      <c r="HC8" s="17">
        <v>7.8</v>
      </c>
      <c r="HD8" s="17">
        <v>33</v>
      </c>
      <c r="HE8" s="17">
        <v>240</v>
      </c>
      <c r="HF8" s="17">
        <v>49</v>
      </c>
      <c r="HG8" s="17">
        <v>21</v>
      </c>
      <c r="HH8" s="17">
        <v>4.5</v>
      </c>
      <c r="HI8" s="17">
        <v>4.5</v>
      </c>
      <c r="HJ8" s="17">
        <v>17</v>
      </c>
      <c r="HK8" s="17">
        <v>4.5</v>
      </c>
      <c r="HL8" s="17">
        <v>79</v>
      </c>
      <c r="HM8" s="17">
        <v>13</v>
      </c>
      <c r="HQ8" s="17">
        <v>23</v>
      </c>
      <c r="HR8" s="17">
        <v>4.5</v>
      </c>
      <c r="HS8" s="17">
        <v>23</v>
      </c>
      <c r="HT8" s="17">
        <v>33</v>
      </c>
      <c r="HU8" s="17">
        <v>23</v>
      </c>
      <c r="HV8" s="17">
        <v>33</v>
      </c>
      <c r="HW8" s="17">
        <v>13</v>
      </c>
      <c r="HX8" s="17">
        <v>4.5</v>
      </c>
      <c r="HY8" s="17">
        <v>2</v>
      </c>
      <c r="HZ8" s="17">
        <v>23</v>
      </c>
      <c r="IA8" s="17">
        <v>13</v>
      </c>
      <c r="IB8" s="17">
        <v>540</v>
      </c>
      <c r="IC8" s="17">
        <v>46</v>
      </c>
      <c r="ID8" s="17">
        <v>13</v>
      </c>
      <c r="IE8" s="17">
        <v>33</v>
      </c>
      <c r="IF8" s="17">
        <v>1.8</v>
      </c>
      <c r="IG8" s="17">
        <v>6.8</v>
      </c>
      <c r="IH8" s="17">
        <v>4.5</v>
      </c>
      <c r="II8" s="17">
        <v>4</v>
      </c>
      <c r="IJ8" s="17">
        <v>4</v>
      </c>
      <c r="IK8" s="17">
        <v>17</v>
      </c>
      <c r="IL8" s="17">
        <v>2</v>
      </c>
      <c r="IM8" s="17">
        <v>7.8</v>
      </c>
      <c r="IO8" s="17">
        <v>11</v>
      </c>
      <c r="IP8" s="17">
        <v>13</v>
      </c>
      <c r="IQ8" s="17">
        <v>33</v>
      </c>
      <c r="IS8" s="17">
        <v>4.5</v>
      </c>
      <c r="IT8" s="17">
        <v>22</v>
      </c>
      <c r="IU8" s="17">
        <v>6.8</v>
      </c>
      <c r="IW8" s="17">
        <v>13</v>
      </c>
      <c r="IX8" s="17">
        <v>13</v>
      </c>
      <c r="IY8" s="17">
        <v>23</v>
      </c>
      <c r="IZ8" s="17">
        <v>22</v>
      </c>
      <c r="JA8" s="17">
        <v>350</v>
      </c>
      <c r="JB8" s="17">
        <v>49</v>
      </c>
      <c r="JC8" s="17">
        <v>17</v>
      </c>
      <c r="JD8" s="17">
        <v>21</v>
      </c>
      <c r="JE8" s="17">
        <v>49</v>
      </c>
      <c r="JF8" s="17">
        <v>49</v>
      </c>
      <c r="JG8" s="17">
        <v>170</v>
      </c>
      <c r="JH8" s="17">
        <v>49</v>
      </c>
      <c r="JI8" s="17">
        <v>33</v>
      </c>
      <c r="JJ8" s="17">
        <v>33</v>
      </c>
      <c r="JK8" s="17">
        <v>33</v>
      </c>
      <c r="JL8" s="17">
        <v>17</v>
      </c>
      <c r="JM8" s="17">
        <v>70</v>
      </c>
      <c r="JN8" s="17">
        <v>33</v>
      </c>
      <c r="JO8" s="17">
        <v>11</v>
      </c>
      <c r="JQ8" s="17">
        <v>22</v>
      </c>
      <c r="JR8" s="17">
        <v>33</v>
      </c>
      <c r="JS8" s="17">
        <v>11</v>
      </c>
      <c r="JV8" s="17">
        <v>4.5</v>
      </c>
      <c r="JW8" s="17">
        <v>2</v>
      </c>
    </row>
    <row r="9" spans="1:452" s="17" customFormat="1" x14ac:dyDescent="0.15">
      <c r="B9" s="18">
        <v>11</v>
      </c>
      <c r="C9" s="19"/>
      <c r="D9" s="17">
        <v>4</v>
      </c>
      <c r="E9" s="17">
        <v>7.8</v>
      </c>
      <c r="F9" s="17">
        <v>11</v>
      </c>
      <c r="G9" s="17">
        <v>79</v>
      </c>
      <c r="H9" s="17">
        <v>23</v>
      </c>
      <c r="J9" s="17">
        <v>79</v>
      </c>
      <c r="K9" s="17">
        <v>4.5</v>
      </c>
      <c r="L9" s="17">
        <v>240</v>
      </c>
      <c r="M9" s="17">
        <v>4.5</v>
      </c>
      <c r="N9" s="17">
        <v>49</v>
      </c>
      <c r="O9" s="17">
        <v>1.7</v>
      </c>
      <c r="Q9" s="17">
        <v>6.8</v>
      </c>
      <c r="R9" s="17">
        <v>33</v>
      </c>
      <c r="S9" s="17">
        <v>17</v>
      </c>
      <c r="U9" s="17">
        <v>49</v>
      </c>
      <c r="V9" s="17">
        <v>33</v>
      </c>
      <c r="W9" s="17">
        <v>13</v>
      </c>
      <c r="Z9" s="17">
        <v>49</v>
      </c>
      <c r="AA9" s="17">
        <v>130</v>
      </c>
      <c r="AB9" s="17">
        <v>79</v>
      </c>
      <c r="AC9" s="17">
        <v>33</v>
      </c>
      <c r="AD9" s="17">
        <v>49</v>
      </c>
      <c r="AE9" s="17">
        <v>13</v>
      </c>
      <c r="AF9" s="17">
        <v>540</v>
      </c>
      <c r="AG9" s="17">
        <v>240</v>
      </c>
      <c r="AH9" s="17">
        <v>11</v>
      </c>
      <c r="AI9" s="17">
        <v>240</v>
      </c>
      <c r="AJ9" s="17">
        <v>6.8</v>
      </c>
      <c r="AK9" s="17">
        <v>2</v>
      </c>
      <c r="AL9" s="17">
        <v>33</v>
      </c>
      <c r="AM9" s="17">
        <v>4.5</v>
      </c>
      <c r="AN9" s="17">
        <v>84</v>
      </c>
      <c r="AO9" s="17">
        <v>17</v>
      </c>
      <c r="AP9" s="17">
        <v>4.5</v>
      </c>
      <c r="AR9" s="17">
        <v>49</v>
      </c>
      <c r="AS9" s="17">
        <v>7.8</v>
      </c>
      <c r="AT9" s="17">
        <v>33</v>
      </c>
      <c r="AU9" s="17">
        <v>4.5</v>
      </c>
      <c r="AV9" s="17">
        <v>1.8</v>
      </c>
      <c r="AY9" s="17">
        <v>33</v>
      </c>
      <c r="AZ9" s="17">
        <v>23</v>
      </c>
      <c r="BA9" s="17">
        <v>4.5</v>
      </c>
      <c r="BB9" s="17">
        <v>33</v>
      </c>
      <c r="BC9" s="17">
        <v>33</v>
      </c>
      <c r="BD9" s="17">
        <v>13</v>
      </c>
      <c r="BE9" s="17">
        <v>49</v>
      </c>
      <c r="BH9" s="17">
        <v>70</v>
      </c>
      <c r="BI9" s="17">
        <v>31</v>
      </c>
      <c r="BJ9" s="17">
        <v>23</v>
      </c>
      <c r="BK9" s="17">
        <v>17</v>
      </c>
      <c r="BL9" s="17">
        <v>22</v>
      </c>
      <c r="BM9" s="17">
        <v>170</v>
      </c>
      <c r="BN9" s="17">
        <v>280</v>
      </c>
      <c r="BO9" s="17">
        <v>49</v>
      </c>
      <c r="BP9" s="17">
        <v>49</v>
      </c>
      <c r="BQ9" s="17">
        <v>220</v>
      </c>
      <c r="BR9" s="17">
        <v>110</v>
      </c>
      <c r="BS9" s="17">
        <v>23</v>
      </c>
      <c r="BT9" s="17">
        <v>130</v>
      </c>
      <c r="BU9" s="17">
        <v>110</v>
      </c>
      <c r="BV9" s="17">
        <v>130</v>
      </c>
      <c r="BW9" s="17">
        <v>49</v>
      </c>
      <c r="BX9" s="17">
        <v>4</v>
      </c>
      <c r="BZ9" s="17">
        <v>11</v>
      </c>
      <c r="CA9" s="17">
        <v>7.8</v>
      </c>
      <c r="CB9" s="17">
        <v>13</v>
      </c>
      <c r="CC9" s="17">
        <v>2</v>
      </c>
      <c r="CD9" s="17">
        <v>23</v>
      </c>
      <c r="CE9" s="17">
        <v>2</v>
      </c>
      <c r="CF9" s="17">
        <v>11</v>
      </c>
      <c r="CJ9" s="17">
        <v>4.5</v>
      </c>
      <c r="CM9" s="17" t="s">
        <v>54</v>
      </c>
      <c r="CN9" s="17">
        <v>7.8</v>
      </c>
      <c r="CO9" s="17">
        <v>920</v>
      </c>
      <c r="CP9" s="17">
        <v>17</v>
      </c>
      <c r="CQ9" s="17">
        <v>1.8</v>
      </c>
      <c r="CR9" s="17">
        <v>2</v>
      </c>
      <c r="CS9" s="17">
        <v>33</v>
      </c>
      <c r="CT9" s="17">
        <v>4.5</v>
      </c>
      <c r="CU9" s="17">
        <v>49</v>
      </c>
      <c r="CV9" s="17">
        <v>11</v>
      </c>
      <c r="CW9" s="17">
        <v>33</v>
      </c>
      <c r="CX9" s="17">
        <v>7.8</v>
      </c>
      <c r="CY9" s="17">
        <v>4.5</v>
      </c>
      <c r="CZ9" s="17">
        <v>2</v>
      </c>
      <c r="DA9" s="17">
        <v>1.8</v>
      </c>
      <c r="DB9" s="17">
        <v>33</v>
      </c>
      <c r="DC9" s="17">
        <v>33</v>
      </c>
      <c r="DD9" s="17">
        <v>4.5</v>
      </c>
      <c r="DH9" s="17">
        <v>13</v>
      </c>
      <c r="DI9" s="17">
        <v>79</v>
      </c>
      <c r="DJ9" s="17">
        <v>79</v>
      </c>
      <c r="DK9" s="17">
        <v>17</v>
      </c>
      <c r="DP9" s="17">
        <v>23</v>
      </c>
      <c r="DR9" s="17">
        <v>33</v>
      </c>
      <c r="DS9" s="17">
        <v>79</v>
      </c>
      <c r="DT9" s="17">
        <v>33</v>
      </c>
      <c r="DU9" s="17">
        <v>11</v>
      </c>
      <c r="DV9" s="17">
        <v>27</v>
      </c>
      <c r="DW9" s="17">
        <v>23</v>
      </c>
      <c r="DX9" s="17">
        <v>79</v>
      </c>
      <c r="DY9" s="17">
        <v>540</v>
      </c>
      <c r="DZ9" s="17">
        <v>49</v>
      </c>
      <c r="EA9" s="17">
        <v>22</v>
      </c>
      <c r="EC9" s="17">
        <v>130</v>
      </c>
      <c r="ED9" s="17">
        <v>33</v>
      </c>
      <c r="EE9" s="17">
        <v>23</v>
      </c>
      <c r="EF9" s="17">
        <v>240</v>
      </c>
      <c r="EG9" s="17">
        <v>7.8</v>
      </c>
      <c r="EH9" s="17">
        <v>13</v>
      </c>
      <c r="EI9" s="17">
        <v>130</v>
      </c>
      <c r="EJ9" s="17">
        <v>49</v>
      </c>
      <c r="EK9" s="17">
        <v>33</v>
      </c>
      <c r="EL9" s="17">
        <v>22</v>
      </c>
      <c r="EM9" s="17">
        <v>4.5</v>
      </c>
      <c r="EN9" s="17">
        <v>33</v>
      </c>
      <c r="EO9" s="17">
        <v>17</v>
      </c>
      <c r="EP9" s="17">
        <v>4</v>
      </c>
      <c r="EQ9" s="17">
        <v>1.7</v>
      </c>
      <c r="ER9" s="17">
        <v>17</v>
      </c>
      <c r="ES9" s="17">
        <v>17</v>
      </c>
      <c r="ET9" s="17">
        <v>4</v>
      </c>
      <c r="EV9" s="17">
        <v>33</v>
      </c>
      <c r="EW9" s="17">
        <v>17</v>
      </c>
      <c r="EX9" s="17">
        <v>13</v>
      </c>
      <c r="EY9" s="17">
        <v>23</v>
      </c>
      <c r="EZ9" s="17">
        <v>17</v>
      </c>
      <c r="FA9" s="17">
        <v>13</v>
      </c>
      <c r="FB9" s="17">
        <v>130</v>
      </c>
      <c r="FC9" s="17">
        <v>4.5</v>
      </c>
      <c r="FD9" s="17">
        <v>49</v>
      </c>
      <c r="FE9" s="17">
        <v>49</v>
      </c>
      <c r="FF9" s="17">
        <v>79</v>
      </c>
      <c r="FG9" s="17">
        <v>7.8</v>
      </c>
      <c r="FH9" s="17">
        <v>23</v>
      </c>
      <c r="FI9" s="17">
        <v>2</v>
      </c>
      <c r="FK9" s="17">
        <v>23</v>
      </c>
      <c r="FL9" s="17">
        <v>1.7</v>
      </c>
      <c r="FM9" s="17">
        <v>1.7</v>
      </c>
      <c r="FN9" s="17">
        <v>70</v>
      </c>
      <c r="FO9" s="17">
        <v>23</v>
      </c>
      <c r="FQ9" s="17">
        <v>11</v>
      </c>
      <c r="FS9" s="17">
        <v>11</v>
      </c>
      <c r="FT9" s="17">
        <v>6.8</v>
      </c>
      <c r="FU9" s="17">
        <v>17</v>
      </c>
      <c r="FV9" s="17">
        <v>1.7</v>
      </c>
      <c r="FW9" s="17">
        <v>1.7</v>
      </c>
      <c r="GA9" s="17">
        <v>22</v>
      </c>
      <c r="GB9" s="17">
        <v>33</v>
      </c>
      <c r="GC9" s="17">
        <v>17</v>
      </c>
      <c r="GD9" s="17">
        <v>14</v>
      </c>
      <c r="GE9" s="17">
        <v>13</v>
      </c>
      <c r="GF9" s="17">
        <v>13</v>
      </c>
      <c r="GG9" s="17">
        <v>31</v>
      </c>
      <c r="GH9" s="17">
        <v>2</v>
      </c>
      <c r="GI9" s="17">
        <v>4.5</v>
      </c>
      <c r="GJ9" s="17">
        <v>4.5</v>
      </c>
      <c r="GK9" s="17">
        <v>11</v>
      </c>
      <c r="GL9" s="17">
        <v>7.8</v>
      </c>
      <c r="GN9" s="17">
        <v>170</v>
      </c>
      <c r="GO9" s="17">
        <v>70</v>
      </c>
      <c r="GP9" s="17">
        <v>2</v>
      </c>
      <c r="GQ9" s="17">
        <v>7.8</v>
      </c>
      <c r="GS9" s="17">
        <v>17</v>
      </c>
      <c r="GT9" s="17">
        <v>4</v>
      </c>
      <c r="GU9" s="17">
        <v>49</v>
      </c>
      <c r="GV9" s="17">
        <v>13</v>
      </c>
      <c r="GW9" s="17">
        <v>33</v>
      </c>
      <c r="GX9" s="17">
        <v>14</v>
      </c>
      <c r="GY9" s="17">
        <v>2</v>
      </c>
      <c r="HA9" s="17">
        <v>23</v>
      </c>
      <c r="HC9" s="17">
        <v>13</v>
      </c>
      <c r="HE9" s="17">
        <v>220</v>
      </c>
      <c r="HF9" s="17">
        <v>49</v>
      </c>
      <c r="HG9" s="17">
        <v>17</v>
      </c>
      <c r="HH9" s="17">
        <v>13</v>
      </c>
      <c r="HK9" s="17">
        <v>13</v>
      </c>
      <c r="IH9" s="17">
        <v>1.7</v>
      </c>
      <c r="IK9" s="17">
        <v>49</v>
      </c>
      <c r="IL9" s="17">
        <v>7.8</v>
      </c>
      <c r="IO9" s="17">
        <v>13</v>
      </c>
      <c r="IW9" s="17">
        <v>33</v>
      </c>
      <c r="JB9" s="17">
        <v>95</v>
      </c>
      <c r="JC9" s="17">
        <v>23</v>
      </c>
    </row>
    <row r="10" spans="1:452" s="17" customFormat="1" x14ac:dyDescent="0.15">
      <c r="B10" s="23" t="s">
        <v>53</v>
      </c>
      <c r="C10" s="19"/>
      <c r="BB10" s="17">
        <v>33</v>
      </c>
      <c r="BO10" s="15"/>
    </row>
    <row r="11" spans="1:452" s="17" customFormat="1" x14ac:dyDescent="0.15">
      <c r="B11" s="18">
        <v>17</v>
      </c>
      <c r="C11" s="19"/>
      <c r="IP11" s="17">
        <v>6.8</v>
      </c>
    </row>
    <row r="12" spans="1:452" s="17" customFormat="1" x14ac:dyDescent="0.15">
      <c r="B12" s="22">
        <v>21</v>
      </c>
      <c r="C12" s="19"/>
      <c r="D12" s="16"/>
    </row>
    <row r="13" spans="1:452" s="17" customFormat="1" x14ac:dyDescent="0.15">
      <c r="B13" s="22">
        <v>22</v>
      </c>
      <c r="C13" s="19"/>
      <c r="D13" s="19"/>
      <c r="E13" s="19"/>
    </row>
    <row r="14" spans="1:452" s="17" customFormat="1" x14ac:dyDescent="0.15">
      <c r="B14" s="18">
        <v>5</v>
      </c>
      <c r="C14" s="19"/>
      <c r="D14" s="19"/>
      <c r="E14" s="19"/>
    </row>
    <row r="15" spans="1:452" s="17" customFormat="1" x14ac:dyDescent="0.15">
      <c r="B15" s="18">
        <v>13</v>
      </c>
      <c r="C15" s="19"/>
      <c r="D15" s="19"/>
      <c r="E15" s="19"/>
    </row>
    <row r="16" spans="1:452" s="17" customFormat="1" x14ac:dyDescent="0.15">
      <c r="B16" s="18">
        <v>18</v>
      </c>
      <c r="C16" s="19"/>
      <c r="D16" s="19"/>
      <c r="E16" s="19"/>
    </row>
    <row r="17" spans="2:257" s="17" customFormat="1" x14ac:dyDescent="0.15">
      <c r="B17" s="18">
        <v>30</v>
      </c>
      <c r="C17" s="19"/>
      <c r="D17" s="19"/>
      <c r="E17" s="19"/>
    </row>
    <row r="18" spans="2:257" s="17" customFormat="1" x14ac:dyDescent="0.15">
      <c r="B18" s="18">
        <v>30</v>
      </c>
      <c r="C18" s="19" t="s">
        <v>2</v>
      </c>
      <c r="D18" s="19"/>
      <c r="E18" s="19"/>
    </row>
    <row r="19" spans="2:257" s="17" customFormat="1" x14ac:dyDescent="0.15">
      <c r="B19" s="18">
        <v>30</v>
      </c>
      <c r="C19" s="19" t="s">
        <v>3</v>
      </c>
      <c r="D19" s="19"/>
      <c r="E19" s="19"/>
    </row>
    <row r="20" spans="2:257" s="17" customFormat="1" x14ac:dyDescent="0.15">
      <c r="B20" s="18">
        <v>35</v>
      </c>
      <c r="C20" s="19"/>
      <c r="D20" s="19"/>
      <c r="E20" s="19"/>
    </row>
    <row r="21" spans="2:257" s="17" customFormat="1" x14ac:dyDescent="0.15">
      <c r="B21" s="18">
        <v>36</v>
      </c>
      <c r="C21" s="19"/>
      <c r="D21" s="19"/>
      <c r="E21" s="19"/>
    </row>
    <row r="22" spans="2:257" s="17" customFormat="1" x14ac:dyDescent="0.15">
      <c r="B22" s="18">
        <v>1</v>
      </c>
      <c r="C22" s="19"/>
      <c r="D22" s="19"/>
      <c r="E22" s="19"/>
    </row>
    <row r="23" spans="2:257" s="17" customFormat="1" x14ac:dyDescent="0.15">
      <c r="B23" s="24" t="s">
        <v>4</v>
      </c>
      <c r="C23" s="19"/>
      <c r="D23" s="19"/>
      <c r="E23" s="19"/>
    </row>
    <row r="24" spans="2:257" x14ac:dyDescent="0.15">
      <c r="B24" s="22">
        <v>31</v>
      </c>
      <c r="C24" s="22"/>
      <c r="D24" s="22"/>
      <c r="E24" s="22"/>
    </row>
    <row r="25" spans="2:257" x14ac:dyDescent="0.15">
      <c r="B25" s="22">
        <v>9</v>
      </c>
      <c r="C25" s="22" t="s">
        <v>2</v>
      </c>
      <c r="D25" s="22"/>
      <c r="E25" s="22"/>
    </row>
    <row r="26" spans="2:257" x14ac:dyDescent="0.15">
      <c r="B26" s="18" t="s">
        <v>55</v>
      </c>
      <c r="DE26" s="18">
        <v>920</v>
      </c>
    </row>
    <row r="27" spans="2:257" x14ac:dyDescent="0.15">
      <c r="B27" s="23" t="s">
        <v>56</v>
      </c>
      <c r="DE27" s="18">
        <v>170</v>
      </c>
    </row>
    <row r="28" spans="2:257" x14ac:dyDescent="0.15">
      <c r="B28" s="23" t="s">
        <v>58</v>
      </c>
      <c r="DM28" s="18">
        <v>7.8</v>
      </c>
    </row>
    <row r="29" spans="2:257" x14ac:dyDescent="0.15">
      <c r="B29" s="18">
        <v>12</v>
      </c>
      <c r="C29" s="23" t="s">
        <v>59</v>
      </c>
      <c r="IW29" s="18">
        <v>4.5</v>
      </c>
    </row>
  </sheetData>
  <sortState xmlns:xlrd2="http://schemas.microsoft.com/office/spreadsheetml/2017/richdata2" ref="A2:JW29">
    <sortCondition ref="A2:A29"/>
  </sortState>
  <phoneticPr fontId="0" type="noConversion"/>
  <conditionalFormatting sqref="D2:JD25">
    <cfRule type="cellIs" dxfId="0" priority="1" stopIfTrue="1" operator="greaterThanOrEqual">
      <formula>14</formula>
    </cfRule>
  </conditionalFormatting>
  <printOptions horizontalCentered="1" verticalCentered="1" gridLines="1"/>
  <pageMargins left="0.75" right="0.75" top="1" bottom="1" header="0.5" footer="0.5"/>
  <pageSetup orientation="landscape" r:id="rId1"/>
  <headerFooter alignWithMargins="0">
    <oddHeader>&amp;L&amp;"Arial,Bold"&amp;14D2, QUEENS CREEK&amp;C&amp;"Arial,Bold"&amp;14Conditional Sampling&amp;R&amp;"Arial,Bold"&amp;14MAY 12, 2005 ---&gt;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JAN '93 - JUN '05</vt:lpstr>
      <vt:lpstr>MAY  '05 ----&gt;</vt:lpstr>
      <vt:lpstr>\E</vt:lpstr>
      <vt:lpstr>\G</vt:lpstr>
      <vt:lpstr>'JAN ''93 - JUN ''05'!Print_Area</vt:lpstr>
      <vt:lpstr>'MAY  ''05 ----&gt;'!Print_Area</vt:lpstr>
      <vt:lpstr>'JAN ''93 - JUN ''05'!Print_Titles</vt:lpstr>
      <vt:lpstr>'MAY  ''05 ----&gt;'!Print_Titles</vt:lpstr>
      <vt:lpstr>'JAN ''93 - JUN ''05'!Print_Titles_MI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Microsoft Office User</cp:lastModifiedBy>
  <cp:lastPrinted>2007-02-20T16:13:11Z</cp:lastPrinted>
  <dcterms:created xsi:type="dcterms:W3CDTF">2003-07-18T14:45:12Z</dcterms:created>
  <dcterms:modified xsi:type="dcterms:W3CDTF">2021-04-05T15:22:27Z</dcterms:modified>
</cp:coreProperties>
</file>