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19815" windowHeight="787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1" i="1"/>
  <c r="D733"/>
  <c r="D717"/>
  <c r="D701"/>
  <c r="D685"/>
  <c r="D669"/>
  <c r="D653"/>
  <c r="D637"/>
  <c r="D621"/>
  <c r="D605"/>
  <c r="D589"/>
  <c r="D573"/>
  <c r="D557"/>
  <c r="D541"/>
  <c r="D525"/>
  <c r="D509"/>
  <c r="D493"/>
  <c r="D477"/>
  <c r="D461"/>
  <c r="D445"/>
  <c r="D429"/>
  <c r="D413"/>
  <c r="D397"/>
  <c r="D381"/>
  <c r="D365"/>
  <c r="D349"/>
  <c r="D333"/>
  <c r="D317"/>
  <c r="D301"/>
  <c r="D285"/>
  <c r="D269"/>
  <c r="D253"/>
  <c r="D237"/>
  <c r="D221"/>
  <c r="D205"/>
  <c r="D189"/>
  <c r="D173"/>
  <c r="D157"/>
  <c r="D141"/>
  <c r="D125"/>
  <c r="D109"/>
  <c r="D93"/>
  <c r="D77"/>
  <c r="D61"/>
  <c r="D45"/>
  <c r="D29"/>
  <c r="D13"/>
  <c r="C745"/>
  <c r="C729"/>
  <c r="C713"/>
  <c r="C697"/>
  <c r="C681"/>
  <c r="C665"/>
  <c r="C649"/>
  <c r="C633"/>
  <c r="C617"/>
  <c r="C601"/>
  <c r="C585"/>
  <c r="C569"/>
  <c r="C553"/>
  <c r="C537"/>
  <c r="C521"/>
  <c r="C505"/>
  <c r="C489"/>
  <c r="C473"/>
  <c r="D734"/>
  <c r="D718"/>
  <c r="D702"/>
  <c r="D686"/>
  <c r="D670"/>
  <c r="D654"/>
  <c r="D638"/>
  <c r="D622"/>
  <c r="D606"/>
  <c r="D590"/>
  <c r="D574"/>
  <c r="D558"/>
  <c r="D542"/>
  <c r="D526"/>
  <c r="D510"/>
  <c r="D494"/>
  <c r="D478"/>
  <c r="D462"/>
  <c r="D446"/>
  <c r="D430"/>
  <c r="D414"/>
  <c r="D398"/>
  <c r="D382"/>
  <c r="D366"/>
  <c r="D350"/>
  <c r="D334"/>
  <c r="D318"/>
  <c r="D302"/>
  <c r="D286"/>
  <c r="D270"/>
  <c r="D254"/>
  <c r="D238"/>
  <c r="D222"/>
  <c r="D206"/>
  <c r="D190"/>
  <c r="D174"/>
  <c r="D158"/>
  <c r="D142"/>
  <c r="D126"/>
  <c r="D110"/>
  <c r="D94"/>
  <c r="D78"/>
  <c r="D62"/>
  <c r="D46"/>
  <c r="D30"/>
  <c r="D14"/>
  <c r="C746"/>
  <c r="C730"/>
  <c r="C714"/>
  <c r="C698"/>
  <c r="C682"/>
  <c r="C666"/>
  <c r="C650"/>
  <c r="C634"/>
  <c r="C618"/>
  <c r="C602"/>
  <c r="C586"/>
  <c r="C570"/>
  <c r="C554"/>
  <c r="C538"/>
  <c r="C522"/>
  <c r="C506"/>
  <c r="C490"/>
  <c r="C474"/>
  <c r="D735"/>
  <c r="D719"/>
  <c r="D703"/>
  <c r="D687"/>
  <c r="D671"/>
  <c r="D655"/>
  <c r="D639"/>
  <c r="D623"/>
  <c r="D607"/>
  <c r="D591"/>
  <c r="D575"/>
  <c r="D559"/>
  <c r="D543"/>
  <c r="D527"/>
  <c r="D511"/>
  <c r="D495"/>
  <c r="D479"/>
  <c r="D463"/>
  <c r="D447"/>
  <c r="D431"/>
  <c r="D415"/>
  <c r="D399"/>
  <c r="D383"/>
  <c r="D367"/>
  <c r="D351"/>
  <c r="D335"/>
  <c r="D319"/>
  <c r="D303"/>
  <c r="D287"/>
  <c r="D271"/>
  <c r="D255"/>
  <c r="D239"/>
  <c r="D223"/>
  <c r="D207"/>
  <c r="D191"/>
  <c r="D175"/>
  <c r="D159"/>
  <c r="D143"/>
  <c r="D127"/>
  <c r="D111"/>
  <c r="D95"/>
  <c r="D79"/>
  <c r="D63"/>
  <c r="D47"/>
  <c r="D31"/>
  <c r="D15"/>
  <c r="C747"/>
  <c r="C731"/>
  <c r="C715"/>
  <c r="C699"/>
  <c r="C683"/>
  <c r="C667"/>
  <c r="C651"/>
  <c r="C635"/>
  <c r="C619"/>
  <c r="C603"/>
  <c r="C587"/>
  <c r="C571"/>
  <c r="C555"/>
  <c r="C539"/>
  <c r="C523"/>
  <c r="C507"/>
  <c r="C491"/>
  <c r="C475"/>
  <c r="D736"/>
  <c r="D720"/>
  <c r="D704"/>
  <c r="D688"/>
  <c r="D672"/>
  <c r="D656"/>
  <c r="D640"/>
  <c r="D624"/>
  <c r="D608"/>
  <c r="D592"/>
  <c r="D576"/>
  <c r="D560"/>
  <c r="D544"/>
  <c r="D528"/>
  <c r="D512"/>
  <c r="D496"/>
  <c r="D480"/>
  <c r="D464"/>
  <c r="D448"/>
  <c r="D432"/>
  <c r="D416"/>
  <c r="D400"/>
  <c r="D384"/>
  <c r="D368"/>
  <c r="D352"/>
  <c r="D336"/>
  <c r="D320"/>
  <c r="D304"/>
  <c r="D288"/>
  <c r="D272"/>
  <c r="D256"/>
  <c r="D240"/>
  <c r="D224"/>
  <c r="D208"/>
  <c r="D192"/>
  <c r="D176"/>
  <c r="D160"/>
  <c r="D144"/>
  <c r="D128"/>
  <c r="D112"/>
  <c r="D96"/>
  <c r="D80"/>
  <c r="D64"/>
  <c r="D48"/>
  <c r="D32"/>
  <c r="D16"/>
  <c r="C748"/>
  <c r="C732"/>
  <c r="C716"/>
  <c r="C700"/>
  <c r="C684"/>
  <c r="C668"/>
  <c r="C652"/>
  <c r="C636"/>
  <c r="C620"/>
  <c r="C604"/>
  <c r="C588"/>
  <c r="C572"/>
  <c r="C556"/>
  <c r="C540"/>
  <c r="C524"/>
  <c r="C508"/>
  <c r="C492"/>
  <c r="C476"/>
  <c r="D737"/>
  <c r="D721"/>
  <c r="D705"/>
  <c r="D689"/>
  <c r="D673"/>
  <c r="D657"/>
  <c r="D641"/>
  <c r="D625"/>
  <c r="D609"/>
  <c r="D593"/>
  <c r="D577"/>
  <c r="D561"/>
  <c r="D545"/>
  <c r="D529"/>
  <c r="D513"/>
  <c r="D497"/>
  <c r="D481"/>
  <c r="D465"/>
  <c r="D449"/>
  <c r="D433"/>
  <c r="D417"/>
  <c r="D401"/>
  <c r="D385"/>
  <c r="D369"/>
  <c r="D353"/>
  <c r="D337"/>
  <c r="D321"/>
  <c r="D305"/>
  <c r="D289"/>
  <c r="D273"/>
  <c r="D257"/>
  <c r="D241"/>
  <c r="D225"/>
  <c r="D209"/>
  <c r="D193"/>
  <c r="D177"/>
  <c r="D161"/>
  <c r="D145"/>
  <c r="D129"/>
  <c r="D113"/>
  <c r="D97"/>
  <c r="D81"/>
  <c r="D65"/>
  <c r="D49"/>
  <c r="D33"/>
  <c r="D17"/>
  <c r="D1"/>
  <c r="C733"/>
  <c r="C717"/>
  <c r="C701"/>
  <c r="C685"/>
  <c r="C669"/>
  <c r="C653"/>
  <c r="C637"/>
  <c r="C621"/>
  <c r="C605"/>
  <c r="C589"/>
  <c r="C573"/>
  <c r="C557"/>
  <c r="C541"/>
  <c r="C525"/>
  <c r="C509"/>
  <c r="C493"/>
  <c r="C477"/>
  <c r="D738"/>
  <c r="D722"/>
  <c r="D706"/>
  <c r="D741"/>
  <c r="D725"/>
  <c r="D709"/>
  <c r="D693"/>
  <c r="D677"/>
  <c r="D661"/>
  <c r="D645"/>
  <c r="D629"/>
  <c r="D613"/>
  <c r="D597"/>
  <c r="D581"/>
  <c r="D565"/>
  <c r="D549"/>
  <c r="D533"/>
  <c r="D517"/>
  <c r="D501"/>
  <c r="D485"/>
  <c r="D469"/>
  <c r="D453"/>
  <c r="D437"/>
  <c r="D421"/>
  <c r="D405"/>
  <c r="D389"/>
  <c r="D373"/>
  <c r="D357"/>
  <c r="D341"/>
  <c r="D325"/>
  <c r="D309"/>
  <c r="D293"/>
  <c r="D277"/>
  <c r="D261"/>
  <c r="D245"/>
  <c r="D229"/>
  <c r="D213"/>
  <c r="D197"/>
  <c r="D181"/>
  <c r="D165"/>
  <c r="D149"/>
  <c r="D133"/>
  <c r="D117"/>
  <c r="D101"/>
  <c r="D85"/>
  <c r="D69"/>
  <c r="D53"/>
  <c r="D37"/>
  <c r="D21"/>
  <c r="D5"/>
  <c r="C737"/>
  <c r="C721"/>
  <c r="C705"/>
  <c r="C689"/>
  <c r="C673"/>
  <c r="C657"/>
  <c r="C641"/>
  <c r="C625"/>
  <c r="C609"/>
  <c r="C593"/>
  <c r="C577"/>
  <c r="C561"/>
  <c r="C545"/>
  <c r="C529"/>
  <c r="C513"/>
  <c r="C497"/>
  <c r="C481"/>
  <c r="D742"/>
  <c r="D726"/>
  <c r="D710"/>
  <c r="D694"/>
  <c r="D678"/>
  <c r="D662"/>
  <c r="D646"/>
  <c r="D630"/>
  <c r="D614"/>
  <c r="D598"/>
  <c r="D582"/>
  <c r="D566"/>
  <c r="D550"/>
  <c r="D534"/>
  <c r="D518"/>
  <c r="D502"/>
  <c r="D486"/>
  <c r="D470"/>
  <c r="D454"/>
  <c r="D438"/>
  <c r="D422"/>
  <c r="D406"/>
  <c r="D390"/>
  <c r="D374"/>
  <c r="D358"/>
  <c r="D342"/>
  <c r="D326"/>
  <c r="D310"/>
  <c r="D294"/>
  <c r="D278"/>
  <c r="D262"/>
  <c r="D246"/>
  <c r="D230"/>
  <c r="D214"/>
  <c r="D198"/>
  <c r="D182"/>
  <c r="D166"/>
  <c r="D150"/>
  <c r="D134"/>
  <c r="D118"/>
  <c r="D102"/>
  <c r="D86"/>
  <c r="D70"/>
  <c r="D54"/>
  <c r="D38"/>
  <c r="D22"/>
  <c r="D6"/>
  <c r="C738"/>
  <c r="C722"/>
  <c r="C706"/>
  <c r="C690"/>
  <c r="C674"/>
  <c r="C658"/>
  <c r="C642"/>
  <c r="C626"/>
  <c r="C610"/>
  <c r="C594"/>
  <c r="C578"/>
  <c r="C562"/>
  <c r="C546"/>
  <c r="C530"/>
  <c r="C514"/>
  <c r="C498"/>
  <c r="C482"/>
  <c r="D743"/>
  <c r="D727"/>
  <c r="D711"/>
  <c r="D695"/>
  <c r="D679"/>
  <c r="D663"/>
  <c r="D647"/>
  <c r="D631"/>
  <c r="D615"/>
  <c r="D599"/>
  <c r="D583"/>
  <c r="D567"/>
  <c r="D551"/>
  <c r="D535"/>
  <c r="D519"/>
  <c r="D503"/>
  <c r="D487"/>
  <c r="D471"/>
  <c r="D455"/>
  <c r="D439"/>
  <c r="D423"/>
  <c r="D407"/>
  <c r="D391"/>
  <c r="D375"/>
  <c r="D359"/>
  <c r="D343"/>
  <c r="D327"/>
  <c r="D311"/>
  <c r="D295"/>
  <c r="D279"/>
  <c r="D263"/>
  <c r="D247"/>
  <c r="D231"/>
  <c r="D215"/>
  <c r="D199"/>
  <c r="D183"/>
  <c r="D167"/>
  <c r="D151"/>
  <c r="D135"/>
  <c r="D119"/>
  <c r="D103"/>
  <c r="D87"/>
  <c r="D71"/>
  <c r="D55"/>
  <c r="D39"/>
  <c r="D23"/>
  <c r="D7"/>
  <c r="C739"/>
  <c r="C723"/>
  <c r="C707"/>
  <c r="C691"/>
  <c r="C675"/>
  <c r="C659"/>
  <c r="C643"/>
  <c r="C627"/>
  <c r="C611"/>
  <c r="C595"/>
  <c r="C579"/>
  <c r="C563"/>
  <c r="C547"/>
  <c r="C531"/>
  <c r="C515"/>
  <c r="C499"/>
  <c r="C483"/>
  <c r="D744"/>
  <c r="D728"/>
  <c r="D712"/>
  <c r="D696"/>
  <c r="D680"/>
  <c r="D664"/>
  <c r="D648"/>
  <c r="D632"/>
  <c r="D616"/>
  <c r="D600"/>
  <c r="D584"/>
  <c r="D568"/>
  <c r="D552"/>
  <c r="D536"/>
  <c r="D520"/>
  <c r="D504"/>
  <c r="D488"/>
  <c r="D472"/>
  <c r="D456"/>
  <c r="D440"/>
  <c r="D424"/>
  <c r="D408"/>
  <c r="D392"/>
  <c r="D376"/>
  <c r="D360"/>
  <c r="D344"/>
  <c r="D328"/>
  <c r="D312"/>
  <c r="D296"/>
  <c r="D280"/>
  <c r="D264"/>
  <c r="D248"/>
  <c r="D232"/>
  <c r="D216"/>
  <c r="D200"/>
  <c r="D184"/>
  <c r="D168"/>
  <c r="D152"/>
  <c r="D136"/>
  <c r="D120"/>
  <c r="D104"/>
  <c r="D88"/>
  <c r="D72"/>
  <c r="D56"/>
  <c r="D40"/>
  <c r="D24"/>
  <c r="D8"/>
  <c r="C740"/>
  <c r="C724"/>
  <c r="C708"/>
  <c r="C692"/>
  <c r="C676"/>
  <c r="C660"/>
  <c r="C644"/>
  <c r="C628"/>
  <c r="C612"/>
  <c r="C596"/>
  <c r="C580"/>
  <c r="C564"/>
  <c r="C548"/>
  <c r="C532"/>
  <c r="C516"/>
  <c r="C500"/>
  <c r="C484"/>
  <c r="D745"/>
  <c r="D729"/>
  <c r="D713"/>
  <c r="D697"/>
  <c r="D681"/>
  <c r="D665"/>
  <c r="D649"/>
  <c r="D633"/>
  <c r="D617"/>
  <c r="D601"/>
  <c r="D585"/>
  <c r="D569"/>
  <c r="D553"/>
  <c r="D537"/>
  <c r="D521"/>
  <c r="D505"/>
  <c r="D489"/>
  <c r="D473"/>
  <c r="D457"/>
  <c r="D441"/>
  <c r="D425"/>
  <c r="D409"/>
  <c r="D393"/>
  <c r="D377"/>
  <c r="D361"/>
  <c r="D345"/>
  <c r="D329"/>
  <c r="D313"/>
  <c r="D297"/>
  <c r="D281"/>
  <c r="D265"/>
  <c r="D249"/>
  <c r="D233"/>
  <c r="D217"/>
  <c r="D201"/>
  <c r="D185"/>
  <c r="D169"/>
  <c r="D153"/>
  <c r="D137"/>
  <c r="D121"/>
  <c r="D105"/>
  <c r="D89"/>
  <c r="D73"/>
  <c r="D57"/>
  <c r="D41"/>
  <c r="D25"/>
  <c r="D9"/>
  <c r="C741"/>
  <c r="C725"/>
  <c r="C709"/>
  <c r="C693"/>
  <c r="C677"/>
  <c r="C661"/>
  <c r="C645"/>
  <c r="C629"/>
  <c r="C613"/>
  <c r="C597"/>
  <c r="C581"/>
  <c r="C565"/>
  <c r="C549"/>
  <c r="C533"/>
  <c r="C517"/>
  <c r="C501"/>
  <c r="C485"/>
  <c r="D746"/>
  <c r="D730"/>
  <c r="D714"/>
  <c r="D698"/>
  <c r="D682"/>
  <c r="D666"/>
  <c r="D650"/>
  <c r="D634"/>
  <c r="D618"/>
  <c r="D602"/>
  <c r="D586"/>
  <c r="D570"/>
  <c r="D554"/>
  <c r="D538"/>
  <c r="D522"/>
  <c r="D506"/>
  <c r="D490"/>
  <c r="D474"/>
  <c r="D458"/>
  <c r="D442"/>
  <c r="D426"/>
  <c r="D410"/>
  <c r="D394"/>
  <c r="D378"/>
  <c r="D362"/>
  <c r="D346"/>
  <c r="D330"/>
  <c r="D314"/>
  <c r="D298"/>
  <c r="D282"/>
  <c r="D266"/>
  <c r="D250"/>
  <c r="D234"/>
  <c r="D218"/>
  <c r="D202"/>
  <c r="D186"/>
  <c r="D170"/>
  <c r="D154"/>
  <c r="D138"/>
  <c r="D122"/>
  <c r="D106"/>
  <c r="D90"/>
  <c r="D74"/>
  <c r="D58"/>
  <c r="D42"/>
  <c r="D26"/>
  <c r="D10"/>
  <c r="C742"/>
  <c r="C726"/>
  <c r="C710"/>
  <c r="C694"/>
  <c r="C678"/>
  <c r="D642"/>
  <c r="D578"/>
  <c r="D514"/>
  <c r="D450"/>
  <c r="D386"/>
  <c r="D322"/>
  <c r="D258"/>
  <c r="D194"/>
  <c r="D130"/>
  <c r="D66"/>
  <c r="D2"/>
  <c r="C686"/>
  <c r="C646"/>
  <c r="C614"/>
  <c r="C582"/>
  <c r="C550"/>
  <c r="C518"/>
  <c r="C486"/>
  <c r="D731"/>
  <c r="D699"/>
  <c r="D667"/>
  <c r="D635"/>
  <c r="D603"/>
  <c r="D571"/>
  <c r="D539"/>
  <c r="D507"/>
  <c r="D475"/>
  <c r="D443"/>
  <c r="D411"/>
  <c r="D379"/>
  <c r="D347"/>
  <c r="D315"/>
  <c r="D283"/>
  <c r="D251"/>
  <c r="D219"/>
  <c r="D187"/>
  <c r="D155"/>
  <c r="D123"/>
  <c r="D91"/>
  <c r="D59"/>
  <c r="D27"/>
  <c r="C743"/>
  <c r="C711"/>
  <c r="C679"/>
  <c r="C647"/>
  <c r="C615"/>
  <c r="C583"/>
  <c r="C551"/>
  <c r="C519"/>
  <c r="C487"/>
  <c r="D732"/>
  <c r="D700"/>
  <c r="D668"/>
  <c r="D636"/>
  <c r="D604"/>
  <c r="D572"/>
  <c r="D540"/>
  <c r="D508"/>
  <c r="D476"/>
  <c r="D444"/>
  <c r="D412"/>
  <c r="D380"/>
  <c r="D348"/>
  <c r="D316"/>
  <c r="D284"/>
  <c r="D252"/>
  <c r="D220"/>
  <c r="D188"/>
  <c r="D156"/>
  <c r="D124"/>
  <c r="D92"/>
  <c r="D60"/>
  <c r="D28"/>
  <c r="C744"/>
  <c r="C712"/>
  <c r="C680"/>
  <c r="C648"/>
  <c r="C616"/>
  <c r="C584"/>
  <c r="C552"/>
  <c r="C520"/>
  <c r="C488"/>
  <c r="C461"/>
  <c r="C445"/>
  <c r="C429"/>
  <c r="C413"/>
  <c r="C397"/>
  <c r="C381"/>
  <c r="C365"/>
  <c r="C349"/>
  <c r="C333"/>
  <c r="C317"/>
  <c r="C301"/>
  <c r="C285"/>
  <c r="C269"/>
  <c r="C253"/>
  <c r="C237"/>
  <c r="C221"/>
  <c r="C205"/>
  <c r="C189"/>
  <c r="C173"/>
  <c r="C157"/>
  <c r="C141"/>
  <c r="C125"/>
  <c r="C109"/>
  <c r="C93"/>
  <c r="C77"/>
  <c r="C61"/>
  <c r="C45"/>
  <c r="C29"/>
  <c r="C13"/>
  <c r="C26"/>
  <c r="C143"/>
  <c r="C75"/>
  <c r="C31"/>
  <c r="C456"/>
  <c r="C424"/>
  <c r="C392"/>
  <c r="C360"/>
  <c r="C324"/>
  <c r="C288"/>
  <c r="C248"/>
  <c r="C208"/>
  <c r="C168"/>
  <c r="C120"/>
  <c r="C76"/>
  <c r="C32"/>
  <c r="C466"/>
  <c r="C450"/>
  <c r="C434"/>
  <c r="C418"/>
  <c r="C402"/>
  <c r="C386"/>
  <c r="C370"/>
  <c r="C354"/>
  <c r="C338"/>
  <c r="C322"/>
  <c r="C306"/>
  <c r="C290"/>
  <c r="C274"/>
  <c r="C258"/>
  <c r="C242"/>
  <c r="C226"/>
  <c r="C210"/>
  <c r="C194"/>
  <c r="C178"/>
  <c r="C162"/>
  <c r="C146"/>
  <c r="C130"/>
  <c r="C114"/>
  <c r="C98"/>
  <c r="C82"/>
  <c r="C66"/>
  <c r="C50"/>
  <c r="C34"/>
  <c r="C2"/>
  <c r="C83"/>
  <c r="C23"/>
  <c r="C300"/>
  <c r="C212"/>
  <c r="C148"/>
  <c r="C92"/>
  <c r="C36"/>
  <c r="C467"/>
  <c r="C451"/>
  <c r="C435"/>
  <c r="C419"/>
  <c r="C403"/>
  <c r="C387"/>
  <c r="C371"/>
  <c r="C355"/>
  <c r="C339"/>
  <c r="C323"/>
  <c r="C307"/>
  <c r="C291"/>
  <c r="C275"/>
  <c r="C259"/>
  <c r="C243"/>
  <c r="C227"/>
  <c r="C211"/>
  <c r="C195"/>
  <c r="C179"/>
  <c r="C163"/>
  <c r="C147"/>
  <c r="C123"/>
  <c r="C91"/>
  <c r="C47"/>
  <c r="C3"/>
  <c r="C444"/>
  <c r="C412"/>
  <c r="C380"/>
  <c r="C348"/>
  <c r="C312"/>
  <c r="C272"/>
  <c r="C236"/>
  <c r="C196"/>
  <c r="C152"/>
  <c r="C112"/>
  <c r="C60"/>
  <c r="C16"/>
  <c r="C70"/>
  <c r="C39"/>
  <c r="C232"/>
  <c r="C104"/>
  <c r="C48"/>
  <c r="C471"/>
  <c r="C455"/>
  <c r="C439"/>
  <c r="C423"/>
  <c r="C407"/>
  <c r="C391"/>
  <c r="C375"/>
  <c r="C359"/>
  <c r="C343"/>
  <c r="C327"/>
  <c r="C311"/>
  <c r="C295"/>
  <c r="C279"/>
  <c r="C263"/>
  <c r="C247"/>
  <c r="C231"/>
  <c r="C215"/>
  <c r="C199"/>
  <c r="C183"/>
  <c r="C167"/>
  <c r="C151"/>
  <c r="C127"/>
  <c r="C99"/>
  <c r="C55"/>
  <c r="C15"/>
  <c r="C452"/>
  <c r="C420"/>
  <c r="C388"/>
  <c r="C356"/>
  <c r="C320"/>
  <c r="C284"/>
  <c r="C244"/>
  <c r="C204"/>
  <c r="C164"/>
  <c r="C124"/>
  <c r="C72"/>
  <c r="C28"/>
  <c r="D674"/>
  <c r="D546"/>
  <c r="D482"/>
  <c r="D418"/>
  <c r="D354"/>
  <c r="D290"/>
  <c r="D226"/>
  <c r="D162"/>
  <c r="D98"/>
  <c r="D34"/>
  <c r="C718"/>
  <c r="C662"/>
  <c r="C630"/>
  <c r="C598"/>
  <c r="C566"/>
  <c r="C534"/>
  <c r="D747"/>
  <c r="D715"/>
  <c r="D651"/>
  <c r="D587"/>
  <c r="D523"/>
  <c r="D459"/>
  <c r="D395"/>
  <c r="D331"/>
  <c r="D267"/>
  <c r="D203"/>
  <c r="D139"/>
  <c r="D75"/>
  <c r="D11"/>
  <c r="C695"/>
  <c r="C631"/>
  <c r="C567"/>
  <c r="D748"/>
  <c r="D684"/>
  <c r="D620"/>
  <c r="D556"/>
  <c r="D492"/>
  <c r="D428"/>
  <c r="D364"/>
  <c r="D300"/>
  <c r="D204"/>
  <c r="D140"/>
  <c r="D76"/>
  <c r="D44"/>
  <c r="D12"/>
  <c r="C728"/>
  <c r="C696"/>
  <c r="C664"/>
  <c r="C632"/>
  <c r="C600"/>
  <c r="C568"/>
  <c r="C536"/>
  <c r="C504"/>
  <c r="C469"/>
  <c r="C453"/>
  <c r="C437"/>
  <c r="C421"/>
  <c r="C405"/>
  <c r="C389"/>
  <c r="C373"/>
  <c r="C357"/>
  <c r="C341"/>
  <c r="C325"/>
  <c r="C309"/>
  <c r="C293"/>
  <c r="C277"/>
  <c r="C261"/>
  <c r="C245"/>
  <c r="C229"/>
  <c r="C213"/>
  <c r="C197"/>
  <c r="C181"/>
  <c r="C165"/>
  <c r="C149"/>
  <c r="C133"/>
  <c r="C117"/>
  <c r="C101"/>
  <c r="C85"/>
  <c r="C69"/>
  <c r="C53"/>
  <c r="C21"/>
  <c r="C5"/>
  <c r="C14"/>
  <c r="C95"/>
  <c r="C59"/>
  <c r="C11"/>
  <c r="C440"/>
  <c r="C408"/>
  <c r="C344"/>
  <c r="C308"/>
  <c r="C268"/>
  <c r="C188"/>
  <c r="C96"/>
  <c r="C8"/>
  <c r="C442"/>
  <c r="C410"/>
  <c r="C378"/>
  <c r="C346"/>
  <c r="C314"/>
  <c r="C266"/>
  <c r="C234"/>
  <c r="C202"/>
  <c r="C170"/>
  <c r="C138"/>
  <c r="C106"/>
  <c r="C74"/>
  <c r="C42"/>
  <c r="C115"/>
  <c r="C464"/>
  <c r="C176"/>
  <c r="C64"/>
  <c r="C4"/>
  <c r="C443"/>
  <c r="C411"/>
  <c r="C379"/>
  <c r="C347"/>
  <c r="C315"/>
  <c r="C267"/>
  <c r="C251"/>
  <c r="C235"/>
  <c r="C219"/>
  <c r="C203"/>
  <c r="C187"/>
  <c r="C171"/>
  <c r="C155"/>
  <c r="C131"/>
  <c r="C107"/>
  <c r="C71"/>
  <c r="C27"/>
  <c r="C460"/>
  <c r="C428"/>
  <c r="C396"/>
  <c r="C364"/>
  <c r="C328"/>
  <c r="C292"/>
  <c r="C256"/>
  <c r="C216"/>
  <c r="C172"/>
  <c r="C136"/>
  <c r="C88"/>
  <c r="C40"/>
  <c r="D690"/>
  <c r="D626"/>
  <c r="D562"/>
  <c r="D498"/>
  <c r="D434"/>
  <c r="D370"/>
  <c r="D242"/>
  <c r="D178"/>
  <c r="D114"/>
  <c r="D50"/>
  <c r="C734"/>
  <c r="C670"/>
  <c r="C638"/>
  <c r="C606"/>
  <c r="C574"/>
  <c r="C542"/>
  <c r="C510"/>
  <c r="C478"/>
  <c r="D723"/>
  <c r="D691"/>
  <c r="D659"/>
  <c r="D627"/>
  <c r="D595"/>
  <c r="D563"/>
  <c r="D531"/>
  <c r="D499"/>
  <c r="D467"/>
  <c r="D435"/>
  <c r="D403"/>
  <c r="D371"/>
  <c r="D339"/>
  <c r="D307"/>
  <c r="D275"/>
  <c r="D211"/>
  <c r="D179"/>
  <c r="D147"/>
  <c r="D83"/>
  <c r="D19"/>
  <c r="C703"/>
  <c r="C639"/>
  <c r="C575"/>
  <c r="C511"/>
  <c r="D724"/>
  <c r="D692"/>
  <c r="D628"/>
  <c r="D564"/>
  <c r="D500"/>
  <c r="D436"/>
  <c r="D404"/>
  <c r="D340"/>
  <c r="D276"/>
  <c r="D212"/>
  <c r="D148"/>
  <c r="D84"/>
  <c r="D20"/>
  <c r="C704"/>
  <c r="C640"/>
  <c r="C576"/>
  <c r="C512"/>
  <c r="C480"/>
  <c r="C425"/>
  <c r="C393"/>
  <c r="C361"/>
  <c r="C329"/>
  <c r="C297"/>
  <c r="C265"/>
  <c r="C233"/>
  <c r="C217"/>
  <c r="C185"/>
  <c r="C153"/>
  <c r="C121"/>
  <c r="C89"/>
  <c r="C57"/>
  <c r="C25"/>
  <c r="C18"/>
  <c r="C67"/>
  <c r="D658"/>
  <c r="D594"/>
  <c r="D530"/>
  <c r="D466"/>
  <c r="D402"/>
  <c r="D338"/>
  <c r="D274"/>
  <c r="D210"/>
  <c r="D146"/>
  <c r="D82"/>
  <c r="D18"/>
  <c r="C702"/>
  <c r="C654"/>
  <c r="C622"/>
  <c r="C590"/>
  <c r="C558"/>
  <c r="C526"/>
  <c r="C494"/>
  <c r="D739"/>
  <c r="D707"/>
  <c r="D675"/>
  <c r="D643"/>
  <c r="D611"/>
  <c r="D579"/>
  <c r="D547"/>
  <c r="D515"/>
  <c r="D483"/>
  <c r="D451"/>
  <c r="D419"/>
  <c r="D387"/>
  <c r="D355"/>
  <c r="D323"/>
  <c r="D291"/>
  <c r="D259"/>
  <c r="D227"/>
  <c r="D195"/>
  <c r="D163"/>
  <c r="D131"/>
  <c r="D99"/>
  <c r="D67"/>
  <c r="D35"/>
  <c r="D3"/>
  <c r="C719"/>
  <c r="C687"/>
  <c r="C655"/>
  <c r="C623"/>
  <c r="C591"/>
  <c r="C559"/>
  <c r="C527"/>
  <c r="C495"/>
  <c r="D740"/>
  <c r="D708"/>
  <c r="D676"/>
  <c r="D644"/>
  <c r="D612"/>
  <c r="D580"/>
  <c r="D548"/>
  <c r="D516"/>
  <c r="D484"/>
  <c r="D452"/>
  <c r="D420"/>
  <c r="D388"/>
  <c r="D356"/>
  <c r="D324"/>
  <c r="D292"/>
  <c r="D260"/>
  <c r="D228"/>
  <c r="D196"/>
  <c r="D164"/>
  <c r="D132"/>
  <c r="D100"/>
  <c r="D68"/>
  <c r="D36"/>
  <c r="D4"/>
  <c r="C720"/>
  <c r="C688"/>
  <c r="C656"/>
  <c r="C624"/>
  <c r="C592"/>
  <c r="C560"/>
  <c r="C528"/>
  <c r="C496"/>
  <c r="C465"/>
  <c r="C449"/>
  <c r="C433"/>
  <c r="C417"/>
  <c r="C401"/>
  <c r="C385"/>
  <c r="C369"/>
  <c r="C353"/>
  <c r="C337"/>
  <c r="C321"/>
  <c r="C305"/>
  <c r="C289"/>
  <c r="C273"/>
  <c r="C257"/>
  <c r="C241"/>
  <c r="C225"/>
  <c r="C209"/>
  <c r="C193"/>
  <c r="C177"/>
  <c r="C161"/>
  <c r="C145"/>
  <c r="C129"/>
  <c r="C113"/>
  <c r="C97"/>
  <c r="C81"/>
  <c r="C65"/>
  <c r="C49"/>
  <c r="C33"/>
  <c r="C17"/>
  <c r="C6"/>
  <c r="C87"/>
  <c r="C43"/>
  <c r="C472"/>
  <c r="C432"/>
  <c r="C400"/>
  <c r="C368"/>
  <c r="C332"/>
  <c r="C296"/>
  <c r="C260"/>
  <c r="C220"/>
  <c r="C180"/>
  <c r="C128"/>
  <c r="C84"/>
  <c r="C44"/>
  <c r="C470"/>
  <c r="C454"/>
  <c r="C438"/>
  <c r="C422"/>
  <c r="C406"/>
  <c r="C390"/>
  <c r="C374"/>
  <c r="C358"/>
  <c r="C342"/>
  <c r="C326"/>
  <c r="C310"/>
  <c r="C294"/>
  <c r="C278"/>
  <c r="C262"/>
  <c r="C246"/>
  <c r="C230"/>
  <c r="C214"/>
  <c r="C198"/>
  <c r="C182"/>
  <c r="C166"/>
  <c r="C150"/>
  <c r="C134"/>
  <c r="C118"/>
  <c r="C102"/>
  <c r="C86"/>
  <c r="C54"/>
  <c r="C38"/>
  <c r="C10"/>
  <c r="C103"/>
  <c r="C340"/>
  <c r="C160"/>
  <c r="D610"/>
  <c r="C502"/>
  <c r="D683"/>
  <c r="D619"/>
  <c r="D555"/>
  <c r="D491"/>
  <c r="D427"/>
  <c r="D363"/>
  <c r="D299"/>
  <c r="D235"/>
  <c r="D171"/>
  <c r="D107"/>
  <c r="D43"/>
  <c r="C727"/>
  <c r="C663"/>
  <c r="C599"/>
  <c r="C535"/>
  <c r="C503"/>
  <c r="D716"/>
  <c r="D652"/>
  <c r="D588"/>
  <c r="D524"/>
  <c r="D460"/>
  <c r="D396"/>
  <c r="D332"/>
  <c r="D268"/>
  <c r="D236"/>
  <c r="D172"/>
  <c r="D108"/>
  <c r="C37"/>
  <c r="C376"/>
  <c r="C228"/>
  <c r="C140"/>
  <c r="C56"/>
  <c r="C458"/>
  <c r="C426"/>
  <c r="C394"/>
  <c r="C362"/>
  <c r="C330"/>
  <c r="C298"/>
  <c r="C282"/>
  <c r="C250"/>
  <c r="C218"/>
  <c r="C186"/>
  <c r="C154"/>
  <c r="C122"/>
  <c r="C90"/>
  <c r="C58"/>
  <c r="C22"/>
  <c r="C51"/>
  <c r="C252"/>
  <c r="C116"/>
  <c r="C459"/>
  <c r="C427"/>
  <c r="C395"/>
  <c r="C363"/>
  <c r="C331"/>
  <c r="C299"/>
  <c r="C283"/>
  <c r="D306"/>
  <c r="D243"/>
  <c r="D115"/>
  <c r="D51"/>
  <c r="C735"/>
  <c r="C671"/>
  <c r="C607"/>
  <c r="C543"/>
  <c r="C479"/>
  <c r="D660"/>
  <c r="D596"/>
  <c r="D532"/>
  <c r="D468"/>
  <c r="D372"/>
  <c r="D308"/>
  <c r="D244"/>
  <c r="D180"/>
  <c r="D116"/>
  <c r="D52"/>
  <c r="C736"/>
  <c r="C672"/>
  <c r="C608"/>
  <c r="C544"/>
  <c r="C457"/>
  <c r="C441"/>
  <c r="C409"/>
  <c r="C377"/>
  <c r="C345"/>
  <c r="C313"/>
  <c r="C281"/>
  <c r="C249"/>
  <c r="C201"/>
  <c r="C169"/>
  <c r="C137"/>
  <c r="C105"/>
  <c r="C73"/>
  <c r="C41"/>
  <c r="C9"/>
  <c r="C111"/>
  <c r="C384"/>
  <c r="C240"/>
  <c r="C68"/>
  <c r="C430"/>
  <c r="C366"/>
  <c r="C302"/>
  <c r="C238"/>
  <c r="C174"/>
  <c r="C110"/>
  <c r="C46"/>
  <c r="C7"/>
  <c r="C80"/>
  <c r="C431"/>
  <c r="C367"/>
  <c r="C303"/>
  <c r="C239"/>
  <c r="C175"/>
  <c r="C79"/>
  <c r="C404"/>
  <c r="C264"/>
  <c r="C100"/>
  <c r="C280"/>
  <c r="C108"/>
  <c r="C446"/>
  <c r="C382"/>
  <c r="C318"/>
  <c r="C254"/>
  <c r="C190"/>
  <c r="C126"/>
  <c r="C62"/>
  <c r="C63"/>
  <c r="C132"/>
  <c r="C447"/>
  <c r="C383"/>
  <c r="C319"/>
  <c r="C255"/>
  <c r="C191"/>
  <c r="C119"/>
  <c r="C436"/>
  <c r="C304"/>
  <c r="C144"/>
  <c r="C448"/>
  <c r="C316"/>
  <c r="C156"/>
  <c r="C462"/>
  <c r="C398"/>
  <c r="C334"/>
  <c r="C270"/>
  <c r="C206"/>
  <c r="C142"/>
  <c r="C78"/>
  <c r="C135"/>
  <c r="C192"/>
  <c r="C463"/>
  <c r="C399"/>
  <c r="C271"/>
  <c r="C139"/>
  <c r="C336"/>
  <c r="C19"/>
  <c r="C200"/>
  <c r="C414"/>
  <c r="C286"/>
  <c r="C94"/>
  <c r="C276"/>
  <c r="C415"/>
  <c r="C287"/>
  <c r="C159"/>
  <c r="C372"/>
  <c r="C52"/>
  <c r="C416"/>
  <c r="C335"/>
  <c r="C207"/>
  <c r="C468"/>
  <c r="C184"/>
  <c r="C12"/>
  <c r="C352"/>
  <c r="C20"/>
  <c r="C350"/>
  <c r="C222"/>
  <c r="C158"/>
  <c r="C30"/>
  <c r="C24"/>
  <c r="C351"/>
  <c r="C223"/>
  <c r="C35"/>
  <c r="C224"/>
</calcChain>
</file>

<file path=xl/sharedStrings.xml><?xml version="1.0" encoding="utf-8"?>
<sst xmlns="http://schemas.openxmlformats.org/spreadsheetml/2006/main" count="5255" uniqueCount="1639">
  <si>
    <t>जिल्ला</t>
  </si>
  <si>
    <t>नाम</t>
  </si>
  <si>
    <t>लिङ्ग</t>
  </si>
  <si>
    <t>उमेर</t>
  </si>
  <si>
    <t>बागमती</t>
  </si>
  <si>
    <t>भक्तपुर</t>
  </si>
  <si>
    <t>नेपाल मजदुर किसान पार्टी</t>
  </si>
  <si>
    <t>सुनिल प्रजापति</t>
  </si>
  <si>
    <t>पुरुष</t>
  </si>
  <si>
    <t>५७</t>
  </si>
  <si>
    <t>२९२५२</t>
  </si>
  <si>
    <t>नेपाली कांग्रेस</t>
  </si>
  <si>
    <t>जिवन खत्री</t>
  </si>
  <si>
    <t>४४</t>
  </si>
  <si>
    <t>९५५०</t>
  </si>
  <si>
    <t>सुरेन्द्र श्रेष्‍ठ</t>
  </si>
  <si>
    <t>४६</t>
  </si>
  <si>
    <t>१५०१८</t>
  </si>
  <si>
    <t>नेकपा एमाले</t>
  </si>
  <si>
    <t>बासुदेव थापा</t>
  </si>
  <si>
    <t>१४७५८</t>
  </si>
  <si>
    <t>चितवन</t>
  </si>
  <si>
    <t>दान बहादुर गुरुङ्ग</t>
  </si>
  <si>
    <t>५१</t>
  </si>
  <si>
    <t>६११०</t>
  </si>
  <si>
    <t>विनोद रेग्मी</t>
  </si>
  <si>
    <t>५०</t>
  </si>
  <si>
    <t>१०७१४</t>
  </si>
  <si>
    <t>शशी कुमार खनिया</t>
  </si>
  <si>
    <t>१४५४५</t>
  </si>
  <si>
    <t>नेकपा माओवादी</t>
  </si>
  <si>
    <t>रेणु दाहाल</t>
  </si>
  <si>
    <t>महिला</t>
  </si>
  <si>
    <t>४५</t>
  </si>
  <si>
    <t>५२०२८</t>
  </si>
  <si>
    <t>तारा कुमारी काजी महतो</t>
  </si>
  <si>
    <t>९९०१</t>
  </si>
  <si>
    <t>प्रलाद सापकोटा</t>
  </si>
  <si>
    <t>२०७९६</t>
  </si>
  <si>
    <t>नेकपा समाजवादी</t>
  </si>
  <si>
    <t>शमशेर लामा</t>
  </si>
  <si>
    <t>३५</t>
  </si>
  <si>
    <t>१२५२४</t>
  </si>
  <si>
    <t>धादिङ</t>
  </si>
  <si>
    <t>रण बहादुर तामाङ</t>
  </si>
  <si>
    <t>५३</t>
  </si>
  <si>
    <t>१६०९</t>
  </si>
  <si>
    <t>भक्त बहादुर लामा</t>
  </si>
  <si>
    <t>६२६२</t>
  </si>
  <si>
    <t>गणेश लाल श्रेष्‍ठ</t>
  </si>
  <si>
    <t>४७</t>
  </si>
  <si>
    <t>६३०८</t>
  </si>
  <si>
    <t>केदारनाथ खतिवडा</t>
  </si>
  <si>
    <t>७३०९</t>
  </si>
  <si>
    <t>यामनाथ दनै</t>
  </si>
  <si>
    <t>४८</t>
  </si>
  <si>
    <t>८०३४</t>
  </si>
  <si>
    <t>राजु उप्रेती</t>
  </si>
  <si>
    <t>४३</t>
  </si>
  <si>
    <t>६७७१</t>
  </si>
  <si>
    <t>राम कुमार आचार्य</t>
  </si>
  <si>
    <t>५८</t>
  </si>
  <si>
    <t>१०३५५</t>
  </si>
  <si>
    <t>वाल कृष्‍ण आचार्य</t>
  </si>
  <si>
    <t>५२</t>
  </si>
  <si>
    <t>८७०६</t>
  </si>
  <si>
    <t>भीम प्रसाद ढुङ्गाना</t>
  </si>
  <si>
    <t>५५</t>
  </si>
  <si>
    <t>१४५७५</t>
  </si>
  <si>
    <t>मेघ नाथ रिजाल</t>
  </si>
  <si>
    <t>४९</t>
  </si>
  <si>
    <t>२५४२</t>
  </si>
  <si>
    <t>कृष्‍ण बहादुर थपलिया</t>
  </si>
  <si>
    <t>३७</t>
  </si>
  <si>
    <t>७६८०</t>
  </si>
  <si>
    <t>राम सिंह तामाङ</t>
  </si>
  <si>
    <t>२७९२</t>
  </si>
  <si>
    <t>परशु राम खतिवडा</t>
  </si>
  <si>
    <t>७९५६</t>
  </si>
  <si>
    <t>दोलखा</t>
  </si>
  <si>
    <t>अर्जुन प्रसाद शिवाकोटी</t>
  </si>
  <si>
    <t>५७८६</t>
  </si>
  <si>
    <t>विश्‍वास कार्की</t>
  </si>
  <si>
    <t>३१</t>
  </si>
  <si>
    <t>४७५१</t>
  </si>
  <si>
    <t>मित्र बहादुर जिरेल</t>
  </si>
  <si>
    <t>६०</t>
  </si>
  <si>
    <t>२९४९</t>
  </si>
  <si>
    <t>प्रोण प्रताप के सी</t>
  </si>
  <si>
    <t>५४९०</t>
  </si>
  <si>
    <t>इश्‍वर नारायण मानन्धर</t>
  </si>
  <si>
    <t>५४</t>
  </si>
  <si>
    <t>८७२३</t>
  </si>
  <si>
    <t>हिरा कुमार तमाङ</t>
  </si>
  <si>
    <t>५१६९</t>
  </si>
  <si>
    <t>संजीव वली</t>
  </si>
  <si>
    <t>४१००</t>
  </si>
  <si>
    <t>छवि लामा</t>
  </si>
  <si>
    <t>६१</t>
  </si>
  <si>
    <t>५२९९</t>
  </si>
  <si>
    <t>रिमल बाबु श्रेष्‍ठ</t>
  </si>
  <si>
    <t>४९१८</t>
  </si>
  <si>
    <t>काठमाडौं ।</t>
  </si>
  <si>
    <t>उपेन्द्र कार्की</t>
  </si>
  <si>
    <t>११३२२</t>
  </si>
  <si>
    <t>स्वतन्त्र</t>
  </si>
  <si>
    <t>वालेन्द्र साह</t>
  </si>
  <si>
    <t>३२</t>
  </si>
  <si>
    <t>६१७६७</t>
  </si>
  <si>
    <t>राज कुमार नकर्मी</t>
  </si>
  <si>
    <t>९०४३</t>
  </si>
  <si>
    <t>दिपक कुमार रिसाल</t>
  </si>
  <si>
    <t>९६९२</t>
  </si>
  <si>
    <t>घन श्याम गिरी</t>
  </si>
  <si>
    <t>५९</t>
  </si>
  <si>
    <t>१५४७५</t>
  </si>
  <si>
    <t>प्रकाश अधिकारी</t>
  </si>
  <si>
    <t>१०३४०</t>
  </si>
  <si>
    <t>कृष्‍ण हरि महर्जन</t>
  </si>
  <si>
    <t>११९८८</t>
  </si>
  <si>
    <t>मोहन बस्नेत</t>
  </si>
  <si>
    <t>६६</t>
  </si>
  <si>
    <t>७२०१</t>
  </si>
  <si>
    <t>मोहन बहादुर बस्नेत</t>
  </si>
  <si>
    <t>१०१८६</t>
  </si>
  <si>
    <t>मिठाराम अधिकारी</t>
  </si>
  <si>
    <t>१४२५०</t>
  </si>
  <si>
    <t>राप्रपा</t>
  </si>
  <si>
    <t>रमेश नापित</t>
  </si>
  <si>
    <t>४७००</t>
  </si>
  <si>
    <t>काभ्रेपलाञ्चोक</t>
  </si>
  <si>
    <t>ईन्द्र बहादुर थिङ</t>
  </si>
  <si>
    <t>४४८५</t>
  </si>
  <si>
    <t>रेणुका चौलागाई</t>
  </si>
  <si>
    <t>६२२८</t>
  </si>
  <si>
    <t>चन्द्र बहादुर तामाङ्ग</t>
  </si>
  <si>
    <t>७०७७</t>
  </si>
  <si>
    <t>अशोक कुमार ब्याञ्जु श्रेष्ठ</t>
  </si>
  <si>
    <t>८३५१</t>
  </si>
  <si>
    <t>कुनसाङ लामा</t>
  </si>
  <si>
    <t>६५</t>
  </si>
  <si>
    <t>११२११</t>
  </si>
  <si>
    <t>राम सरण भण्डारी</t>
  </si>
  <si>
    <t>१४०५०</t>
  </si>
  <si>
    <t>महेश खरेल</t>
  </si>
  <si>
    <t>१२८३६</t>
  </si>
  <si>
    <t>शान्ति रत्‍न शाक्य</t>
  </si>
  <si>
    <t>१३७९३</t>
  </si>
  <si>
    <t>भगवान अधिकारी</t>
  </si>
  <si>
    <t>६०१९</t>
  </si>
  <si>
    <t>प्रेम वहादुर भुजेल</t>
  </si>
  <si>
    <t>४१</t>
  </si>
  <si>
    <t>५७९२</t>
  </si>
  <si>
    <t>टोक बहादुर तामाङ</t>
  </si>
  <si>
    <t>९४०६</t>
  </si>
  <si>
    <t>९८५११९९९१८.०</t>
  </si>
  <si>
    <t>कान्छा लाल जिम्वा</t>
  </si>
  <si>
    <t>४८९१</t>
  </si>
  <si>
    <t>दिनेश लामा</t>
  </si>
  <si>
    <t>४२</t>
  </si>
  <si>
    <t>७५३४</t>
  </si>
  <si>
    <t>९८५११५७९८२.०</t>
  </si>
  <si>
    <t>ललितपुर</t>
  </si>
  <si>
    <t>चिरी बाबु महर्जन</t>
  </si>
  <si>
    <t>४२७२२</t>
  </si>
  <si>
    <t>कृष्ण मान लामा</t>
  </si>
  <si>
    <t>३१०४</t>
  </si>
  <si>
    <t>गजेन्द्र महर्जन</t>
  </si>
  <si>
    <t>१९१७०</t>
  </si>
  <si>
    <t>बीर बहादुर लोप्चन</t>
  </si>
  <si>
    <t>४९०९</t>
  </si>
  <si>
    <t>गणेश के.सी.</t>
  </si>
  <si>
    <t>५६</t>
  </si>
  <si>
    <t>३४५५</t>
  </si>
  <si>
    <t>हरि गोविन्द श्रेष्ठ</t>
  </si>
  <si>
    <t>९३५०</t>
  </si>
  <si>
    <t>मकवानपुर</t>
  </si>
  <si>
    <t>दोर्जे लामा स्याङतान</t>
  </si>
  <si>
    <t>६७०६</t>
  </si>
  <si>
    <t>देव कृष्ण पुडासैनी शर्मा</t>
  </si>
  <si>
    <t>३७२२</t>
  </si>
  <si>
    <t>लोक बहादुर मुक्तान</t>
  </si>
  <si>
    <t>४८९७</t>
  </si>
  <si>
    <t>विष्‍णु वहादुर विष्‍ट</t>
  </si>
  <si>
    <t>९७१९</t>
  </si>
  <si>
    <t>धर्मराज लामिछाने</t>
  </si>
  <si>
    <t>११२९२</t>
  </si>
  <si>
    <t>सर्केश घलान</t>
  </si>
  <si>
    <t>७३८४</t>
  </si>
  <si>
    <t>हिदम लामा</t>
  </si>
  <si>
    <t>४०</t>
  </si>
  <si>
    <t>५५९१</t>
  </si>
  <si>
    <t>रन्जन कालाखेति</t>
  </si>
  <si>
    <t>९३६६</t>
  </si>
  <si>
    <t>राज कुमार मल्ल</t>
  </si>
  <si>
    <t>५४८१</t>
  </si>
  <si>
    <t>मीना कुमारी लामा</t>
  </si>
  <si>
    <t>२३०७५</t>
  </si>
  <si>
    <t>नुवाकोट</t>
  </si>
  <si>
    <t>सुमन  तामाङ</t>
  </si>
  <si>
    <t>३९</t>
  </si>
  <si>
    <t>बिर बल तामाङ</t>
  </si>
  <si>
    <t>३६३८</t>
  </si>
  <si>
    <t>सन्तमान तामाङ</t>
  </si>
  <si>
    <t>३२४१</t>
  </si>
  <si>
    <t>शिव अधिकारी</t>
  </si>
  <si>
    <t>५६६५</t>
  </si>
  <si>
    <t>शंकर बहादुर थापा</t>
  </si>
  <si>
    <t>४४७३</t>
  </si>
  <si>
    <t>तेज बहादुर तमाङ</t>
  </si>
  <si>
    <t>४३५४</t>
  </si>
  <si>
    <t>जगत बहादुर गुरुङ</t>
  </si>
  <si>
    <t>१३२२२</t>
  </si>
  <si>
    <t>आसा तामाङ</t>
  </si>
  <si>
    <t>३२०९</t>
  </si>
  <si>
    <t>ध्रुब श्रेष्‍ठ</t>
  </si>
  <si>
    <t>४०६७</t>
  </si>
  <si>
    <t>राजन श्रेष्‍ठ</t>
  </si>
  <si>
    <t>१५८२६</t>
  </si>
  <si>
    <t>गोविन्‍द प्रसाद थपलिया</t>
  </si>
  <si>
    <t>४१८२</t>
  </si>
  <si>
    <t>सन्त बहादुर तामाङ</t>
  </si>
  <si>
    <t>३७५९</t>
  </si>
  <si>
    <t>रामेछाप</t>
  </si>
  <si>
    <t>लवश्री न्‍यौपाने</t>
  </si>
  <si>
    <t>६६३९</t>
  </si>
  <si>
    <t>शेर वहादुर सुनुवार</t>
  </si>
  <si>
    <t>३७२८</t>
  </si>
  <si>
    <t>ज्ञान कुमार श्रेष्ठ</t>
  </si>
  <si>
    <t>७३५९</t>
  </si>
  <si>
    <t>काजी बहादुर खड्का</t>
  </si>
  <si>
    <t>६०९३</t>
  </si>
  <si>
    <t>मैन कु्मार मोक्तान</t>
  </si>
  <si>
    <t>६२७०</t>
  </si>
  <si>
    <t>लव श्रेष्‍ठ</t>
  </si>
  <si>
    <t>९७१८</t>
  </si>
  <si>
    <t>केशव महत</t>
  </si>
  <si>
    <t>५११२</t>
  </si>
  <si>
    <t>ठुलो कान्छा तमाङ</t>
  </si>
  <si>
    <t>५३९८</t>
  </si>
  <si>
    <t>रसुवा</t>
  </si>
  <si>
    <t>बुचुङ तमाङ</t>
  </si>
  <si>
    <t>३४</t>
  </si>
  <si>
    <t>१४३०</t>
  </si>
  <si>
    <t>माधव प्रसाद अर्याल</t>
  </si>
  <si>
    <t>२९९९</t>
  </si>
  <si>
    <t>हरीकृष्ण देवकोटा</t>
  </si>
  <si>
    <t>२६२२</t>
  </si>
  <si>
    <t>कैसाङ नुर्पु तामाङ</t>
  </si>
  <si>
    <t>२५६३</t>
  </si>
  <si>
    <t>नुर्वु स्याङवो घले</t>
  </si>
  <si>
    <t>३४७४</t>
  </si>
  <si>
    <t>सिन्धुली</t>
  </si>
  <si>
    <t>उपेन्द्र कुमार पोखरेल</t>
  </si>
  <si>
    <t>१४१८७</t>
  </si>
  <si>
    <t>शंकर राज वराल</t>
  </si>
  <si>
    <t>४७४४</t>
  </si>
  <si>
    <t>जगत बहादुर भोलन</t>
  </si>
  <si>
    <t>६८</t>
  </si>
  <si>
    <t>२१०२</t>
  </si>
  <si>
    <t>कर्ण बहादुर मगर</t>
  </si>
  <si>
    <t>९२३९</t>
  </si>
  <si>
    <t>दिनेश अधिकारी</t>
  </si>
  <si>
    <t>१५८३८</t>
  </si>
  <si>
    <t>पार्वती सुनुवार</t>
  </si>
  <si>
    <t>४०६२</t>
  </si>
  <si>
    <t>विमर्स मुक्तान</t>
  </si>
  <si>
    <t>३६</t>
  </si>
  <si>
    <t>५१९४</t>
  </si>
  <si>
    <t>दिपा वोहोरा-दाहाल</t>
  </si>
  <si>
    <t>५३७६</t>
  </si>
  <si>
    <t>बज्र ध्वज वाइवा</t>
  </si>
  <si>
    <t>४७२९</t>
  </si>
  <si>
    <t>सिन्धुपाल्चोक</t>
  </si>
  <si>
    <t>निमा ग्याजेन शेर्पा</t>
  </si>
  <si>
    <t>५३८६</t>
  </si>
  <si>
    <t>झम्क नाथ नेपाल</t>
  </si>
  <si>
    <t>७१२७</t>
  </si>
  <si>
    <t>कृष्ण प्रसाद सापकोटा</t>
  </si>
  <si>
    <t>११०७२</t>
  </si>
  <si>
    <t>रेशम स्‍याङबो</t>
  </si>
  <si>
    <t>५५०३</t>
  </si>
  <si>
    <t>भक्त ध्वज बोहरा</t>
  </si>
  <si>
    <t>४२२९</t>
  </si>
  <si>
    <t>टासी लामा</t>
  </si>
  <si>
    <t>५६०८</t>
  </si>
  <si>
    <t>गंगा बहादुर तामाङ</t>
  </si>
  <si>
    <t>४६६६</t>
  </si>
  <si>
    <t>पासाङ नुर्पु शेर्पा</t>
  </si>
  <si>
    <t>२६०५</t>
  </si>
  <si>
    <t>आइत मान तामाङ</t>
  </si>
  <si>
    <t>११२५८</t>
  </si>
  <si>
    <t>राजु लामा (तामाङ)</t>
  </si>
  <si>
    <t>३३</t>
  </si>
  <si>
    <t>३९२५</t>
  </si>
  <si>
    <t>बाल कृष्ण बस्नेत</t>
  </si>
  <si>
    <t>७७२८</t>
  </si>
  <si>
    <t>टपिन्द्र प्रसाद तिमल्सिना</t>
  </si>
  <si>
    <t>५९३२</t>
  </si>
  <si>
    <t>गण्डकी</t>
  </si>
  <si>
    <t>बाग्लुङ</t>
  </si>
  <si>
    <t>बसन्त कुमार श्रेष्ठ</t>
  </si>
  <si>
    <t>१४६७८</t>
  </si>
  <si>
    <t>राजु थापा</t>
  </si>
  <si>
    <t>७७५१</t>
  </si>
  <si>
    <t>भरत शर्मा</t>
  </si>
  <si>
    <t>६३</t>
  </si>
  <si>
    <t>५४१४</t>
  </si>
  <si>
    <t>राष्ट्रिय जनमोर्चा</t>
  </si>
  <si>
    <t>नर बहादुर पुन</t>
  </si>
  <si>
    <t>८७५५</t>
  </si>
  <si>
    <t>देव कुमार नेपाली</t>
  </si>
  <si>
    <t>५७३५</t>
  </si>
  <si>
    <t>जोकलाल बुढा</t>
  </si>
  <si>
    <t>२७०७</t>
  </si>
  <si>
    <t>धन बहादुर वि.क</t>
  </si>
  <si>
    <t>२२८५</t>
  </si>
  <si>
    <t>सुर्य बहादुर घर्ती</t>
  </si>
  <si>
    <t>५५११</t>
  </si>
  <si>
    <t>गण्डकी थापा अधिकारी</t>
  </si>
  <si>
    <t>७३८६</t>
  </si>
  <si>
    <t>कृष्ण प्रसाद शर्मा</t>
  </si>
  <si>
    <t>३८</t>
  </si>
  <si>
    <t>३६०१</t>
  </si>
  <si>
    <t>गोरखा</t>
  </si>
  <si>
    <t>कृष्‍ण बहादुर राना</t>
  </si>
  <si>
    <t>८९६४</t>
  </si>
  <si>
    <t>दीपक देवकोटा</t>
  </si>
  <si>
    <t>३७८७</t>
  </si>
  <si>
    <t>राजु गुरुङ</t>
  </si>
  <si>
    <t>५५५६</t>
  </si>
  <si>
    <t>दिपक तिमिल्सिना</t>
  </si>
  <si>
    <t>६३२६</t>
  </si>
  <si>
    <t>निमा लामा</t>
  </si>
  <si>
    <t>१६२४</t>
  </si>
  <si>
    <t>लक्ष्मण गुरुङ</t>
  </si>
  <si>
    <t>३७७१</t>
  </si>
  <si>
    <t>विवस चिन्तन</t>
  </si>
  <si>
    <t>६०७२</t>
  </si>
  <si>
    <t>बिष्णु प्रसाद भट्ट</t>
  </si>
  <si>
    <t>५७१९</t>
  </si>
  <si>
    <t>लोक प्रसाद बन्जारा</t>
  </si>
  <si>
    <t>५६५१</t>
  </si>
  <si>
    <t>रमेश वाबु थापा मगर</t>
  </si>
  <si>
    <t>५४७४</t>
  </si>
  <si>
    <t>ज्ञानेन्‍द्र गुरुङ्ग</t>
  </si>
  <si>
    <t>५४०३</t>
  </si>
  <si>
    <t>कास्की</t>
  </si>
  <si>
    <t>विष्णु बहादुर के. सी.</t>
  </si>
  <si>
    <t>६७२२</t>
  </si>
  <si>
    <t>धन राज आचार्य</t>
  </si>
  <si>
    <t>५८८९३</t>
  </si>
  <si>
    <t>मिन बहादुर गुरुङ्ग</t>
  </si>
  <si>
    <t>७०९९</t>
  </si>
  <si>
    <t>देवी जङ्ग गुरुङ्ग</t>
  </si>
  <si>
    <t>६५८४</t>
  </si>
  <si>
    <t>नवराज ओझा</t>
  </si>
  <si>
    <t>५७४९</t>
  </si>
  <si>
    <t>लमजुङ</t>
  </si>
  <si>
    <t>सूर्य प्रसाद गुरुङ</t>
  </si>
  <si>
    <t>३८५६</t>
  </si>
  <si>
    <t>धन प्रसाद गुरुङ</t>
  </si>
  <si>
    <t>३०६५</t>
  </si>
  <si>
    <t>युवराज अधिकारी</t>
  </si>
  <si>
    <t>४७३८</t>
  </si>
  <si>
    <t>गुमान सिंह अर्याल</t>
  </si>
  <si>
    <t>९४७९</t>
  </si>
  <si>
    <t>रमेश कुमार पाण्डे</t>
  </si>
  <si>
    <t>६५५१</t>
  </si>
  <si>
    <t>अर्जुन गुरुङ</t>
  </si>
  <si>
    <t>६१३०</t>
  </si>
  <si>
    <t>खड्ग बहादुर गुरुङ</t>
  </si>
  <si>
    <t>५८२६</t>
  </si>
  <si>
    <t>कृष्‍ण प्रसाद कोईराला</t>
  </si>
  <si>
    <t>६६४१</t>
  </si>
  <si>
    <t>मनाङ</t>
  </si>
  <si>
    <t>लोकेन्द्र वहादुर घले</t>
  </si>
  <si>
    <t>३२०</t>
  </si>
  <si>
    <t>कोन्जो तेन्जीङ लामा</t>
  </si>
  <si>
    <t>१५८</t>
  </si>
  <si>
    <t>धन बहादुर गुरुङ</t>
  </si>
  <si>
    <t>८२०</t>
  </si>
  <si>
    <t>कान्छा घले</t>
  </si>
  <si>
    <t>८६१</t>
  </si>
  <si>
    <t>मुस्ताङ</t>
  </si>
  <si>
    <t>मोहन सिंह लालचन</t>
  </si>
  <si>
    <t>७६०</t>
  </si>
  <si>
    <t>प्रदिप गौचन</t>
  </si>
  <si>
    <t>११४४</t>
  </si>
  <si>
    <t>लोप्साङ छोम्पेल विष्ट</t>
  </si>
  <si>
    <t>५८९</t>
  </si>
  <si>
    <t>टसी न्हर्वु गुरुङ</t>
  </si>
  <si>
    <t>६६८</t>
  </si>
  <si>
    <t>रिङजीन नामगेल गुरुङ</t>
  </si>
  <si>
    <t>८६७</t>
  </si>
  <si>
    <t>म्याग्दी</t>
  </si>
  <si>
    <t>भारत कुमार पुन</t>
  </si>
  <si>
    <t>४०५८</t>
  </si>
  <si>
    <t>प्रेम प्रसाद पुन</t>
  </si>
  <si>
    <t>३१२३</t>
  </si>
  <si>
    <t>सुरत के.सि.</t>
  </si>
  <si>
    <t>७६०३</t>
  </si>
  <si>
    <t>सत प्रसाद रोका</t>
  </si>
  <si>
    <t>३९६८</t>
  </si>
  <si>
    <t>बेग प्रसाद गर्बुजा</t>
  </si>
  <si>
    <t>३०९१</t>
  </si>
  <si>
    <t>नवलपरासी (बर्धाघाट सुस्ता पूर्व)</t>
  </si>
  <si>
    <t>विष्णु प्रसाद भुसाल</t>
  </si>
  <si>
    <t>६७</t>
  </si>
  <si>
    <t>१८६०८</t>
  </si>
  <si>
    <t>मदन भक्त अधिकारी</t>
  </si>
  <si>
    <t>७२</t>
  </si>
  <si>
    <t>१६४५५</t>
  </si>
  <si>
    <t>हरि प्रसाद न्यौपाने</t>
  </si>
  <si>
    <t>१२८०६</t>
  </si>
  <si>
    <t>दिपेन्‍द्र सुनारी</t>
  </si>
  <si>
    <t>२७</t>
  </si>
  <si>
    <t>४०५९</t>
  </si>
  <si>
    <t>प्रकाश ओझा</t>
  </si>
  <si>
    <t>३९७६</t>
  </si>
  <si>
    <t xml:space="preserve">भिमलाल  अधिकारी </t>
  </si>
  <si>
    <t>१६२१२</t>
  </si>
  <si>
    <t>घनश्याम गिरी</t>
  </si>
  <si>
    <t>७६५८</t>
  </si>
  <si>
    <t>लक्ष्‍मी देवी पाण्‍डे</t>
  </si>
  <si>
    <t>६४५५</t>
  </si>
  <si>
    <t>पर्वत</t>
  </si>
  <si>
    <t>राम चन्द्र जोशी</t>
  </si>
  <si>
    <t>९८४९</t>
  </si>
  <si>
    <t>राजु प्रसाद आचार्य</t>
  </si>
  <si>
    <t>५६५७</t>
  </si>
  <si>
    <t>तोरण मल्ल ठकुरी</t>
  </si>
  <si>
    <t>३८२४</t>
  </si>
  <si>
    <t>गंगाधर तिवारी</t>
  </si>
  <si>
    <t>७७००</t>
  </si>
  <si>
    <t>इश्‍वरी प्रसाद भुसाल</t>
  </si>
  <si>
    <t>२७५३</t>
  </si>
  <si>
    <t>हिरा देवि शर्मा</t>
  </si>
  <si>
    <t>स्याङ्जा</t>
  </si>
  <si>
    <t>प्रकाश तिवारी</t>
  </si>
  <si>
    <t>५२९१</t>
  </si>
  <si>
    <t>विश्वनाथ पौडेल</t>
  </si>
  <si>
    <t>५१७७</t>
  </si>
  <si>
    <t>खिम बहादुर थापा</t>
  </si>
  <si>
    <t>६७००</t>
  </si>
  <si>
    <t>गुरु प्रसाद भट्‌टराई</t>
  </si>
  <si>
    <t>९६२१</t>
  </si>
  <si>
    <t>देव बहादुर खाँड</t>
  </si>
  <si>
    <t>७४९०</t>
  </si>
  <si>
    <t>तुलसी राम रेग्मी</t>
  </si>
  <si>
    <t>१२४९४</t>
  </si>
  <si>
    <t>घनश्‍याम सुवेदी</t>
  </si>
  <si>
    <t>३८३६</t>
  </si>
  <si>
    <t>गोविन्द कुमार कर्माचार्य</t>
  </si>
  <si>
    <t>६५०४</t>
  </si>
  <si>
    <t>कृष्ण खाँण</t>
  </si>
  <si>
    <t>१३७७६</t>
  </si>
  <si>
    <t>सूर्य बहादुर कुँवर</t>
  </si>
  <si>
    <t>४८७२</t>
  </si>
  <si>
    <t>खिम नारायण मानन्धर</t>
  </si>
  <si>
    <t>४७६९</t>
  </si>
  <si>
    <t>तनहुँ</t>
  </si>
  <si>
    <t>शुक्र चुमान</t>
  </si>
  <si>
    <t>३९४०</t>
  </si>
  <si>
    <t>राजेन्द्र कृष्ण श्रेष्ठ</t>
  </si>
  <si>
    <t>३३३५</t>
  </si>
  <si>
    <t>होम बहादुर थापा</t>
  </si>
  <si>
    <t>४३३१</t>
  </si>
  <si>
    <t>तिल बहादुर थापा</t>
  </si>
  <si>
    <t>४३०६</t>
  </si>
  <si>
    <t>सुरेन्द्र बहादुर थापा</t>
  </si>
  <si>
    <t>३२२९</t>
  </si>
  <si>
    <t>आनन्द राज त्रिपाठी</t>
  </si>
  <si>
    <t>१२२५२</t>
  </si>
  <si>
    <t>दधि राज सुवेदी</t>
  </si>
  <si>
    <t>८१२८</t>
  </si>
  <si>
    <t>श्रीप्रसाद श्रेष्ठ</t>
  </si>
  <si>
    <t>४९५०</t>
  </si>
  <si>
    <t>बैकुण्ठ नाथ न्यौपाने</t>
  </si>
  <si>
    <t>६२</t>
  </si>
  <si>
    <t>१२०७८</t>
  </si>
  <si>
    <t>कृष्‍ण राज पण्डित</t>
  </si>
  <si>
    <t>१२२६३</t>
  </si>
  <si>
    <t>कर्णाली</t>
  </si>
  <si>
    <t>दैलेख</t>
  </si>
  <si>
    <t>तर्क बहादुर बडुवाल</t>
  </si>
  <si>
    <t>५३८५</t>
  </si>
  <si>
    <t>टोप बहादुर वि सी</t>
  </si>
  <si>
    <t>४६८१</t>
  </si>
  <si>
    <t>गणेश कुमार शाही</t>
  </si>
  <si>
    <t>४०७०</t>
  </si>
  <si>
    <t>रक्ष बहादुर शाह</t>
  </si>
  <si>
    <t>२५७१</t>
  </si>
  <si>
    <t>सुन्दर कुमार के.सी.</t>
  </si>
  <si>
    <t>३४०६</t>
  </si>
  <si>
    <t>भरत प्रशाद रिजाल</t>
  </si>
  <si>
    <t>७७२५</t>
  </si>
  <si>
    <t>लोमन शर्मा</t>
  </si>
  <si>
    <t>५४३६</t>
  </si>
  <si>
    <t>छविराम सुवेदी</t>
  </si>
  <si>
    <t>३२००</t>
  </si>
  <si>
    <t>गणेश वहादुर थापा</t>
  </si>
  <si>
    <t>२८४६</t>
  </si>
  <si>
    <t>रिता कुमारी शाही</t>
  </si>
  <si>
    <t>लछुमन गुरुङ</t>
  </si>
  <si>
    <t>७५</t>
  </si>
  <si>
    <t>२९७९</t>
  </si>
  <si>
    <t>डोल्पा</t>
  </si>
  <si>
    <t>अंगद कुमार राना</t>
  </si>
  <si>
    <t>निर्विरोध</t>
  </si>
  <si>
    <t>सेनाङ गुरुङ</t>
  </si>
  <si>
    <t>नारा सिं रोकाया</t>
  </si>
  <si>
    <t>७७०</t>
  </si>
  <si>
    <t>श्‍वबर्ण कुमार बुढा</t>
  </si>
  <si>
    <t>१२८६</t>
  </si>
  <si>
    <t>कार्मा छोइवेल गुरुङ</t>
  </si>
  <si>
    <t>५३५</t>
  </si>
  <si>
    <t>जन चन्द्र रोकाया</t>
  </si>
  <si>
    <t>२१०४</t>
  </si>
  <si>
    <t>दत्त बहादुर शाही</t>
  </si>
  <si>
    <t>१४०४</t>
  </si>
  <si>
    <t>धावा सम्डुक गुरुङ</t>
  </si>
  <si>
    <t>हुम्ला</t>
  </si>
  <si>
    <t>मोहन बिक्रम सिंह</t>
  </si>
  <si>
    <t>१९६८</t>
  </si>
  <si>
    <t>कर्ण बहादुर रावल</t>
  </si>
  <si>
    <t>१८१०</t>
  </si>
  <si>
    <t>प्यारी लाल शाही</t>
  </si>
  <si>
    <t>१६९५</t>
  </si>
  <si>
    <t>लालकेश जैसी</t>
  </si>
  <si>
    <t>प्रेम बहादुर लामा</t>
  </si>
  <si>
    <t>१४६६</t>
  </si>
  <si>
    <t>ठान बहादुर रोकाया</t>
  </si>
  <si>
    <t>३५४३</t>
  </si>
  <si>
    <t>विजय भण्डारी</t>
  </si>
  <si>
    <t>२८८२</t>
  </si>
  <si>
    <t>जाजरकोट</t>
  </si>
  <si>
    <t>हरि चन्द्र बस्नेत</t>
  </si>
  <si>
    <t>३४२३</t>
  </si>
  <si>
    <t>रत्‍न बहादुर खड्का</t>
  </si>
  <si>
    <t>९१७३</t>
  </si>
  <si>
    <t>बेद बहादुर शाही</t>
  </si>
  <si>
    <t>३४४४</t>
  </si>
  <si>
    <t>डम्मर बहादुर रावत</t>
  </si>
  <si>
    <t>५५९९</t>
  </si>
  <si>
    <t>बीर बहादुर गिरी</t>
  </si>
  <si>
    <t>३९५४</t>
  </si>
  <si>
    <t>चन्द्र प्रकाश घर्ती</t>
  </si>
  <si>
    <t>५२१०</t>
  </si>
  <si>
    <t>शेर बहादुर शाही</t>
  </si>
  <si>
    <t>३३०३</t>
  </si>
  <si>
    <t>जुम्ला</t>
  </si>
  <si>
    <t>दामोदर प्रसाद आचार्य</t>
  </si>
  <si>
    <t>२८०६</t>
  </si>
  <si>
    <t>दान बहादुर बुढा</t>
  </si>
  <si>
    <t>१७७५</t>
  </si>
  <si>
    <t>राजु सिंह कठायत</t>
  </si>
  <si>
    <t>२४०३</t>
  </si>
  <si>
    <t>नन्द प्रसाद चौलागाई</t>
  </si>
  <si>
    <t>२४९१</t>
  </si>
  <si>
    <t>मोति लाल रोकाया</t>
  </si>
  <si>
    <t>१९३६</t>
  </si>
  <si>
    <t>पूर्ण सिंगे बोहोरा</t>
  </si>
  <si>
    <t>२७६८</t>
  </si>
  <si>
    <t>पूर्ण प्रसाद धिताल</t>
  </si>
  <si>
    <t>१९४९</t>
  </si>
  <si>
    <t>लक्ष्मण बहादुर शाही</t>
  </si>
  <si>
    <t>१८७२</t>
  </si>
  <si>
    <t>कालिकोट</t>
  </si>
  <si>
    <t>कमल बहादुर शाही</t>
  </si>
  <si>
    <t>२९१९</t>
  </si>
  <si>
    <t>शंकर प्रसाद उपाध्याय</t>
  </si>
  <si>
    <t>२९१६</t>
  </si>
  <si>
    <t>नगेन्द्र वहादुर विष्ट</t>
  </si>
  <si>
    <t>२६३६</t>
  </si>
  <si>
    <t>देब राज शाहि</t>
  </si>
  <si>
    <t>२३६२</t>
  </si>
  <si>
    <t>विष्णु बहादुर रोकाया</t>
  </si>
  <si>
    <t>२२९२</t>
  </si>
  <si>
    <t>खेम बहादुर सिंह</t>
  </si>
  <si>
    <t>२२७४</t>
  </si>
  <si>
    <t>धर्म राज शाही</t>
  </si>
  <si>
    <t>३०४७</t>
  </si>
  <si>
    <t>गोबिन्द्र प्रसाद आचार्य</t>
  </si>
  <si>
    <t>२४०९</t>
  </si>
  <si>
    <t>मोहन बहादुर के.सी.</t>
  </si>
  <si>
    <t>१८१९</t>
  </si>
  <si>
    <t>मुगु</t>
  </si>
  <si>
    <t>छिरिङ क्याप्ने लामा</t>
  </si>
  <si>
    <t>१५७१</t>
  </si>
  <si>
    <t>अज बहादुर शाही</t>
  </si>
  <si>
    <t>३५२०</t>
  </si>
  <si>
    <t>विष्णु कुमार भाम</t>
  </si>
  <si>
    <t>४५९९</t>
  </si>
  <si>
    <t>धर्म बहादुर शाही</t>
  </si>
  <si>
    <t>४०४७</t>
  </si>
  <si>
    <t>रुकुम पश्चिम</t>
  </si>
  <si>
    <t>रवि के.सी.</t>
  </si>
  <si>
    <t>७३९९</t>
  </si>
  <si>
    <t>पुष्‍प वादी</t>
  </si>
  <si>
    <t>६८८२</t>
  </si>
  <si>
    <t>गणेश कुमार के.सी.</t>
  </si>
  <si>
    <t>५१२९</t>
  </si>
  <si>
    <t>जनक कुमार वाँठा मगर</t>
  </si>
  <si>
    <t>४४५५</t>
  </si>
  <si>
    <t>महेन्द्र के.सी.</t>
  </si>
  <si>
    <t>६९१४</t>
  </si>
  <si>
    <t>सल्यान</t>
  </si>
  <si>
    <t>दुर्गा बहादुर पुन</t>
  </si>
  <si>
    <t>३१६०</t>
  </si>
  <si>
    <t>दान वहादुर खत्री के.सी</t>
  </si>
  <si>
    <t>३७४१</t>
  </si>
  <si>
    <t>मान वहादुर वुढाथोकी</t>
  </si>
  <si>
    <t>ओज बहादुर वुढाथोकी</t>
  </si>
  <si>
    <t>३८९२</t>
  </si>
  <si>
    <t>खिम बहादुर रावत</t>
  </si>
  <si>
    <t>३३६९</t>
  </si>
  <si>
    <t>निम बहादुर के.सी.</t>
  </si>
  <si>
    <t>४४६४</t>
  </si>
  <si>
    <t>कर्ण बहादुर बुढाथोकी</t>
  </si>
  <si>
    <t>७३७०</t>
  </si>
  <si>
    <t>जनक राज गौतम</t>
  </si>
  <si>
    <t>६०२७</t>
  </si>
  <si>
    <t>प्रकाश भण्डारी</t>
  </si>
  <si>
    <t>६२१७</t>
  </si>
  <si>
    <t xml:space="preserve">भरत गिरी </t>
  </si>
  <si>
    <t>२१७३</t>
  </si>
  <si>
    <t>सुर्खेत</t>
  </si>
  <si>
    <t>हस्त पुन</t>
  </si>
  <si>
    <t>११९७८</t>
  </si>
  <si>
    <t>बोध विक्रम जि.सी.</t>
  </si>
  <si>
    <t>३५९१</t>
  </si>
  <si>
    <t>खड्क वि.क.</t>
  </si>
  <si>
    <t>५४७६</t>
  </si>
  <si>
    <t>लाल वीर भण्डारी</t>
  </si>
  <si>
    <t>५९०९</t>
  </si>
  <si>
    <t>भिम बहादुर भण्डारी</t>
  </si>
  <si>
    <t>४२७३</t>
  </si>
  <si>
    <t>मोहन माया भण्डारी</t>
  </si>
  <si>
    <t>१६०३८</t>
  </si>
  <si>
    <t>यज्ञ प्रसाद ढकाल</t>
  </si>
  <si>
    <t>१००२२</t>
  </si>
  <si>
    <t>उमेश कुमार पौडेल</t>
  </si>
  <si>
    <t>ऐन बहादुर चन्द</t>
  </si>
  <si>
    <t>६१७०</t>
  </si>
  <si>
    <t>कोशी</t>
  </si>
  <si>
    <t>भोजपुर</t>
  </si>
  <si>
    <t>कैलाश कुमार आले</t>
  </si>
  <si>
    <t>५६१५</t>
  </si>
  <si>
    <t>शालिकराम खत्री</t>
  </si>
  <si>
    <t>२८८७</t>
  </si>
  <si>
    <t>अशोक राई</t>
  </si>
  <si>
    <t>३६८६</t>
  </si>
  <si>
    <t>सरोज बस्नेत</t>
  </si>
  <si>
    <t>३९८०</t>
  </si>
  <si>
    <t>किरण राई</t>
  </si>
  <si>
    <t>२४९९</t>
  </si>
  <si>
    <t>थाम बहादुर राई</t>
  </si>
  <si>
    <t>३०७७</t>
  </si>
  <si>
    <t>सुरेन्द्र कुमार उदास</t>
  </si>
  <si>
    <t>६७७२</t>
  </si>
  <si>
    <t>दौलथ कुमार कुलुङ(राई)</t>
  </si>
  <si>
    <t>१८१४</t>
  </si>
  <si>
    <t>प्रेम कुमार राई</t>
  </si>
  <si>
    <t>४०४२</t>
  </si>
  <si>
    <t>धनकुटा</t>
  </si>
  <si>
    <t>चिन्तन तामाङ्ग</t>
  </si>
  <si>
    <t>७६६६</t>
  </si>
  <si>
    <t>राज कुमार लिम्वु</t>
  </si>
  <si>
    <t>५०३८</t>
  </si>
  <si>
    <t>छत्र बहादुर सुव्‍वा</t>
  </si>
  <si>
    <t>४३५९</t>
  </si>
  <si>
    <t>ज्ञान बहादुर गुरुङ्ग</t>
  </si>
  <si>
    <t>५४९८</t>
  </si>
  <si>
    <t>ध्रुवराज राया</t>
  </si>
  <si>
    <t>६३२८</t>
  </si>
  <si>
    <t>मनोज राई</t>
  </si>
  <si>
    <t>४२१४</t>
  </si>
  <si>
    <t>जितेन्द्र राई</t>
  </si>
  <si>
    <t>५३९९</t>
  </si>
  <si>
    <t>इलाम</t>
  </si>
  <si>
    <t>राजेन्द्र केरुङ्ग</t>
  </si>
  <si>
    <t>६६५०</t>
  </si>
  <si>
    <t>सूर्य प्रसाद पोख्रेल</t>
  </si>
  <si>
    <t>८६९५</t>
  </si>
  <si>
    <t>केदार थापा</t>
  </si>
  <si>
    <t>१३१६५</t>
  </si>
  <si>
    <t>खम्बासिं लिम्बु</t>
  </si>
  <si>
    <t>८१३२</t>
  </si>
  <si>
    <t>हेमन्त राई</t>
  </si>
  <si>
    <t>३८१८</t>
  </si>
  <si>
    <t>मनि कुमार स्‍्याबो</t>
  </si>
  <si>
    <t>४६७९</t>
  </si>
  <si>
    <t>तुला राम गुरुङ्ग</t>
  </si>
  <si>
    <t>७४</t>
  </si>
  <si>
    <t>४२२३</t>
  </si>
  <si>
    <t>रन बहादुर राई</t>
  </si>
  <si>
    <t>१२४३१</t>
  </si>
  <si>
    <t>दिपेन्द्र खनाल</t>
  </si>
  <si>
    <t>५३२२</t>
  </si>
  <si>
    <t>कुश बहादुर थेबे</t>
  </si>
  <si>
    <t>५१३५</t>
  </si>
  <si>
    <t>झापा</t>
  </si>
  <si>
    <t>बलदेव सिंह गोम्देन तामाङ्ग</t>
  </si>
  <si>
    <t>१९१६९</t>
  </si>
  <si>
    <t>राम कुमार थापा</t>
  </si>
  <si>
    <t>१७५२५</t>
  </si>
  <si>
    <t>छत्रपति सुवेदी</t>
  </si>
  <si>
    <t>७१</t>
  </si>
  <si>
    <t>१२८४९</t>
  </si>
  <si>
    <t>फुलवति राजवंशी</t>
  </si>
  <si>
    <t>५६८९</t>
  </si>
  <si>
    <t>जय नारायण शाह</t>
  </si>
  <si>
    <t>६९९८</t>
  </si>
  <si>
    <t>हुकुमसिंह राई</t>
  </si>
  <si>
    <t>१२८६८</t>
  </si>
  <si>
    <t>राजेन्द्र कुमार पोखरेल</t>
  </si>
  <si>
    <t>८६७३</t>
  </si>
  <si>
    <t>कालेन्द्र प्रसाद सिंह राजवंशी</t>
  </si>
  <si>
    <t>११४५७</t>
  </si>
  <si>
    <t>देवीन्द्र प्रसाद चम्लागाई</t>
  </si>
  <si>
    <t>७१४८</t>
  </si>
  <si>
    <t>मनोज प्रसाई</t>
  </si>
  <si>
    <t>११४०३</t>
  </si>
  <si>
    <t>गणेश पोखरेल</t>
  </si>
  <si>
    <t>१२५२५</t>
  </si>
  <si>
    <t>गोपालचन्द्र बुढाथोकी</t>
  </si>
  <si>
    <t>२६४७८</t>
  </si>
  <si>
    <t>पवित्रा देवी महतारा</t>
  </si>
  <si>
    <t>१६५२०</t>
  </si>
  <si>
    <t>मेगाहाङ्ग थोप्रा</t>
  </si>
  <si>
    <t>१६४९८</t>
  </si>
  <si>
    <t>रविन्द्र प्रसाद लिङदेन</t>
  </si>
  <si>
    <t>६८५६</t>
  </si>
  <si>
    <t>खोटाङ</t>
  </si>
  <si>
    <t>गीरेन्द्र बहादुर राई</t>
  </si>
  <si>
    <t>२६०६</t>
  </si>
  <si>
    <t>समिर राई</t>
  </si>
  <si>
    <t>२२४४</t>
  </si>
  <si>
    <t>उदिम बहादुर राई</t>
  </si>
  <si>
    <t>अरुणा देवी राई</t>
  </si>
  <si>
    <t>२८८१</t>
  </si>
  <si>
    <t>तीर्थ राज भट्टराई</t>
  </si>
  <si>
    <t>११३८९</t>
  </si>
  <si>
    <t>लोकेन्द्र राई</t>
  </si>
  <si>
    <t>२८०३</t>
  </si>
  <si>
    <t>शालिक राम बन्जरा</t>
  </si>
  <si>
    <t>३१८१</t>
  </si>
  <si>
    <t>फटिक कुमार श्रेष्ठ</t>
  </si>
  <si>
    <t>२४८९</t>
  </si>
  <si>
    <t>रवि प्रकाश राई</t>
  </si>
  <si>
    <t>१८५०</t>
  </si>
  <si>
    <t>विमला राई</t>
  </si>
  <si>
    <t>६३१७</t>
  </si>
  <si>
    <t>मोरङ</t>
  </si>
  <si>
    <t>बवी कुमार राई</t>
  </si>
  <si>
    <t>८२५३</t>
  </si>
  <si>
    <t>गंगा प्रसाद खरेल</t>
  </si>
  <si>
    <t>६४</t>
  </si>
  <si>
    <t>१२१५६</t>
  </si>
  <si>
    <t>देवराज चौधरी</t>
  </si>
  <si>
    <t>६५६५</t>
  </si>
  <si>
    <t>राजमति इङ्गनाम</t>
  </si>
  <si>
    <t>८९७५</t>
  </si>
  <si>
    <t>सुमन मिरिङचिङ मगर</t>
  </si>
  <si>
    <t>७८१०</t>
  </si>
  <si>
    <t>जय प्रकास गच्छदार थारु</t>
  </si>
  <si>
    <t>७६०५</t>
  </si>
  <si>
    <t>जितेन्द्र प्रसाद साह</t>
  </si>
  <si>
    <t>६५०१</t>
  </si>
  <si>
    <t>जिवछ प्रसाद गच्छदार</t>
  </si>
  <si>
    <t>६३२९</t>
  </si>
  <si>
    <t>मोहन प्रसाद तुम्‍वापो</t>
  </si>
  <si>
    <t>१२९५६</t>
  </si>
  <si>
    <t>जित नारायण थापा मगर</t>
  </si>
  <si>
    <t>८२९९</t>
  </si>
  <si>
    <t>दिल प्रसाद राई</t>
  </si>
  <si>
    <t>१६४२२</t>
  </si>
  <si>
    <t>दिलीप कुमार अग्रवाल</t>
  </si>
  <si>
    <t>१२८६१</t>
  </si>
  <si>
    <t>नागेश्वर प्रसाद सिंह गंगाई</t>
  </si>
  <si>
    <t>१३१३५</t>
  </si>
  <si>
    <t>नागेश कोईराला</t>
  </si>
  <si>
    <t>३०१७०</t>
  </si>
  <si>
    <t>श्‍याम प्रसाद राजवंशी</t>
  </si>
  <si>
    <t>८६३९</t>
  </si>
  <si>
    <t>केदार प्रसाद गुरागाई</t>
  </si>
  <si>
    <t>२१४०५</t>
  </si>
  <si>
    <t>ओखलढुंगा</t>
  </si>
  <si>
    <t>जनता समाजवादी पार्टी, नेपाल</t>
  </si>
  <si>
    <t>गम्बु शेर्पा</t>
  </si>
  <si>
    <t>नवराज के.सी(खत्री)</t>
  </si>
  <si>
    <t>४७१५</t>
  </si>
  <si>
    <t>निशान्त शर्मा बास्तोला</t>
  </si>
  <si>
    <t>३१९८</t>
  </si>
  <si>
    <t>ज्ञानेन्द्र रुम्दाली</t>
  </si>
  <si>
    <t>५०२१</t>
  </si>
  <si>
    <t>उत्तम राई</t>
  </si>
  <si>
    <t>४०५२</t>
  </si>
  <si>
    <t>अशोक कुमार कार्की</t>
  </si>
  <si>
    <t>३७७६</t>
  </si>
  <si>
    <t>तेजन खनाल</t>
  </si>
  <si>
    <t>६८३४</t>
  </si>
  <si>
    <t>कमल तामाङ</t>
  </si>
  <si>
    <t>पाँचथर</t>
  </si>
  <si>
    <t>समर वहादुर अधिकारी</t>
  </si>
  <si>
    <t>४५६५</t>
  </si>
  <si>
    <t>अमर राज माखिम</t>
  </si>
  <si>
    <t>६०६५</t>
  </si>
  <si>
    <t>मित्र प्रसाद काफ्ले</t>
  </si>
  <si>
    <t>९८५५</t>
  </si>
  <si>
    <t>वंम प्रसाद लावती</t>
  </si>
  <si>
    <t>३०५७</t>
  </si>
  <si>
    <t>बाबु राम खड्का</t>
  </si>
  <si>
    <t>२७१८</t>
  </si>
  <si>
    <t>वीर विक्रम थाम्सुहाङ</t>
  </si>
  <si>
    <t>५७७९</t>
  </si>
  <si>
    <t>बृज हाङ आङदेम्बे</t>
  </si>
  <si>
    <t>५७३९</t>
  </si>
  <si>
    <t>भीम बहादुर योङया</t>
  </si>
  <si>
    <t>४११८</t>
  </si>
  <si>
    <t>संखुवासभा</t>
  </si>
  <si>
    <t>महेश थपलिया</t>
  </si>
  <si>
    <t>७६३४</t>
  </si>
  <si>
    <t>पासाङ नुर्वु शेर्पा</t>
  </si>
  <si>
    <t>१८६१</t>
  </si>
  <si>
    <t>कृष्ण कुमार तामाङ्ग</t>
  </si>
  <si>
    <t>६७५७</t>
  </si>
  <si>
    <t>उदय चन्द्र पौडेल</t>
  </si>
  <si>
    <t>४२८२</t>
  </si>
  <si>
    <t>विपीन राई</t>
  </si>
  <si>
    <t>४७८८</t>
  </si>
  <si>
    <t>वाङ छेदर लामा</t>
  </si>
  <si>
    <t>१८०३</t>
  </si>
  <si>
    <t>ओङदी छिरीङ शेर्पा</t>
  </si>
  <si>
    <t>३०१७</t>
  </si>
  <si>
    <t>जिवन लिंथेप</t>
  </si>
  <si>
    <t>भिम बहादुर लिम्बु</t>
  </si>
  <si>
    <t>३००७</t>
  </si>
  <si>
    <t>भूपाल राज राई</t>
  </si>
  <si>
    <t>२२०३</t>
  </si>
  <si>
    <t>सोलुखुम्बु</t>
  </si>
  <si>
    <t>मिङमा छिरी शेर्पा</t>
  </si>
  <si>
    <t>२०२८</t>
  </si>
  <si>
    <t>अशिम राई</t>
  </si>
  <si>
    <t>४०४९</t>
  </si>
  <si>
    <t>धन जन राई</t>
  </si>
  <si>
    <t>२५६९</t>
  </si>
  <si>
    <t>सुर्य बहादुर राई</t>
  </si>
  <si>
    <t>२१००</t>
  </si>
  <si>
    <t>बुद्धि किरण राई</t>
  </si>
  <si>
    <t>३३४३</t>
  </si>
  <si>
    <t>मिना देवी कार्की</t>
  </si>
  <si>
    <t>१२६०</t>
  </si>
  <si>
    <t>खिलराज बस्‍नेत</t>
  </si>
  <si>
    <t>१६४८</t>
  </si>
  <si>
    <t>नाम्गेल जाङबु शेर्पा</t>
  </si>
  <si>
    <t>४९६८</t>
  </si>
  <si>
    <t>सुनसरी</t>
  </si>
  <si>
    <t>केदार भण्डारी</t>
  </si>
  <si>
    <t>११८२४</t>
  </si>
  <si>
    <t>हेम कर्ण पौडेल</t>
  </si>
  <si>
    <t>३३०४९</t>
  </si>
  <si>
    <t>ऐयुव अंसारी</t>
  </si>
  <si>
    <t>६४१६</t>
  </si>
  <si>
    <t>आश नारायण चौधरी</t>
  </si>
  <si>
    <t>८९०१</t>
  </si>
  <si>
    <t>बेद नारायण गच्छदार</t>
  </si>
  <si>
    <t>११९१६</t>
  </si>
  <si>
    <t>बेचन प्रसाद मेहता</t>
  </si>
  <si>
    <t>६८७४</t>
  </si>
  <si>
    <t>हर्क राज राई</t>
  </si>
  <si>
    <t>२०८२१</t>
  </si>
  <si>
    <t>रमेश कार्की</t>
  </si>
  <si>
    <t>१९२९३</t>
  </si>
  <si>
    <t>जिवछ कुमार राय</t>
  </si>
  <si>
    <t>७८६१</t>
  </si>
  <si>
    <t>अजमल अख्तर मिया</t>
  </si>
  <si>
    <t>४९१३</t>
  </si>
  <si>
    <t>शंकर लाल चौधरी</t>
  </si>
  <si>
    <t>१३३७२</t>
  </si>
  <si>
    <t>गफार अंसारी मिया</t>
  </si>
  <si>
    <t>६१७२</t>
  </si>
  <si>
    <t>ताप्लेजुङ</t>
  </si>
  <si>
    <t>अमिर मादेन</t>
  </si>
  <si>
    <t>६१७९</t>
  </si>
  <si>
    <t>९८४२६६०४८०.०</t>
  </si>
  <si>
    <t>दिपेन्द्र  पोमु</t>
  </si>
  <si>
    <t>३०३६</t>
  </si>
  <si>
    <t>९८५२६६०९५८.०</t>
  </si>
  <si>
    <t>केशर कुमार सुब्बा</t>
  </si>
  <si>
    <t>२८९८</t>
  </si>
  <si>
    <t>राजन लिम्बु</t>
  </si>
  <si>
    <t>२६६०</t>
  </si>
  <si>
    <t>भक्त बहादुर कार्की</t>
  </si>
  <si>
    <t>२०२३</t>
  </si>
  <si>
    <t>युक हां विर हांगाम</t>
  </si>
  <si>
    <t>२८६९</t>
  </si>
  <si>
    <t>विजय प्रकाश वनेम</t>
  </si>
  <si>
    <t>२६०९</t>
  </si>
  <si>
    <t>मान वहादुर राई</t>
  </si>
  <si>
    <t>३०८५</t>
  </si>
  <si>
    <t>लाल कृष्ण चौहान</t>
  </si>
  <si>
    <t>तेह्रथुम</t>
  </si>
  <si>
    <t>दिल कुमार पाहीम</t>
  </si>
  <si>
    <t>४६९२</t>
  </si>
  <si>
    <t>सन्त वीर लिम्बु</t>
  </si>
  <si>
    <t>३९१५</t>
  </si>
  <si>
    <t>केशव प्रसाद भेटवाल</t>
  </si>
  <si>
    <t>४०४१</t>
  </si>
  <si>
    <t>यादव बहादुर खापुङ्ग</t>
  </si>
  <si>
    <t>२०५५</t>
  </si>
  <si>
    <t>सञ्जय कुमार तुम्वाहाङफे</t>
  </si>
  <si>
    <t>५११७</t>
  </si>
  <si>
    <t>अर्जुन मावोहाङ</t>
  </si>
  <si>
    <t>५१३९</t>
  </si>
  <si>
    <t>उदयपुर</t>
  </si>
  <si>
    <t>राजेस चन्द्र श्रेष्ठ</t>
  </si>
  <si>
    <t>६४१७</t>
  </si>
  <si>
    <t>मान वहादुर केप्छाकी मगर</t>
  </si>
  <si>
    <t>४९४२</t>
  </si>
  <si>
    <t>कालु मान लामा</t>
  </si>
  <si>
    <t>८८६३</t>
  </si>
  <si>
    <t>ढुङ्ग राज विश्वकर्मा</t>
  </si>
  <si>
    <t>१७८७</t>
  </si>
  <si>
    <t>वसन्त कुमार बस्नेत</t>
  </si>
  <si>
    <t>१३९५९</t>
  </si>
  <si>
    <t>विरेन्द्र कुमार मगर</t>
  </si>
  <si>
    <t>४३०५</t>
  </si>
  <si>
    <t>मेजर कुमार राई</t>
  </si>
  <si>
    <t>२०५१</t>
  </si>
  <si>
    <t>अशोक कार्की</t>
  </si>
  <si>
    <t>१०१२०</t>
  </si>
  <si>
    <t>लुम्बिनी</t>
  </si>
  <si>
    <t>अर्घाकाँची</t>
  </si>
  <si>
    <t>चन्द्र मान श्रेष्‍ठ</t>
  </si>
  <si>
    <t>७४०७</t>
  </si>
  <si>
    <t>टेक राज न्यौपाने</t>
  </si>
  <si>
    <t>७७४९</t>
  </si>
  <si>
    <t>झविलाल थापा</t>
  </si>
  <si>
    <t>८३२४</t>
  </si>
  <si>
    <t>दल बहादुर भट्टराई</t>
  </si>
  <si>
    <t>८२८३</t>
  </si>
  <si>
    <t>कृष्‍ण प्रसाद श्रेष्‍ठ</t>
  </si>
  <si>
    <t>१११३५</t>
  </si>
  <si>
    <t>छवि लाल पौडेल</t>
  </si>
  <si>
    <t>१००७८</t>
  </si>
  <si>
    <t>बाँके</t>
  </si>
  <si>
    <t>डम्बर बहादुर बि.क.</t>
  </si>
  <si>
    <t>१०७९०</t>
  </si>
  <si>
    <t>पुर्ण प्रसाद आचार्य</t>
  </si>
  <si>
    <t>१४१३४</t>
  </si>
  <si>
    <t>प्रशान्त विष्ट</t>
  </si>
  <si>
    <t>२३४६०</t>
  </si>
  <si>
    <t>छब्बन खाँ</t>
  </si>
  <si>
    <t>६६५३</t>
  </si>
  <si>
    <t>नरेन्द्र कुमार चौधरी</t>
  </si>
  <si>
    <t>६२७२</t>
  </si>
  <si>
    <t>इश्तियाक अहमद शाह</t>
  </si>
  <si>
    <t>५०३७</t>
  </si>
  <si>
    <t>प्रकाश बहादुर शाही</t>
  </si>
  <si>
    <t>१२१८०</t>
  </si>
  <si>
    <t>तप्त बहादुर पौडेल</t>
  </si>
  <si>
    <t>१०११२</t>
  </si>
  <si>
    <t>बर्दिया</t>
  </si>
  <si>
    <t>मुक्ति नाथ यादव</t>
  </si>
  <si>
    <t>७९८९</t>
  </si>
  <si>
    <t>जमान सिं के.सी.</t>
  </si>
  <si>
    <t>७६९८</t>
  </si>
  <si>
    <t>तिलक राम लम्साल</t>
  </si>
  <si>
    <t>९०४२</t>
  </si>
  <si>
    <t>हिमालय त्रिपाठी</t>
  </si>
  <si>
    <t>९३६७</t>
  </si>
  <si>
    <t>छबिलाल थारु</t>
  </si>
  <si>
    <t>१३००६</t>
  </si>
  <si>
    <t>खडक वहादुर् खड्का</t>
  </si>
  <si>
    <t>१०९४७</t>
  </si>
  <si>
    <t>तेज बहादुर भाट</t>
  </si>
  <si>
    <t>८७७५</t>
  </si>
  <si>
    <t>दिपेश थारु</t>
  </si>
  <si>
    <t>९८०७</t>
  </si>
  <si>
    <t>दाङ</t>
  </si>
  <si>
    <t>यम नारायण शर्मा पोख्रेल</t>
  </si>
  <si>
    <t>६९०९</t>
  </si>
  <si>
    <t>नरुलाल चौधरी</t>
  </si>
  <si>
    <t>३१७२८</t>
  </si>
  <si>
    <t>टिकाराम खड्का</t>
  </si>
  <si>
    <t>३१४०८</t>
  </si>
  <si>
    <t>शम्भु गिरी</t>
  </si>
  <si>
    <t>५४६७</t>
  </si>
  <si>
    <t>तुल्सीराम पुन मगर</t>
  </si>
  <si>
    <t>कुल वहादुर खत्री क्षेत्री</t>
  </si>
  <si>
    <t>६६१५</t>
  </si>
  <si>
    <t>शरद कुमार बुढाथोकी</t>
  </si>
  <si>
    <t>प्रकाश बिष्ट</t>
  </si>
  <si>
    <t>६८९८</t>
  </si>
  <si>
    <t>जोगराज चौधरी</t>
  </si>
  <si>
    <t>९३१७</t>
  </si>
  <si>
    <t>प्रमोद बस्नेत</t>
  </si>
  <si>
    <t>५७१६</t>
  </si>
  <si>
    <t>गुल्मी</t>
  </si>
  <si>
    <t>सरोज कुमार थापा</t>
  </si>
  <si>
    <t>६१६६</t>
  </si>
  <si>
    <t xml:space="preserve">भगतसिह खड्का </t>
  </si>
  <si>
    <t>५५८९</t>
  </si>
  <si>
    <t>बेद बहादुर थापा</t>
  </si>
  <si>
    <t>४८१०</t>
  </si>
  <si>
    <t>युवराज खत्री क्षेत्री</t>
  </si>
  <si>
    <t>५७००</t>
  </si>
  <si>
    <t>राम प्रसाद पाण्डेय</t>
  </si>
  <si>
    <t>६५८६</t>
  </si>
  <si>
    <t>भुपाल पोखरेल</t>
  </si>
  <si>
    <t>६०८९</t>
  </si>
  <si>
    <t>महेन्द्र बहादुर कुवंर</t>
  </si>
  <si>
    <t>७०</t>
  </si>
  <si>
    <t>४७०७</t>
  </si>
  <si>
    <t>देवीराम अर्याल</t>
  </si>
  <si>
    <t>६१७६</t>
  </si>
  <si>
    <t>जीब लाल खरेल जीवन</t>
  </si>
  <si>
    <t>यदु ज्ञवाली</t>
  </si>
  <si>
    <t>५८१७</t>
  </si>
  <si>
    <t>खिलध्‍वज पन्थी</t>
  </si>
  <si>
    <t>८६१४</t>
  </si>
  <si>
    <t>टीका राम पाण्डे</t>
  </si>
  <si>
    <t>६२६७</t>
  </si>
  <si>
    <t>कपिलवस्तु</t>
  </si>
  <si>
    <t>सुदीप पौडेल</t>
  </si>
  <si>
    <t>११९०६</t>
  </si>
  <si>
    <t>रजत प्रताप शाह</t>
  </si>
  <si>
    <t>५६०६</t>
  </si>
  <si>
    <t>चक्र पाणी अर्याल</t>
  </si>
  <si>
    <t>१८९९९</t>
  </si>
  <si>
    <t>केशव कुमार श्रेष्‍ठ</t>
  </si>
  <si>
    <t>१४३८४</t>
  </si>
  <si>
    <t>अब्दुल कलाम मुसलमान</t>
  </si>
  <si>
    <t>१०२००</t>
  </si>
  <si>
    <t>बलिउद्दीन मुसलमान</t>
  </si>
  <si>
    <t>५२७८</t>
  </si>
  <si>
    <t>शिव दयाल तिवारी</t>
  </si>
  <si>
    <t>४४६२</t>
  </si>
  <si>
    <t>गोपाल बहादुर थापा</t>
  </si>
  <si>
    <t>५८३८</t>
  </si>
  <si>
    <t>अजय थापा</t>
  </si>
  <si>
    <t>७६०२</t>
  </si>
  <si>
    <t xml:space="preserve">लोकतान्त्रिक समाजवादी पार्टी, नेपाल  </t>
  </si>
  <si>
    <t>कमलेश शरण चौधरी</t>
  </si>
  <si>
    <t>४४८१</t>
  </si>
  <si>
    <t>नवलपरासी (बर्दघाट सुस्ता पश्चिम)</t>
  </si>
  <si>
    <t>वैजु प्रसाद गुप्ता</t>
  </si>
  <si>
    <t>४३८१</t>
  </si>
  <si>
    <t>उमेश चन्द्र यादव</t>
  </si>
  <si>
    <t>६००८</t>
  </si>
  <si>
    <t>सम्‍भु लाल श्रेष्‍ठ</t>
  </si>
  <si>
    <t>१८४८९</t>
  </si>
  <si>
    <t>धनपत यादव</t>
  </si>
  <si>
    <t>७८२४</t>
  </si>
  <si>
    <t>सुखाडी प्रसाद चौधरी थारु</t>
  </si>
  <si>
    <t>७०५९</t>
  </si>
  <si>
    <t>विमला अर्याल</t>
  </si>
  <si>
    <t>१४८३८</t>
  </si>
  <si>
    <t>टेक नारायण उपाध्याय</t>
  </si>
  <si>
    <t>६९</t>
  </si>
  <si>
    <t>पाल्पा</t>
  </si>
  <si>
    <t>सन्तोष लाल क्षेष्ठ</t>
  </si>
  <si>
    <t>११२७३</t>
  </si>
  <si>
    <t>प्रेम श्रेष्ठ</t>
  </si>
  <si>
    <t>५०९०</t>
  </si>
  <si>
    <t>मुक्त बहादुर सारु</t>
  </si>
  <si>
    <t>६६५२</t>
  </si>
  <si>
    <t>नुन बहादुर थापा</t>
  </si>
  <si>
    <t>६०३९</t>
  </si>
  <si>
    <t>सरस्वती दर्लामी (चिदी)</t>
  </si>
  <si>
    <t>६४६६</t>
  </si>
  <si>
    <t>यम बहादुर चिदी</t>
  </si>
  <si>
    <t>६१०९</t>
  </si>
  <si>
    <t>विष्‍णु प्रसाद भण्‍डारी</t>
  </si>
  <si>
    <t>५५८६</t>
  </si>
  <si>
    <t>रमण वहादुर थापा</t>
  </si>
  <si>
    <t>१०४५६</t>
  </si>
  <si>
    <t>नारायण बहादुर कार्की</t>
  </si>
  <si>
    <t>५७०४</t>
  </si>
  <si>
    <t>रुक्मागत भट्टराई</t>
  </si>
  <si>
    <t>६६४३</t>
  </si>
  <si>
    <t>प्युठान</t>
  </si>
  <si>
    <t>विष्णु बहादुर योगी</t>
  </si>
  <si>
    <t>९३२३</t>
  </si>
  <si>
    <t>नवील विक्रम शाह</t>
  </si>
  <si>
    <t>४६६९</t>
  </si>
  <si>
    <t>विष्णु कुमार गिरी</t>
  </si>
  <si>
    <t>३६४९</t>
  </si>
  <si>
    <t>पित बहादुर महतरा क्षेत्री</t>
  </si>
  <si>
    <t>५९२९</t>
  </si>
  <si>
    <t>दिल वहादुर थापा</t>
  </si>
  <si>
    <t>६५३७</t>
  </si>
  <si>
    <t>कृष्ण बहादुर खड्का</t>
  </si>
  <si>
    <t>३५७६</t>
  </si>
  <si>
    <t>नम राज अधिकारी</t>
  </si>
  <si>
    <t>३६७६</t>
  </si>
  <si>
    <t>झग बहादुर विश्‍वकर्मा</t>
  </si>
  <si>
    <t>४२८०</t>
  </si>
  <si>
    <t>टेक प्रसाद भण्डारी</t>
  </si>
  <si>
    <t>७७२६</t>
  </si>
  <si>
    <t>रोल्पा</t>
  </si>
  <si>
    <t>सुरेन्द्र थापा (घर्ती)</t>
  </si>
  <si>
    <t>हरी बहादुर पुन</t>
  </si>
  <si>
    <t>२५५७</t>
  </si>
  <si>
    <t>कर्ण बहादुर बाँठामगर</t>
  </si>
  <si>
    <t>५०८५</t>
  </si>
  <si>
    <t>ऋषि केशव बुढामगर</t>
  </si>
  <si>
    <t>२१२२</t>
  </si>
  <si>
    <t>सुक बहादुर बुढा मगर</t>
  </si>
  <si>
    <t>३३११</t>
  </si>
  <si>
    <t>अमर सिंह घर्तीमगर</t>
  </si>
  <si>
    <t>३८३०</t>
  </si>
  <si>
    <t>जनक पुन</t>
  </si>
  <si>
    <t>४३९१</t>
  </si>
  <si>
    <t>भरत कुमार थापा</t>
  </si>
  <si>
    <t>४९६४</t>
  </si>
  <si>
    <t>धन बहादुर पुनमगर</t>
  </si>
  <si>
    <t>३४३९</t>
  </si>
  <si>
    <t>मणिराम बुढाथोकी</t>
  </si>
  <si>
    <t>६०६२</t>
  </si>
  <si>
    <t>रुकुम पूर्व</t>
  </si>
  <si>
    <t>पुनीराज घर्ति</t>
  </si>
  <si>
    <t>३९१३</t>
  </si>
  <si>
    <t>होम प्रकाश श्रेष्ठ</t>
  </si>
  <si>
    <t>३९७५</t>
  </si>
  <si>
    <t>कृष्ण रेग्मी</t>
  </si>
  <si>
    <t>३७७९</t>
  </si>
  <si>
    <t>रुपन्देही</t>
  </si>
  <si>
    <t>मन्जित कूमार यादव</t>
  </si>
  <si>
    <t>४८३२</t>
  </si>
  <si>
    <t>नवराज ढकाल</t>
  </si>
  <si>
    <t>९०८५</t>
  </si>
  <si>
    <t>बाल कृण्ण त्रिपाठी</t>
  </si>
  <si>
    <t>४६३८</t>
  </si>
  <si>
    <t>सुरेन्द्र पौड्याल</t>
  </si>
  <si>
    <t>५६३१</t>
  </si>
  <si>
    <t>राम कृष्ण खाँण</t>
  </si>
  <si>
    <t>२४३९६</t>
  </si>
  <si>
    <t>ध्रुब प्रसाद खरेल</t>
  </si>
  <si>
    <t>१२९४३</t>
  </si>
  <si>
    <t>खेल राज पाण्‍डेय</t>
  </si>
  <si>
    <t>३०२४९</t>
  </si>
  <si>
    <t>जनता प्रगतिशील पार्टी, नेपाल</t>
  </si>
  <si>
    <t>गया प्रसाद बरई</t>
  </si>
  <si>
    <t>४३८५</t>
  </si>
  <si>
    <t>ध्रुव नारायण चौधरी</t>
  </si>
  <si>
    <t>विद्या प्रसाद यादव</t>
  </si>
  <si>
    <t>७४९६</t>
  </si>
  <si>
    <t>सजरुद्दीन मुसलमान</t>
  </si>
  <si>
    <t>८२११</t>
  </si>
  <si>
    <t>बिष्णु प्रसाद बस्याल</t>
  </si>
  <si>
    <t>७९८३</t>
  </si>
  <si>
    <t>विनोद कुमार श्रीवास्तव</t>
  </si>
  <si>
    <t>४१३४</t>
  </si>
  <si>
    <t>इश्तियाक अहमद खान</t>
  </si>
  <si>
    <t>९१३४</t>
  </si>
  <si>
    <t>थानेश्‍वर घिमिरे</t>
  </si>
  <si>
    <t>१००४५</t>
  </si>
  <si>
    <t>फणेन्द्र प्रसाद शर्मा</t>
  </si>
  <si>
    <t>१५६८६</t>
  </si>
  <si>
    <t>मधेस</t>
  </si>
  <si>
    <t>बारा</t>
  </si>
  <si>
    <t>जवाहर प्रसाद</t>
  </si>
  <si>
    <t>४०८७</t>
  </si>
  <si>
    <t>अशोक कुमार जयसवाल</t>
  </si>
  <si>
    <t>५४२६</t>
  </si>
  <si>
    <t>राजन पौडेल</t>
  </si>
  <si>
    <t>१८७४३</t>
  </si>
  <si>
    <t>विनोद प्रसाद साह</t>
  </si>
  <si>
    <t>२४१७४</t>
  </si>
  <si>
    <t>शम्भु प्रसाद यादव</t>
  </si>
  <si>
    <t>५५९८</t>
  </si>
  <si>
    <t>राम प्रसाद चौधरी</t>
  </si>
  <si>
    <t>९१०५</t>
  </si>
  <si>
    <t>उदय प्रसाद यादव</t>
  </si>
  <si>
    <t>४१७६</t>
  </si>
  <si>
    <t>सुरथ पुरी</t>
  </si>
  <si>
    <t>९४७५</t>
  </si>
  <si>
    <t>जलन्धर सिंह जैसवार</t>
  </si>
  <si>
    <t>४७३२</t>
  </si>
  <si>
    <t>रामक्षत्री प्रसाद कुर्मि</t>
  </si>
  <si>
    <t>२९१७</t>
  </si>
  <si>
    <t>विनोद प्रसाद जैसवाल</t>
  </si>
  <si>
    <t>४४८८</t>
  </si>
  <si>
    <t>विवेकशील साझा पार्टी</t>
  </si>
  <si>
    <t>रुस्तम अंसारी</t>
  </si>
  <si>
    <t>उपेन्द्र प्रसाद यादव</t>
  </si>
  <si>
    <t>८६७०</t>
  </si>
  <si>
    <t>जुल्फकार अलि भुटो</t>
  </si>
  <si>
    <t>४३१७</t>
  </si>
  <si>
    <t>किसोरी प्रसाद कलवार</t>
  </si>
  <si>
    <t>१११३७</t>
  </si>
  <si>
    <t>राजेश प्रसाद यादव</t>
  </si>
  <si>
    <t>५३५१</t>
  </si>
  <si>
    <t>धनुषा</t>
  </si>
  <si>
    <t>बालेश्‍वर मंण्‍डल</t>
  </si>
  <si>
    <t>४७१८</t>
  </si>
  <si>
    <t>विशेश्‍वर यादव</t>
  </si>
  <si>
    <t>३८८७</t>
  </si>
  <si>
    <t>उमाशंकर प्रसाद साह</t>
  </si>
  <si>
    <t>३३२६</t>
  </si>
  <si>
    <t>सुख देव यादव</t>
  </si>
  <si>
    <t>७९१३</t>
  </si>
  <si>
    <t>जित नारायण यादव</t>
  </si>
  <si>
    <t>३१०८</t>
  </si>
  <si>
    <t>दिपिन देव यादव</t>
  </si>
  <si>
    <t>३१५७</t>
  </si>
  <si>
    <t>मनोज कुमार साह सुडी</t>
  </si>
  <si>
    <t>१३४६५</t>
  </si>
  <si>
    <t>राज कुमार साह</t>
  </si>
  <si>
    <t>२२६२</t>
  </si>
  <si>
    <t>विनय कुमार यादव</t>
  </si>
  <si>
    <t>राम अशिष महतो</t>
  </si>
  <si>
    <t>४०१८</t>
  </si>
  <si>
    <t>महेन्द्र महतो</t>
  </si>
  <si>
    <t>७०३१</t>
  </si>
  <si>
    <t>राजेन्‍द्र प्रसाद यादव</t>
  </si>
  <si>
    <t>४३०४</t>
  </si>
  <si>
    <t>जय कुमार यादव</t>
  </si>
  <si>
    <t>५४१०</t>
  </si>
  <si>
    <t>भोगेन्द्र मिश्र</t>
  </si>
  <si>
    <t>३७६५</t>
  </si>
  <si>
    <t>वेचन दास तत्मा</t>
  </si>
  <si>
    <t>४४१२</t>
  </si>
  <si>
    <t>दिनेश प्रसाद यादब</t>
  </si>
  <si>
    <t>५७४३</t>
  </si>
  <si>
    <t>कारी राम यादव</t>
  </si>
  <si>
    <t>४२१२</t>
  </si>
  <si>
    <t>प्रदीप कुमार यादब</t>
  </si>
  <si>
    <t>४४०९</t>
  </si>
  <si>
    <t>महोत्तरी</t>
  </si>
  <si>
    <t>तराइ-देश लोकतान्त्रिक पार्टी</t>
  </si>
  <si>
    <t>दिलिप कुमार पाण्डेय</t>
  </si>
  <si>
    <t>२३३६</t>
  </si>
  <si>
    <t>दीप नारायण मंडल</t>
  </si>
  <si>
    <t>४४९९</t>
  </si>
  <si>
    <t>प्रदिप कुमार खडका</t>
  </si>
  <si>
    <t>६०६७</t>
  </si>
  <si>
    <t>दिपेन्द्र महतो</t>
  </si>
  <si>
    <t>८७९९</t>
  </si>
  <si>
    <t>सुरेश साह सोनार</t>
  </si>
  <si>
    <t>७३०६</t>
  </si>
  <si>
    <t>राम जानकी यादव</t>
  </si>
  <si>
    <t>५५८२</t>
  </si>
  <si>
    <t>प्रहलाद कुमार क्षेत्री</t>
  </si>
  <si>
    <t>१४२१०</t>
  </si>
  <si>
    <t>राम विजय महतो</t>
  </si>
  <si>
    <t>५७८३</t>
  </si>
  <si>
    <t>संजीव कुमार साह</t>
  </si>
  <si>
    <t>५६१७</t>
  </si>
  <si>
    <t>हरि प्रसाद मण्डल</t>
  </si>
  <si>
    <t>४००३</t>
  </si>
  <si>
    <t>मोहन पाण्डेय</t>
  </si>
  <si>
    <t>५८८४</t>
  </si>
  <si>
    <t>राम दुलार साह</t>
  </si>
  <si>
    <t>५३४९</t>
  </si>
  <si>
    <t>शैलेन्‍द्र कुमार यादव</t>
  </si>
  <si>
    <t>५४२९</t>
  </si>
  <si>
    <t>राम नाथ यादव</t>
  </si>
  <si>
    <t>३८९३</t>
  </si>
  <si>
    <t>विशेश्‍वर प्रसाद यादव</t>
  </si>
  <si>
    <t>४१०८</t>
  </si>
  <si>
    <t>पर्सा</t>
  </si>
  <si>
    <t>गोकर्ण पाठक</t>
  </si>
  <si>
    <t>६६२४</t>
  </si>
  <si>
    <t>बशिष्‍ट कुमार</t>
  </si>
  <si>
    <t>२१</t>
  </si>
  <si>
    <t>३७४३</t>
  </si>
  <si>
    <t>मनोज कुमार</t>
  </si>
  <si>
    <t>४१८८</t>
  </si>
  <si>
    <t>श्रीकान्त प्रसाद यादव</t>
  </si>
  <si>
    <t>अनोज चौधरी</t>
  </si>
  <si>
    <t>४५६०</t>
  </si>
  <si>
    <t>लाल बहादुर श्रेष्‍ठ</t>
  </si>
  <si>
    <t>मदन प्रसाद चौहान</t>
  </si>
  <si>
    <t>सुरेश प्रसाद</t>
  </si>
  <si>
    <t>४६८५</t>
  </si>
  <si>
    <t xml:space="preserve">दिनेश कुमार चौधरी </t>
  </si>
  <si>
    <t>५१४४</t>
  </si>
  <si>
    <t>प्रदुमन प्रसाद चौहान</t>
  </si>
  <si>
    <t>५५५४</t>
  </si>
  <si>
    <t>सिंगासन सा तेली</t>
  </si>
  <si>
    <t>६००४</t>
  </si>
  <si>
    <t>प्रमोद तिवारी</t>
  </si>
  <si>
    <t>४१४१</t>
  </si>
  <si>
    <t>राजेश मान सिंह</t>
  </si>
  <si>
    <t>४६२१५</t>
  </si>
  <si>
    <t>जसवन्त यादव</t>
  </si>
  <si>
    <t>रौतहट</t>
  </si>
  <si>
    <t>कौशल्‍या देवी</t>
  </si>
  <si>
    <t>६२८२</t>
  </si>
  <si>
    <t>अजय प्रकाश -</t>
  </si>
  <si>
    <t>२९</t>
  </si>
  <si>
    <t>७१७२</t>
  </si>
  <si>
    <t>श्याम प्रसाद यादव</t>
  </si>
  <si>
    <t>८६३१</t>
  </si>
  <si>
    <t>कन्थमनी प्रसाद कलवार</t>
  </si>
  <si>
    <t>४५६४</t>
  </si>
  <si>
    <t>सन्तलाल प्रसाद चौधरी</t>
  </si>
  <si>
    <t>५१४३</t>
  </si>
  <si>
    <t>शम्भु साह</t>
  </si>
  <si>
    <t>६३८१</t>
  </si>
  <si>
    <t>सञ्जय कुमार काफ्ले</t>
  </si>
  <si>
    <t>९१६३</t>
  </si>
  <si>
    <t>शम्भु कुमार सिंह</t>
  </si>
  <si>
    <t>४२०४</t>
  </si>
  <si>
    <t>प्रेमलाल साह कानु</t>
  </si>
  <si>
    <t>४२९२</t>
  </si>
  <si>
    <t>शेख वकिल</t>
  </si>
  <si>
    <t>६८२३</t>
  </si>
  <si>
    <t>गोपाल राय यादव</t>
  </si>
  <si>
    <t>४८५१</t>
  </si>
  <si>
    <t>बैजनाथ प्रसाद यादव</t>
  </si>
  <si>
    <t>४२८८</t>
  </si>
  <si>
    <t>रीना कुमारी साह</t>
  </si>
  <si>
    <t>५५६४</t>
  </si>
  <si>
    <t>महमद सउद</t>
  </si>
  <si>
    <t>२९२९</t>
  </si>
  <si>
    <t>भीखारी प्रसाद यादव</t>
  </si>
  <si>
    <t>६९९९</t>
  </si>
  <si>
    <t>मो. राजीक अ‍ालम</t>
  </si>
  <si>
    <t>६३३५</t>
  </si>
  <si>
    <t>विनोद प्रसाद कुर्मी</t>
  </si>
  <si>
    <t>६११२</t>
  </si>
  <si>
    <t>सप्तरी</t>
  </si>
  <si>
    <t xml:space="preserve">दिनानाथ चौधरी  </t>
  </si>
  <si>
    <t>४८७४</t>
  </si>
  <si>
    <t xml:space="preserve">ललन प्रसाद गुप्‍ता </t>
  </si>
  <si>
    <t>७८८९</t>
  </si>
  <si>
    <t>जय प्रकाश चौधरी थारु</t>
  </si>
  <si>
    <t>५८८२</t>
  </si>
  <si>
    <t>विद्दानन्द चौधरी</t>
  </si>
  <si>
    <t>२५</t>
  </si>
  <si>
    <t>२८९५</t>
  </si>
  <si>
    <t>राम लखन मलाह</t>
  </si>
  <si>
    <t>५८५४</t>
  </si>
  <si>
    <t>विजय कुमार यादव</t>
  </si>
  <si>
    <t>३५५६</t>
  </si>
  <si>
    <t>अरुण कुमार मंडल</t>
  </si>
  <si>
    <t>अातेश कुमार सिह</t>
  </si>
  <si>
    <t>५६९३</t>
  </si>
  <si>
    <t>सुनिल कुमार मण्डल</t>
  </si>
  <si>
    <t>४५७०</t>
  </si>
  <si>
    <t>ओम प्रकाश मण्डल</t>
  </si>
  <si>
    <t>४१४९</t>
  </si>
  <si>
    <t>भिमराज यादव</t>
  </si>
  <si>
    <t>९६२४</t>
  </si>
  <si>
    <t>दिनेश कुमार यादव</t>
  </si>
  <si>
    <t>४२६९</t>
  </si>
  <si>
    <t>जनमत पार्टी (जपा)</t>
  </si>
  <si>
    <t>खेम चन्द्र यादव</t>
  </si>
  <si>
    <t>२९९४</t>
  </si>
  <si>
    <t>उमेश प्रसाद यादव</t>
  </si>
  <si>
    <t>३१६४</t>
  </si>
  <si>
    <t>जितेन्द्र प्रसाद गुप्ता कलवार</t>
  </si>
  <si>
    <t>५३९२</t>
  </si>
  <si>
    <t>कृष्ण प्रसाद ढकाल</t>
  </si>
  <si>
    <t>४४६९</t>
  </si>
  <si>
    <t>गीता चौधरी</t>
  </si>
  <si>
    <t>७२९२</t>
  </si>
  <si>
    <t>विरेन्द्र माझी</t>
  </si>
  <si>
    <t>६४०७</t>
  </si>
  <si>
    <t>सर्लाही</t>
  </si>
  <si>
    <t>धिरेन्द्र राय</t>
  </si>
  <si>
    <t>२४६६</t>
  </si>
  <si>
    <t>मनोज कुमार अचार्य</t>
  </si>
  <si>
    <t>८४८०</t>
  </si>
  <si>
    <t>ब्रम्ह देव राय</t>
  </si>
  <si>
    <t>६४४४</t>
  </si>
  <si>
    <t>रुपेश कुमार</t>
  </si>
  <si>
    <t>५२८१</t>
  </si>
  <si>
    <t>देवेन्द्र कुमार यादव</t>
  </si>
  <si>
    <t>५२९४</t>
  </si>
  <si>
    <t>कृष्ण कुमार यादव</t>
  </si>
  <si>
    <t>५९१५</t>
  </si>
  <si>
    <t>राज कुमार महतो</t>
  </si>
  <si>
    <t>३९९५</t>
  </si>
  <si>
    <t>रामआश्रय साह</t>
  </si>
  <si>
    <t>७८</t>
  </si>
  <si>
    <t>४४७७</t>
  </si>
  <si>
    <t>कल्पना कुमारी कटुवाल</t>
  </si>
  <si>
    <t>१२२७३</t>
  </si>
  <si>
    <t>रामा शंकर प्रसाद कुशवाहा</t>
  </si>
  <si>
    <t>४६४३</t>
  </si>
  <si>
    <t>राम सिहासन राय</t>
  </si>
  <si>
    <t>४९४६</t>
  </si>
  <si>
    <t>११३५७</t>
  </si>
  <si>
    <t>राम पदारथ साह तेली</t>
  </si>
  <si>
    <t>८०</t>
  </si>
  <si>
    <t>४६६८</t>
  </si>
  <si>
    <t>नागेन्द्र प्रसाद यादव</t>
  </si>
  <si>
    <t>९०७८</t>
  </si>
  <si>
    <t>राजा बाबु यादव</t>
  </si>
  <si>
    <t>२२</t>
  </si>
  <si>
    <t>४०८१</t>
  </si>
  <si>
    <t>वासु देव अधिकारी</t>
  </si>
  <si>
    <t>९५६१</t>
  </si>
  <si>
    <t>जवाहर लाल यादव</t>
  </si>
  <si>
    <t>३२११</t>
  </si>
  <si>
    <t>गोपाल पजियार</t>
  </si>
  <si>
    <t>६९३८</t>
  </si>
  <si>
    <t>विनोद कुमार साह तेली</t>
  </si>
  <si>
    <t>५०९९</t>
  </si>
  <si>
    <t>रमेश वुढाथोकी</t>
  </si>
  <si>
    <t>७००२</t>
  </si>
  <si>
    <t>सिरहा</t>
  </si>
  <si>
    <t>राम पुकार साह तेली</t>
  </si>
  <si>
    <t>५८८३</t>
  </si>
  <si>
    <t>नवीन कुमार यादव</t>
  </si>
  <si>
    <t>१११४३</t>
  </si>
  <si>
    <t>अशोक कुमार यादव</t>
  </si>
  <si>
    <t>३२३३</t>
  </si>
  <si>
    <t>शिबजी यादव</t>
  </si>
  <si>
    <t>३४६०</t>
  </si>
  <si>
    <t>भोला प्रसाद पोखरेल</t>
  </si>
  <si>
    <t>३८३९</t>
  </si>
  <si>
    <t>श्‍याम कुमार श्रेष्‍ठ</t>
  </si>
  <si>
    <t>७९०८</t>
  </si>
  <si>
    <t>शिव शंकर महतो</t>
  </si>
  <si>
    <t>७०५६</t>
  </si>
  <si>
    <t>राम प्रमोद यादव</t>
  </si>
  <si>
    <t>२६९५</t>
  </si>
  <si>
    <t>शिव उदगार यादव</t>
  </si>
  <si>
    <t>४५५४</t>
  </si>
  <si>
    <t>सन्तोष कुमार महतो</t>
  </si>
  <si>
    <t>३८४४</t>
  </si>
  <si>
    <t>उग्र नारायण यादव</t>
  </si>
  <si>
    <t>४३०२</t>
  </si>
  <si>
    <t>श्रवण कुमार यादव</t>
  </si>
  <si>
    <t>५२३३</t>
  </si>
  <si>
    <t>चतुरानन्द ठाकुर</t>
  </si>
  <si>
    <t>३८४५</t>
  </si>
  <si>
    <t>महेश प्रसाद चौधरी</t>
  </si>
  <si>
    <t>२०१०५</t>
  </si>
  <si>
    <t>सत्य नारायण यादव</t>
  </si>
  <si>
    <t>२१५८</t>
  </si>
  <si>
    <t>केदार नाथ यादव</t>
  </si>
  <si>
    <t>३४०७</t>
  </si>
  <si>
    <t>राम औतार यादव</t>
  </si>
  <si>
    <t>४४३४</t>
  </si>
  <si>
    <t>सुदूरपश्चिम</t>
  </si>
  <si>
    <t>अछाम</t>
  </si>
  <si>
    <t>भिम बहादुर साउंद</t>
  </si>
  <si>
    <t>३९८२</t>
  </si>
  <si>
    <t>९८४८७०१२१८.०</t>
  </si>
  <si>
    <t>https://chaurpatimun.gov.np</t>
  </si>
  <si>
    <t>प्रकाश बहादुर साउँद</t>
  </si>
  <si>
    <t>९८६०३७१२८२.०</t>
  </si>
  <si>
    <t>https://dhakarimun.gov.np</t>
  </si>
  <si>
    <t>https://kamalbazarmun.gov.np/en</t>
  </si>
  <si>
    <t>डम्बर बहादुर बि सी</t>
  </si>
  <si>
    <t>३५२३</t>
  </si>
  <si>
    <t>९८४८६९०५८८.०</t>
  </si>
  <si>
    <t>https://turmakhadmun.gov.np</t>
  </si>
  <si>
    <t>अम्विका कुमारी चलाउने</t>
  </si>
  <si>
    <t>३६५३</t>
  </si>
  <si>
    <t>९८५११०१३८३.०</t>
  </si>
  <si>
    <t>http://panchadewalbinayakmun.gov.np</t>
  </si>
  <si>
    <t>टेक बहादुर साउँद</t>
  </si>
  <si>
    <t>३११२</t>
  </si>
  <si>
    <t>पदम बहादुर बोहरा</t>
  </si>
  <si>
    <t>५७३७</t>
  </si>
  <si>
    <t>९८६८५२३०५३.०</t>
  </si>
  <si>
    <t>http://mangalsenmun.gov.np</t>
  </si>
  <si>
    <t>ज्वाला सिंह साउद</t>
  </si>
  <si>
    <t>मान बहादुर साउद</t>
  </si>
  <si>
    <t>३१२७</t>
  </si>
  <si>
    <t>राजेन्द्र बहादुर कुवँर</t>
  </si>
  <si>
    <t>११४७</t>
  </si>
  <si>
    <t>९८४८६४९०२३.०</t>
  </si>
  <si>
    <t>http://sanfebagarmun.gov.np</t>
  </si>
  <si>
    <t>बैतडी</t>
  </si>
  <si>
    <t>सन्तोष प्रकाश जोशी</t>
  </si>
  <si>
    <t>३१८९</t>
  </si>
  <si>
    <t>पुषकर राज जोशी</t>
  </si>
  <si>
    <t>६५८५</t>
  </si>
  <si>
    <t>चक्र बहादुर कार्की</t>
  </si>
  <si>
    <t>४९१७</t>
  </si>
  <si>
    <t>गोरख बहादुर चन्द</t>
  </si>
  <si>
    <t>३७८२</t>
  </si>
  <si>
    <t>गौरी सिंह रावल</t>
  </si>
  <si>
    <t>६८६९</t>
  </si>
  <si>
    <t>दीपक बहादुर बम</t>
  </si>
  <si>
    <t>५८८०</t>
  </si>
  <si>
    <t>भीम बहादुर चन्द</t>
  </si>
  <si>
    <t>३०१०</t>
  </si>
  <si>
    <t>कर्ण सिंह साउद</t>
  </si>
  <si>
    <t>३१६५</t>
  </si>
  <si>
    <t>हरी सिंह धामी</t>
  </si>
  <si>
    <t>३४४९</t>
  </si>
  <si>
    <t>अम्मर बहादुर कुवंर</t>
  </si>
  <si>
    <t>२३५०</t>
  </si>
  <si>
    <t>बझाङ</t>
  </si>
  <si>
    <t>गणेश बहादुर बोहरा</t>
  </si>
  <si>
    <t>४३२१</t>
  </si>
  <si>
    <t>उत्तम बहादुर रोकाया</t>
  </si>
  <si>
    <t>३१४१</t>
  </si>
  <si>
    <t>बसन्‍त बहादुर चलाउने</t>
  </si>
  <si>
    <t>३६८४</t>
  </si>
  <si>
    <t>चेतराज बजाल</t>
  </si>
  <si>
    <t>४९७०</t>
  </si>
  <si>
    <t>कलक बहादुर रोकाया</t>
  </si>
  <si>
    <t>२७५९</t>
  </si>
  <si>
    <t>प्रकाश बहादुर रोकाया</t>
  </si>
  <si>
    <t>२७७४</t>
  </si>
  <si>
    <t>दिल बहादुर थापा</t>
  </si>
  <si>
    <t>२८२३</t>
  </si>
  <si>
    <t>जय बहादुर धामी</t>
  </si>
  <si>
    <t>७६१५</t>
  </si>
  <si>
    <t>ज्ञान बहादुर बोहरा</t>
  </si>
  <si>
    <t>३०८३</t>
  </si>
  <si>
    <t>अम्मर सिंह महर</t>
  </si>
  <si>
    <t>३१५९</t>
  </si>
  <si>
    <t>मानविर बोहरा</t>
  </si>
  <si>
    <t>६७५</t>
  </si>
  <si>
    <t>खडक बहादुर बोहरा</t>
  </si>
  <si>
    <t>२३००</t>
  </si>
  <si>
    <t>बाजुरा</t>
  </si>
  <si>
    <t>दिल बहादुर रावत</t>
  </si>
  <si>
    <t>३७४६</t>
  </si>
  <si>
    <t>हरी वहादुर रोकाया</t>
  </si>
  <si>
    <t>३४३४</t>
  </si>
  <si>
    <t>काली बहादुर शाही</t>
  </si>
  <si>
    <t>२३१९</t>
  </si>
  <si>
    <t>कर्ण बहादुर थापा</t>
  </si>
  <si>
    <t>४७६१</t>
  </si>
  <si>
    <t>अमर वहादुर खड्का</t>
  </si>
  <si>
    <t>४०१९</t>
  </si>
  <si>
    <t>जनक कुमार बोहरा</t>
  </si>
  <si>
    <t>५११५</t>
  </si>
  <si>
    <t>भरत बहादुर रोकाया</t>
  </si>
  <si>
    <t>२०११</t>
  </si>
  <si>
    <t>गोबिन्द बहादुर मल्ल</t>
  </si>
  <si>
    <t>२३८४</t>
  </si>
  <si>
    <t>डडेल्धुरा</t>
  </si>
  <si>
    <t>डिल्ली राज जोशी</t>
  </si>
  <si>
    <t>३६१९</t>
  </si>
  <si>
    <t>उमेश प्रसाद भट्ट</t>
  </si>
  <si>
    <t>२४६९</t>
  </si>
  <si>
    <t>शेर सिंह पार्की</t>
  </si>
  <si>
    <t>२३८९</t>
  </si>
  <si>
    <t>ईन्द्र बहादुर कार्की</t>
  </si>
  <si>
    <t>३१८४</t>
  </si>
  <si>
    <t>लक्ष्मी प्रसाद अवस्थी</t>
  </si>
  <si>
    <t>२८७९</t>
  </si>
  <si>
    <t>भरत बडायर जोशी</t>
  </si>
  <si>
    <t>५९४१</t>
  </si>
  <si>
    <t>हेम राज चटौत</t>
  </si>
  <si>
    <t>२३११</t>
  </si>
  <si>
    <t>दार्चुला</t>
  </si>
  <si>
    <t>भक्त सि‌ह ठेकरे (बोहरा)</t>
  </si>
  <si>
    <t>२३१२</t>
  </si>
  <si>
    <t>नरेन्द्र वहादुर सिह वडाल</t>
  </si>
  <si>
    <t>२८८६</t>
  </si>
  <si>
    <t>दलजीत सिंह धामी</t>
  </si>
  <si>
    <t>३७८३</t>
  </si>
  <si>
    <t>मंगल सिंह धामी</t>
  </si>
  <si>
    <t>नर सिंह चैंसिर</t>
  </si>
  <si>
    <t>५००३</t>
  </si>
  <si>
    <t>जमन सिंह धामी</t>
  </si>
  <si>
    <t>३६१६</t>
  </si>
  <si>
    <t>हिरा सिंह धामी</t>
  </si>
  <si>
    <t>४०३४</t>
  </si>
  <si>
    <t>राम दत्त जोशी</t>
  </si>
  <si>
    <t>२९७६</t>
  </si>
  <si>
    <t>विजय सिह धामी</t>
  </si>
  <si>
    <t>५५०९</t>
  </si>
  <si>
    <t>डोटी</t>
  </si>
  <si>
    <t>गणेश वहादुर खड्का</t>
  </si>
  <si>
    <t>३७७३</t>
  </si>
  <si>
    <t>लोकेन्द्र बहादुर शाही</t>
  </si>
  <si>
    <t>४२६३</t>
  </si>
  <si>
    <t>दुर्गा दत्त ओझा</t>
  </si>
  <si>
    <t xml:space="preserve">बाजी  सिं  खड्का </t>
  </si>
  <si>
    <t>५१३८</t>
  </si>
  <si>
    <t>राम प्रसाद उपाध्याय</t>
  </si>
  <si>
    <t>५१३३</t>
  </si>
  <si>
    <t xml:space="preserve">भैरव बहादुर  साउँद </t>
  </si>
  <si>
    <t>२३४३</t>
  </si>
  <si>
    <t>कमल बहादूर गडसीला</t>
  </si>
  <si>
    <t>२०५८</t>
  </si>
  <si>
    <t>दिर्घ बहादुर बलायर</t>
  </si>
  <si>
    <t>६५६२</t>
  </si>
  <si>
    <t>धर्म राज जोशी</t>
  </si>
  <si>
    <t>३२४३</t>
  </si>
  <si>
    <t>कैलाली</t>
  </si>
  <si>
    <t>राज समझ चौधरी</t>
  </si>
  <si>
    <t>१०४९२</t>
  </si>
  <si>
    <t>विरेन्द्र भट्ट</t>
  </si>
  <si>
    <t>१५५०१</t>
  </si>
  <si>
    <t>देवी दत्त कडेल</t>
  </si>
  <si>
    <t>१३७९५</t>
  </si>
  <si>
    <t>खडक बहादुर रावत</t>
  </si>
  <si>
    <t>१३१२८</t>
  </si>
  <si>
    <t>चक्र बहादुर बोगटी</t>
  </si>
  <si>
    <t>३३०५</t>
  </si>
  <si>
    <t>नागरिक उन्मुक्ति पार्टी</t>
  </si>
  <si>
    <t>गणेश चौधरी</t>
  </si>
  <si>
    <t>७१५१</t>
  </si>
  <si>
    <t>चित्र बहादुर चौधरी</t>
  </si>
  <si>
    <t>४९०३</t>
  </si>
  <si>
    <t>रामलाल डगौरा थारु</t>
  </si>
  <si>
    <t>९६४२</t>
  </si>
  <si>
    <t>गोपाल हमाल</t>
  </si>
  <si>
    <t>२६८६५</t>
  </si>
  <si>
    <t>कर्ण वहादुर कुँवर</t>
  </si>
  <si>
    <t>५८४२</t>
  </si>
  <si>
    <t>केवल चौधरी</t>
  </si>
  <si>
    <t>८९६६</t>
  </si>
  <si>
    <t>देवी दत्त उपाध्याय</t>
  </si>
  <si>
    <t>३१३४</t>
  </si>
  <si>
    <t>सुशिला शाही</t>
  </si>
  <si>
    <t>१२७१३</t>
  </si>
  <si>
    <t>कञ्चनपुर</t>
  </si>
  <si>
    <t>हेम राज ओझा</t>
  </si>
  <si>
    <t>१०३३४</t>
  </si>
  <si>
    <t>किशोर कुमार लिम्वु</t>
  </si>
  <si>
    <t>७१०४</t>
  </si>
  <si>
    <t>तोय प्रसाद शर्मा</t>
  </si>
  <si>
    <t>१०००६</t>
  </si>
  <si>
    <t>हरिश चन्द्र राना</t>
  </si>
  <si>
    <t>४१०३</t>
  </si>
  <si>
    <t>पोती लाल चौधरी</t>
  </si>
  <si>
    <t>८७८७</t>
  </si>
  <si>
    <t>पदम वोगटी</t>
  </si>
  <si>
    <t>१५८८२</t>
  </si>
  <si>
    <t>निर्मल राना</t>
  </si>
  <si>
    <t>४५१६</t>
  </si>
  <si>
    <t>भोज राज बोहरा</t>
  </si>
  <si>
    <t>८०७८</t>
  </si>
  <si>
    <t>रण बहादुर महरा</t>
  </si>
  <si>
    <t>६७७३</t>
  </si>
  <si>
    <t>प्रदेश</t>
  </si>
  <si>
    <t>कुल_मतहरू</t>
  </si>
  <si>
    <t>सम्पर्क_नम्बर</t>
  </si>
  <si>
    <t>official_website</t>
  </si>
  <si>
    <t>राजनीतिक_पार्टी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</si>
</sst>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selection activeCell="E1" sqref="E1"/>
    </sheetView>
  </sheetViews>
  <sheetFormatPr defaultColWidth="14.42578125" defaultRowHeight="15" customHeight="1"/>
  <cols>
    <col min="1" max="1" width="14.85546875" customWidth="1"/>
    <col min="2" max="2" width="11.5703125" customWidth="1"/>
    <col min="3" max="3" width="26.7109375" customWidth="1"/>
    <col min="4" max="4" width="11.5703125" style="5" customWidth="1"/>
    <col min="5" max="5" width="30" customWidth="1"/>
    <col min="6" max="6" width="19.42578125" customWidth="1"/>
    <col min="7" max="7" width="16.42578125" customWidth="1"/>
    <col min="8" max="8" width="10.7109375" customWidth="1"/>
    <col min="9" max="9" width="15.7109375" customWidth="1"/>
    <col min="10" max="10" width="14" customWidth="1"/>
    <col min="11" max="11" width="15.140625" customWidth="1"/>
    <col min="12" max="19" width="8.7109375" customWidth="1"/>
  </cols>
  <sheetData>
    <row r="1" spans="1:11">
      <c r="A1" s="6" t="s">
        <v>1634</v>
      </c>
      <c r="B1" s="6" t="s">
        <v>0</v>
      </c>
      <c r="C1" s="1" t="str">
        <f ca="1">IFERROR(E5__xludf.DUMMYFUNCTION("googletranslate(C1,""en"",""ne"")"),"स्थानीय_इकाई")</f>
        <v>स्थानीय_इकाई</v>
      </c>
      <c r="D1" s="4" t="str">
        <f ca="1">IFERROR(__xludf.DUMMYFUNCTION("googletranslate(D1,""en"",""ne"")"),"स्थिति")</f>
        <v>स्थिति</v>
      </c>
      <c r="E1" s="6" t="s">
        <v>1638</v>
      </c>
      <c r="F1" s="6" t="s">
        <v>1</v>
      </c>
      <c r="G1" s="6" t="s">
        <v>2</v>
      </c>
      <c r="H1" s="6" t="s">
        <v>3</v>
      </c>
      <c r="I1" s="6" t="s">
        <v>1635</v>
      </c>
      <c r="J1" s="6" t="s">
        <v>1636</v>
      </c>
      <c r="K1" s="6" t="s">
        <v>1637</v>
      </c>
    </row>
    <row r="2" spans="1:11">
      <c r="A2" s="2" t="s">
        <v>4</v>
      </c>
      <c r="B2" s="2" t="s">
        <v>5</v>
      </c>
      <c r="C2" s="2" t="str">
        <f ca="1">IFERROR(__xludf.DUMMYFUNCTION("googletranslate(C2,""en"",""ne"")"),"भक्तपुर नगरपालिका")</f>
        <v>भक्तपुर नगरपालिका</v>
      </c>
      <c r="D2" s="3" t="str">
        <f ca="1">IFERROR(__xludf.DUMMYFUNCTION("googletranslate(D2,""en"",""ne"")"),"मेयर")</f>
        <v>मेयर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1">
      <c r="A3" s="2" t="s">
        <v>4</v>
      </c>
      <c r="B3" s="2" t="s">
        <v>5</v>
      </c>
      <c r="C3" s="2" t="str">
        <f ca="1">IFERROR(__xludf.DUMMYFUNCTION("googletranslate(C3,""en"",""ne"")"),"चाँगुनारायण नगरपालिका")</f>
        <v>चाँगुनारायण नगरपालिका</v>
      </c>
      <c r="D3" s="3" t="str">
        <f ca="1">IFERROR(__xludf.DUMMYFUNCTION("googletranslate(D3,""en"",""ne"")"),"मेयर")</f>
        <v>मेयर</v>
      </c>
      <c r="E3" s="2" t="s">
        <v>11</v>
      </c>
      <c r="F3" s="2" t="s">
        <v>12</v>
      </c>
      <c r="G3" s="2" t="s">
        <v>8</v>
      </c>
      <c r="H3" s="2" t="s">
        <v>13</v>
      </c>
      <c r="I3" s="2" t="s">
        <v>14</v>
      </c>
    </row>
    <row r="4" spans="1:11">
      <c r="A4" s="2" t="s">
        <v>4</v>
      </c>
      <c r="B4" s="2" t="s">
        <v>5</v>
      </c>
      <c r="C4" s="2" t="str">
        <f ca="1">IFERROR(__xludf.DUMMYFUNCTION("googletranslate(C4,""en"",""ne"")"),"मध्यपुरथिमि नगरपालिका")</f>
        <v>मध्यपुरथिमि नगरपालिका</v>
      </c>
      <c r="D4" s="3" t="str">
        <f ca="1">IFERROR(__xludf.DUMMYFUNCTION("googletranslate(D4,""en"",""ne"")"),"मेयर")</f>
        <v>मेयर</v>
      </c>
      <c r="E4" s="2" t="s">
        <v>11</v>
      </c>
      <c r="F4" s="2" t="s">
        <v>15</v>
      </c>
      <c r="G4" s="2" t="s">
        <v>8</v>
      </c>
      <c r="H4" s="2" t="s">
        <v>16</v>
      </c>
      <c r="I4" s="2" t="s">
        <v>17</v>
      </c>
    </row>
    <row r="5" spans="1:11">
      <c r="A5" s="2" t="s">
        <v>4</v>
      </c>
      <c r="B5" s="2" t="s">
        <v>5</v>
      </c>
      <c r="C5" s="2" t="str">
        <f ca="1">IFERROR(__xludf.DUMMYFUNCTION("googletranslate(C5,""en"",""ne"")"),"सूर्यविनायक नगरपालिका")</f>
        <v>सूर्यविनायक नगरपालिका</v>
      </c>
      <c r="D5" s="3" t="str">
        <f ca="1">IFERROR(__xludf.DUMMYFUNCTION("googletranslate(D5,""en"",""ne"")"),"मेयर")</f>
        <v>मेयर</v>
      </c>
      <c r="E5" s="2" t="s">
        <v>18</v>
      </c>
      <c r="F5" s="2" t="s">
        <v>19</v>
      </c>
      <c r="G5" s="2" t="s">
        <v>8</v>
      </c>
      <c r="H5" s="2" t="s">
        <v>9</v>
      </c>
      <c r="I5" s="2" t="s">
        <v>20</v>
      </c>
    </row>
    <row r="6" spans="1:11">
      <c r="A6" s="2" t="s">
        <v>4</v>
      </c>
      <c r="B6" s="2" t="s">
        <v>21</v>
      </c>
      <c r="C6" s="2" t="str">
        <f ca="1">IFERROR(__xludf.DUMMYFUNCTION("googletranslate(C6,""en"",""ne"")"),"इच्छाकामना गाउँपालिका")</f>
        <v>इच्छाकामना गाउँपालिका</v>
      </c>
      <c r="D6" s="3" t="str">
        <f ca="1">IFERROR(__xludf.DUMMYFUNCTION("googletranslate(D6,""en"",""ne"")"),"अध्यक्ष")</f>
        <v>अध्यक्ष</v>
      </c>
      <c r="E6" s="2" t="s">
        <v>18</v>
      </c>
      <c r="F6" s="2" t="s">
        <v>22</v>
      </c>
      <c r="G6" s="2" t="s">
        <v>8</v>
      </c>
      <c r="H6" s="2" t="s">
        <v>23</v>
      </c>
      <c r="I6" s="2" t="s">
        <v>24</v>
      </c>
    </row>
    <row r="7" spans="1:11">
      <c r="A7" s="2" t="s">
        <v>4</v>
      </c>
      <c r="B7" s="2" t="s">
        <v>21</v>
      </c>
      <c r="C7" s="2" t="str">
        <f ca="1">IFERROR(__xludf.DUMMYFUNCTION("googletranslate(C7,""en"",""ne"")"),"कालिका नगरपालिका")</f>
        <v>कालिका नगरपालिका</v>
      </c>
      <c r="D7" s="3" t="str">
        <f ca="1">IFERROR(__xludf.DUMMYFUNCTION("googletranslate(D7,""en"",""ne"")"),"मेयर")</f>
        <v>मेयर</v>
      </c>
      <c r="E7" s="2" t="s">
        <v>18</v>
      </c>
      <c r="F7" s="2" t="s">
        <v>25</v>
      </c>
      <c r="G7" s="2" t="s">
        <v>8</v>
      </c>
      <c r="H7" s="2" t="s">
        <v>26</v>
      </c>
      <c r="I7" s="2" t="s">
        <v>27</v>
      </c>
    </row>
    <row r="8" spans="1:11">
      <c r="A8" s="2" t="s">
        <v>4</v>
      </c>
      <c r="B8" s="2" t="s">
        <v>21</v>
      </c>
      <c r="C8" s="2" t="str">
        <f ca="1">IFERROR(__xludf.DUMMYFUNCTION("googletranslate(C8,""en"",""ne"")"),"खैरहनी नगरपालिका")</f>
        <v>खैरहनी नगरपालिका</v>
      </c>
      <c r="D8" s="3" t="str">
        <f ca="1">IFERROR(__xludf.DUMMYFUNCTION("googletranslate(D8,""en"",""ne"")"),"मेयर")</f>
        <v>मेयर</v>
      </c>
      <c r="E8" s="2" t="s">
        <v>11</v>
      </c>
      <c r="F8" s="2" t="s">
        <v>28</v>
      </c>
      <c r="G8" s="2" t="s">
        <v>8</v>
      </c>
      <c r="H8" s="2" t="s">
        <v>13</v>
      </c>
      <c r="I8" s="2" t="s">
        <v>29</v>
      </c>
    </row>
    <row r="9" spans="1:11">
      <c r="A9" s="2" t="s">
        <v>4</v>
      </c>
      <c r="B9" s="2" t="s">
        <v>21</v>
      </c>
      <c r="C9" s="2" t="str">
        <f ca="1">IFERROR(__xludf.DUMMYFUNCTION("googletranslate(C9,""en"",""ne"")"),"भरतपुर महानगरपालिका")</f>
        <v>भरतपुर महानगरपालिका</v>
      </c>
      <c r="D9" s="3" t="str">
        <f ca="1">IFERROR(__xludf.DUMMYFUNCTION("googletranslate(D9,""en"",""ne"")"),"मेयर")</f>
        <v>मेयर</v>
      </c>
      <c r="E9" s="2" t="s">
        <v>30</v>
      </c>
      <c r="F9" s="2" t="s">
        <v>31</v>
      </c>
      <c r="G9" s="2" t="s">
        <v>32</v>
      </c>
      <c r="H9" s="2" t="s">
        <v>33</v>
      </c>
      <c r="I9" s="2" t="s">
        <v>34</v>
      </c>
    </row>
    <row r="10" spans="1:11">
      <c r="A10" s="2" t="s">
        <v>4</v>
      </c>
      <c r="B10" s="2" t="s">
        <v>21</v>
      </c>
      <c r="C10" s="2" t="str">
        <f ca="1">IFERROR(__xludf.DUMMYFUNCTION("googletranslate(C10,""en"",""ne"")"),"माडी नगरपालिका")</f>
        <v>माडी नगरपालिका</v>
      </c>
      <c r="D10" s="3" t="str">
        <f ca="1">IFERROR(__xludf.DUMMYFUNCTION("googletranslate(D10,""en"",""ne"")"),"मेयर")</f>
        <v>मेयर</v>
      </c>
      <c r="E10" s="2" t="s">
        <v>18</v>
      </c>
      <c r="F10" s="2" t="s">
        <v>35</v>
      </c>
      <c r="G10" s="2" t="s">
        <v>32</v>
      </c>
      <c r="H10" s="2" t="s">
        <v>16</v>
      </c>
      <c r="I10" s="2" t="s">
        <v>36</v>
      </c>
    </row>
    <row r="11" spans="1:11">
      <c r="A11" s="2" t="s">
        <v>4</v>
      </c>
      <c r="B11" s="2" t="s">
        <v>21</v>
      </c>
      <c r="C11" s="2" t="str">
        <f ca="1">IFERROR(__xludf.DUMMYFUNCTION("googletranslate(C11,""en"",""ne"")"),"रत्ननगर नगरपालिका")</f>
        <v>रत्ननगर नगरपालिका</v>
      </c>
      <c r="D11" s="3" t="str">
        <f ca="1">IFERROR(__xludf.DUMMYFUNCTION("googletranslate(D11,""en"",""ne"")"),"मेयर")</f>
        <v>मेयर</v>
      </c>
      <c r="E11" s="2" t="s">
        <v>11</v>
      </c>
      <c r="F11" s="2" t="s">
        <v>37</v>
      </c>
      <c r="G11" s="2" t="s">
        <v>8</v>
      </c>
      <c r="H11" s="2" t="s">
        <v>16</v>
      </c>
      <c r="I11" s="2" t="s">
        <v>38</v>
      </c>
    </row>
    <row r="12" spans="1:11">
      <c r="A12" s="2" t="s">
        <v>4</v>
      </c>
      <c r="B12" s="2" t="s">
        <v>21</v>
      </c>
      <c r="C12" s="2" t="str">
        <f ca="1">IFERROR(__xludf.DUMMYFUNCTION("googletranslate(C12,""en"",""ne"")"),"राप्ती नगरपालिका")</f>
        <v>राप्ती नगरपालिका</v>
      </c>
      <c r="D12" s="3" t="str">
        <f ca="1">IFERROR(__xludf.DUMMYFUNCTION("googletranslate(D12,""en"",""ne"")"),"मेयर")</f>
        <v>मेयर</v>
      </c>
      <c r="E12" s="2" t="s">
        <v>39</v>
      </c>
      <c r="F12" s="2" t="s">
        <v>40</v>
      </c>
      <c r="G12" s="2" t="s">
        <v>8</v>
      </c>
      <c r="H12" s="2" t="s">
        <v>41</v>
      </c>
      <c r="I12" s="2" t="s">
        <v>42</v>
      </c>
    </row>
    <row r="13" spans="1:11">
      <c r="A13" s="2" t="s">
        <v>4</v>
      </c>
      <c r="B13" s="2" t="s">
        <v>43</v>
      </c>
      <c r="C13" s="2" t="str">
        <f ca="1">IFERROR(__xludf.DUMMYFUNCTION("googletranslate(C13,""en"",""ne"")"),"खनियाबास गाउँपालिका")</f>
        <v>खनियाबास गाउँपालिका</v>
      </c>
      <c r="D13" s="3" t="str">
        <f ca="1">IFERROR(__xludf.DUMMYFUNCTION("googletranslate(D13,""en"",""ne"")"),"अध्यक्ष")</f>
        <v>अध्यक्ष</v>
      </c>
      <c r="E13" s="2" t="s">
        <v>11</v>
      </c>
      <c r="F13" s="2" t="s">
        <v>44</v>
      </c>
      <c r="G13" s="2" t="s">
        <v>8</v>
      </c>
      <c r="H13" s="2" t="s">
        <v>45</v>
      </c>
      <c r="I13" s="2" t="s">
        <v>46</v>
      </c>
    </row>
    <row r="14" spans="1:11">
      <c r="A14" s="2" t="s">
        <v>4</v>
      </c>
      <c r="B14" s="2" t="s">
        <v>43</v>
      </c>
      <c r="C14" s="2" t="str">
        <f ca="1">IFERROR(__xludf.DUMMYFUNCTION("googletranslate(C14,""en"",""ne"")"),"गङ्गाजमुना गाउँपालिका")</f>
        <v>गङ्गाजमुना गाउँपालिका</v>
      </c>
      <c r="D14" s="3" t="str">
        <f ca="1">IFERROR(__xludf.DUMMYFUNCTION("googletranslate(D14,""en"",""ne"")"),"अध्यक्ष")</f>
        <v>अध्यक्ष</v>
      </c>
      <c r="E14" s="2" t="s">
        <v>11</v>
      </c>
      <c r="F14" s="2" t="s">
        <v>47</v>
      </c>
      <c r="G14" s="2" t="s">
        <v>8</v>
      </c>
      <c r="H14" s="2" t="s">
        <v>9</v>
      </c>
      <c r="I14" s="2" t="s">
        <v>48</v>
      </c>
    </row>
    <row r="15" spans="1:11">
      <c r="A15" s="2" t="s">
        <v>4</v>
      </c>
      <c r="B15" s="2" t="s">
        <v>43</v>
      </c>
      <c r="C15" s="2" t="str">
        <f ca="1">IFERROR(__xludf.DUMMYFUNCTION("googletranslate(C15,""en"",""ne"")"),"गजुरी गाउँपालिका")</f>
        <v>गजुरी गाउँपालिका</v>
      </c>
      <c r="D15" s="3" t="str">
        <f ca="1">IFERROR(__xludf.DUMMYFUNCTION("googletranslate(D15,""en"",""ne"")"),"अध्यक्ष")</f>
        <v>अध्यक्ष</v>
      </c>
      <c r="E15" s="2" t="s">
        <v>30</v>
      </c>
      <c r="F15" s="2" t="s">
        <v>49</v>
      </c>
      <c r="G15" s="2" t="s">
        <v>8</v>
      </c>
      <c r="H15" s="2" t="s">
        <v>50</v>
      </c>
      <c r="I15" s="2" t="s">
        <v>51</v>
      </c>
    </row>
    <row r="16" spans="1:11">
      <c r="A16" s="2" t="s">
        <v>4</v>
      </c>
      <c r="B16" s="2" t="s">
        <v>43</v>
      </c>
      <c r="C16" s="2" t="str">
        <f ca="1">IFERROR(__xludf.DUMMYFUNCTION("googletranslate(C16,""en"",""ne"")"),"गल्ली गाउँपालिका")</f>
        <v>गल्ली गाउँपालिका</v>
      </c>
      <c r="D16" s="3" t="str">
        <f ca="1">IFERROR(__xludf.DUMMYFUNCTION("googletranslate(D16,""en"",""ne"")"),"अध्यक्ष")</f>
        <v>अध्यक्ष</v>
      </c>
      <c r="E16" s="2" t="s">
        <v>18</v>
      </c>
      <c r="F16" s="2" t="s">
        <v>52</v>
      </c>
      <c r="G16" s="2" t="s">
        <v>8</v>
      </c>
      <c r="H16" s="2" t="s">
        <v>9</v>
      </c>
      <c r="I16" s="2" t="s">
        <v>53</v>
      </c>
    </row>
    <row r="17" spans="1:9">
      <c r="A17" s="2" t="s">
        <v>4</v>
      </c>
      <c r="B17" s="2" t="s">
        <v>43</v>
      </c>
      <c r="C17" s="2" t="str">
        <f ca="1">IFERROR(__xludf.DUMMYFUNCTION("googletranslate(C17,""en"",""ne"")"),"ज्वालामूखी गाउँपालिका")</f>
        <v>ज्वालामूखी गाउँपालिका</v>
      </c>
      <c r="D17" s="3" t="str">
        <f ca="1">IFERROR(__xludf.DUMMYFUNCTION("googletranslate(D17,""en"",""ne"")"),"अध्यक्ष")</f>
        <v>अध्यक्ष</v>
      </c>
      <c r="E17" s="2" t="s">
        <v>11</v>
      </c>
      <c r="F17" s="2" t="s">
        <v>54</v>
      </c>
      <c r="G17" s="2" t="s">
        <v>8</v>
      </c>
      <c r="H17" s="2" t="s">
        <v>55</v>
      </c>
      <c r="I17" s="2" t="s">
        <v>56</v>
      </c>
    </row>
    <row r="18" spans="1:9">
      <c r="A18" s="2" t="s">
        <v>4</v>
      </c>
      <c r="B18" s="2" t="s">
        <v>43</v>
      </c>
      <c r="C18" s="2" t="str">
        <f ca="1">IFERROR(__xludf.DUMMYFUNCTION("googletranslate(C18,""en"",""ne"")"),"त्रिपुरासुन्दरी गाउँपालिका")</f>
        <v>त्रिपुरासुन्दरी गाउँपालिका</v>
      </c>
      <c r="D18" s="3" t="str">
        <f ca="1">IFERROR(__xludf.DUMMYFUNCTION("googletranslate(D18,""en"",""ne"")"),"अध्यक्ष")</f>
        <v>अध्यक्ष</v>
      </c>
      <c r="E18" s="2" t="s">
        <v>11</v>
      </c>
      <c r="F18" s="2" t="s">
        <v>57</v>
      </c>
      <c r="G18" s="2" t="s">
        <v>8</v>
      </c>
      <c r="H18" s="2" t="s">
        <v>58</v>
      </c>
      <c r="I18" s="2" t="s">
        <v>59</v>
      </c>
    </row>
    <row r="19" spans="1:9">
      <c r="A19" s="2" t="s">
        <v>4</v>
      </c>
      <c r="B19" s="2" t="s">
        <v>43</v>
      </c>
      <c r="C19" s="2" t="str">
        <f ca="1">IFERROR(__xludf.DUMMYFUNCTION("googletranslate(C19,""en"",""ne"")"),"थाकरपाल गाउँपालिका")</f>
        <v>थाकरपाल गाउँपालिका</v>
      </c>
      <c r="D19" s="3" t="str">
        <f ca="1">IFERROR(__xludf.DUMMYFUNCTION("googletranslate(D19,""en"",""ne"")"),"अध्यक्ष")</f>
        <v>अध्यक्ष</v>
      </c>
      <c r="E19" s="2" t="s">
        <v>18</v>
      </c>
      <c r="F19" s="2" t="s">
        <v>60</v>
      </c>
      <c r="G19" s="2" t="s">
        <v>8</v>
      </c>
      <c r="H19" s="2" t="s">
        <v>61</v>
      </c>
      <c r="I19" s="2" t="s">
        <v>62</v>
      </c>
    </row>
    <row r="20" spans="1:9">
      <c r="A20" s="2" t="s">
        <v>4</v>
      </c>
      <c r="B20" s="2" t="s">
        <v>43</v>
      </c>
      <c r="C20" s="2" t="str">
        <f ca="1">IFERROR(__xludf.DUMMYFUNCTION("googletranslate(C20,""en"",""ne"")"),"धुनीबेंशी नगरपालिका")</f>
        <v>धुनीबेंशी नगरपालिका</v>
      </c>
      <c r="D20" s="3" t="str">
        <f ca="1">IFERROR(__xludf.DUMMYFUNCTION("googletranslate(D20,""en"",""ne"")"),"मेयर")</f>
        <v>मेयर</v>
      </c>
      <c r="E20" s="2" t="s">
        <v>39</v>
      </c>
      <c r="F20" s="2" t="s">
        <v>63</v>
      </c>
      <c r="G20" s="2" t="s">
        <v>8</v>
      </c>
      <c r="H20" s="2" t="s">
        <v>64</v>
      </c>
      <c r="I20" s="2" t="s">
        <v>65</v>
      </c>
    </row>
    <row r="21" spans="1:9" ht="15.75" customHeight="1">
      <c r="A21" s="2" t="s">
        <v>4</v>
      </c>
      <c r="B21" s="2" t="s">
        <v>43</v>
      </c>
      <c r="C21" s="2" t="str">
        <f ca="1">IFERROR(__xludf.DUMMYFUNCTION("googletranslate(C21,""en"",""ne"")"),"निलकण्ठ नगरपालिका")</f>
        <v>निलकण्ठ नगरपालिका</v>
      </c>
      <c r="D21" s="3" t="str">
        <f ca="1">IFERROR(__xludf.DUMMYFUNCTION("googletranslate(D21,""en"",""ne"")"),"मेयर")</f>
        <v>मेयर</v>
      </c>
      <c r="E21" s="2" t="s">
        <v>11</v>
      </c>
      <c r="F21" s="2" t="s">
        <v>66</v>
      </c>
      <c r="G21" s="2" t="s">
        <v>8</v>
      </c>
      <c r="H21" s="2" t="s">
        <v>67</v>
      </c>
      <c r="I21" s="2" t="s">
        <v>68</v>
      </c>
    </row>
    <row r="22" spans="1:9" ht="15.75" customHeight="1">
      <c r="A22" s="2" t="s">
        <v>4</v>
      </c>
      <c r="B22" s="2" t="s">
        <v>43</v>
      </c>
      <c r="C22" s="2" t="str">
        <f ca="1">IFERROR(__xludf.DUMMYFUNCTION("googletranslate(C22,""en"",""ne"")"),"नेत्रावती डबजोङपालिका")</f>
        <v>नेत्रावती डबजोङपालिका</v>
      </c>
      <c r="D22" s="3" t="str">
        <f ca="1">IFERROR(__xludf.DUMMYFUNCTION("googletranslate(D22,""en"",""ne"")"),"अध्यक्ष")</f>
        <v>अध्यक्ष</v>
      </c>
      <c r="E22" s="2" t="s">
        <v>11</v>
      </c>
      <c r="F22" s="2" t="s">
        <v>69</v>
      </c>
      <c r="G22" s="2" t="s">
        <v>8</v>
      </c>
      <c r="H22" s="2" t="s">
        <v>70</v>
      </c>
      <c r="I22" s="2" t="s">
        <v>71</v>
      </c>
    </row>
    <row r="23" spans="1:9" ht="15.75" customHeight="1">
      <c r="A23" s="2" t="s">
        <v>4</v>
      </c>
      <c r="B23" s="2" t="s">
        <v>43</v>
      </c>
      <c r="C23" s="2" t="str">
        <f ca="1">IFERROR(__xludf.DUMMYFUNCTION("googletranslate(C23,""en"",""ne"")"),"बेनीघाट रोराङ्ग गाउँपालिका")</f>
        <v>बेनीघाट रोराङ्ग गाउँपालिका</v>
      </c>
      <c r="D23" s="3" t="str">
        <f ca="1">IFERROR(__xludf.DUMMYFUNCTION("googletranslate(D23,""en"",""ne"")"),"अध्यक्ष")</f>
        <v>अध्यक्ष</v>
      </c>
      <c r="E23" s="2" t="s">
        <v>30</v>
      </c>
      <c r="F23" s="2" t="s">
        <v>72</v>
      </c>
      <c r="G23" s="2" t="s">
        <v>8</v>
      </c>
      <c r="H23" s="2" t="s">
        <v>73</v>
      </c>
      <c r="I23" s="2" t="s">
        <v>74</v>
      </c>
    </row>
    <row r="24" spans="1:9" ht="15.75" customHeight="1">
      <c r="A24" s="2" t="s">
        <v>4</v>
      </c>
      <c r="B24" s="2" t="s">
        <v>43</v>
      </c>
      <c r="C24" s="2" t="str">
        <f ca="1">IFERROR(__xludf.DUMMYFUNCTION("googletranslate(C24,""en"",""ne"")"),"रुवी भाली गाउँपालिका")</f>
        <v>रुवी भाली गाउँपालिका</v>
      </c>
      <c r="D24" s="3" t="str">
        <f ca="1">IFERROR(__xludf.DUMMYFUNCTION("googletranslate(D24,""en"",""ne"")"),"अध्यक्ष")</f>
        <v>अध्यक्ष</v>
      </c>
      <c r="E24" s="2" t="s">
        <v>30</v>
      </c>
      <c r="F24" s="2" t="s">
        <v>75</v>
      </c>
      <c r="G24" s="2" t="s">
        <v>8</v>
      </c>
      <c r="H24" s="2" t="s">
        <v>13</v>
      </c>
      <c r="I24" s="2" t="s">
        <v>76</v>
      </c>
    </row>
    <row r="25" spans="1:9" ht="15.75" customHeight="1">
      <c r="A25" s="2" t="s">
        <v>4</v>
      </c>
      <c r="B25" s="2" t="s">
        <v>43</v>
      </c>
      <c r="C25" s="2" t="str">
        <f ca="1">IFERROR(__xludf.DUMMYFUNCTION("googletranslate(C25,""en"",""ne"")"),"सिद्धलेक गाउँपालिका")</f>
        <v>सिद्धलेक गाउँपालिका</v>
      </c>
      <c r="D25" s="3" t="str">
        <f ca="1">IFERROR(__xludf.DUMMYFUNCTION("googletranslate(D25,""en"",""ne"")"),"अध्यक्ष")</f>
        <v>अध्यक्ष</v>
      </c>
      <c r="E25" s="2" t="s">
        <v>11</v>
      </c>
      <c r="F25" s="2" t="s">
        <v>77</v>
      </c>
      <c r="G25" s="2" t="s">
        <v>8</v>
      </c>
      <c r="H25" s="2" t="s">
        <v>33</v>
      </c>
      <c r="I25" s="2" t="s">
        <v>78</v>
      </c>
    </row>
    <row r="26" spans="1:9" ht="15.75" customHeight="1">
      <c r="A26" s="2" t="s">
        <v>4</v>
      </c>
      <c r="B26" s="2" t="s">
        <v>79</v>
      </c>
      <c r="C26" s="2" t="str">
        <f ca="1">IFERROR(__xludf.DUMMYFUNCTION("googletranslate(C26,""en"",""ne"")"),"कालिञ्चोक गाउँपालिका")</f>
        <v>कालिञ्चोक गाउँपालिका</v>
      </c>
      <c r="D26" s="3" t="str">
        <f ca="1">IFERROR(__xludf.DUMMYFUNCTION("googletranslate(D26,""en"",""ne"")"),"अध्यक्ष")</f>
        <v>अध्यक्ष</v>
      </c>
      <c r="E26" s="2" t="s">
        <v>11</v>
      </c>
      <c r="F26" s="2" t="s">
        <v>80</v>
      </c>
      <c r="G26" s="2" t="s">
        <v>8</v>
      </c>
      <c r="H26" s="2" t="s">
        <v>26</v>
      </c>
      <c r="I26" s="2" t="s">
        <v>81</v>
      </c>
    </row>
    <row r="27" spans="1:9" ht="15.75" customHeight="1">
      <c r="A27" s="2" t="s">
        <v>4</v>
      </c>
      <c r="B27" s="2" t="s">
        <v>79</v>
      </c>
      <c r="C27" s="2" t="str">
        <f ca="1">IFERROR(__xludf.DUMMYFUNCTION("googletranslate(C27,""en"",""ne"")"),"गौरिशंकर गाउँपालिका")</f>
        <v>गौरिशंकर गाउँपालिका</v>
      </c>
      <c r="D27" s="3" t="str">
        <f ca="1">IFERROR(__xludf.DUMMYFUNCTION("googletranslate(D27,""en"",""ne"")"),"अध्यक्ष")</f>
        <v>अध्यक्ष</v>
      </c>
      <c r="E27" s="2" t="s">
        <v>30</v>
      </c>
      <c r="F27" s="2" t="s">
        <v>82</v>
      </c>
      <c r="G27" s="2" t="s">
        <v>8</v>
      </c>
      <c r="H27" s="2" t="s">
        <v>83</v>
      </c>
      <c r="I27" s="2" t="s">
        <v>84</v>
      </c>
    </row>
    <row r="28" spans="1:9" ht="15.75" customHeight="1">
      <c r="A28" s="2" t="s">
        <v>4</v>
      </c>
      <c r="B28" s="2" t="s">
        <v>79</v>
      </c>
      <c r="C28" s="2" t="str">
        <f ca="1">IFERROR(__xludf.DUMMYFUNCTION("googletranslate(C28,""en"",""ne"")"),"जिरी नगरपालिका")</f>
        <v>जिरी नगरपालिका</v>
      </c>
      <c r="D28" s="3" t="str">
        <f ca="1">IFERROR(__xludf.DUMMYFUNCTION("googletranslate(D28,""en"",""ne"")"),"मेयर")</f>
        <v>मेयर</v>
      </c>
      <c r="E28" s="2" t="s">
        <v>18</v>
      </c>
      <c r="F28" s="2" t="s">
        <v>85</v>
      </c>
      <c r="G28" s="2" t="s">
        <v>8</v>
      </c>
      <c r="H28" s="2" t="s">
        <v>86</v>
      </c>
      <c r="I28" s="2" t="s">
        <v>87</v>
      </c>
    </row>
    <row r="29" spans="1:9" ht="15.75" customHeight="1">
      <c r="A29" s="2" t="s">
        <v>4</v>
      </c>
      <c r="B29" s="2" t="s">
        <v>79</v>
      </c>
      <c r="C29" s="2" t="str">
        <f ca="1">IFERROR(__xludf.DUMMYFUNCTION("googletranslate(C29,""en"",""ne"")"),"तामाकोशी गाउँपालिका")</f>
        <v>तामाकोशी गाउँपालिका</v>
      </c>
      <c r="D29" s="3" t="str">
        <f ca="1">IFERROR(__xludf.DUMMYFUNCTION("googletranslate(D29,""en"",""ne"")"),"अध्यक्ष")</f>
        <v>अध्यक्ष</v>
      </c>
      <c r="E29" s="2" t="s">
        <v>39</v>
      </c>
      <c r="F29" s="2" t="s">
        <v>88</v>
      </c>
      <c r="G29" s="2" t="s">
        <v>8</v>
      </c>
      <c r="H29" s="2" t="s">
        <v>23</v>
      </c>
      <c r="I29" s="2" t="s">
        <v>89</v>
      </c>
    </row>
    <row r="30" spans="1:9" ht="15.75" customHeight="1">
      <c r="A30" s="2" t="s">
        <v>4</v>
      </c>
      <c r="B30" s="2" t="s">
        <v>79</v>
      </c>
      <c r="C30" s="2" t="str">
        <f ca="1">IFERROR(__xludf.DUMMYFUNCTION("googletranslate(C30,""en"",""ne"")"),"भिमेश्वर नगरपालिका")</f>
        <v>भिमेश्वर नगरपालिका</v>
      </c>
      <c r="D30" s="3" t="str">
        <f ca="1">IFERROR(__xludf.DUMMYFUNCTION("googletranslate(D30,""en"",""ne"")"),"मेयर")</f>
        <v>मेयर</v>
      </c>
      <c r="E30" s="2" t="s">
        <v>11</v>
      </c>
      <c r="F30" s="2" t="s">
        <v>90</v>
      </c>
      <c r="G30" s="2" t="s">
        <v>8</v>
      </c>
      <c r="H30" s="2" t="s">
        <v>91</v>
      </c>
      <c r="I30" s="2" t="s">
        <v>92</v>
      </c>
    </row>
    <row r="31" spans="1:9" ht="15.75" customHeight="1">
      <c r="A31" s="2" t="s">
        <v>4</v>
      </c>
      <c r="B31" s="2" t="s">
        <v>79</v>
      </c>
      <c r="C31" s="2" t="str">
        <f ca="1">IFERROR(__xludf.DUMMYFUNCTION("googletranslate(C31,""en"",""ne"")"),"मेलुङ गाउँपालिका")</f>
        <v>मेलुङ गाउँपालिका</v>
      </c>
      <c r="D31" s="3" t="str">
        <f ca="1">IFERROR(__xludf.DUMMYFUNCTION("googletranslate(D31,""en"",""ne"")"),"अध्यक्ष")</f>
        <v>अध्यक्ष</v>
      </c>
      <c r="E31" s="2" t="s">
        <v>18</v>
      </c>
      <c r="F31" s="2" t="s">
        <v>93</v>
      </c>
      <c r="G31" s="2" t="s">
        <v>8</v>
      </c>
      <c r="H31" s="2" t="s">
        <v>26</v>
      </c>
      <c r="I31" s="2" t="s">
        <v>94</v>
      </c>
    </row>
    <row r="32" spans="1:9" ht="15.75" customHeight="1">
      <c r="A32" s="2" t="s">
        <v>4</v>
      </c>
      <c r="B32" s="2" t="s">
        <v>79</v>
      </c>
      <c r="C32" s="2" t="str">
        <f ca="1">IFERROR(__xludf.DUMMYFUNCTION("googletranslate(C32,""en"",""ne"")"),"विगुपाल गाउँपालिका")</f>
        <v>विगुपाल गाउँपालिका</v>
      </c>
      <c r="D32" s="3" t="str">
        <f ca="1">IFERROR(__xludf.DUMMYFUNCTION("googletranslate(D32,""en"",""ne"")"),"अध्यक्ष")</f>
        <v>अध्यक्ष</v>
      </c>
      <c r="E32" s="2" t="s">
        <v>30</v>
      </c>
      <c r="F32" s="2" t="s">
        <v>95</v>
      </c>
      <c r="G32" s="2" t="s">
        <v>8</v>
      </c>
      <c r="H32" s="2" t="s">
        <v>73</v>
      </c>
      <c r="I32" s="2" t="s">
        <v>96</v>
      </c>
    </row>
    <row r="33" spans="1:9" ht="15.75" customHeight="1">
      <c r="A33" s="2" t="s">
        <v>4</v>
      </c>
      <c r="B33" s="2" t="s">
        <v>79</v>
      </c>
      <c r="C33" s="2" t="str">
        <f ca="1">IFERROR(__xludf.DUMMYFUNCTION("googletranslate(C33,""en"",""ne"")"),"वैतेश्वर गाउँपालिका")</f>
        <v>वैतेश्वर गाउँपालिका</v>
      </c>
      <c r="D33" s="3" t="str">
        <f ca="1">IFERROR(__xludf.DUMMYFUNCTION("googletranslate(D33,""en"",""ne"")"),"अध्यक्ष")</f>
        <v>अध्यक्ष</v>
      </c>
      <c r="E33" s="2" t="s">
        <v>11</v>
      </c>
      <c r="F33" s="2" t="s">
        <v>97</v>
      </c>
      <c r="G33" s="2" t="s">
        <v>8</v>
      </c>
      <c r="H33" s="2" t="s">
        <v>98</v>
      </c>
      <c r="I33" s="2" t="s">
        <v>99</v>
      </c>
    </row>
    <row r="34" spans="1:9" ht="15.75" customHeight="1">
      <c r="A34" s="2" t="s">
        <v>4</v>
      </c>
      <c r="B34" s="2" t="s">
        <v>79</v>
      </c>
      <c r="C34" s="2" t="str">
        <f ca="1">IFERROR(__xludf.DUMMYFUNCTION("googletranslate(C34,""en"",""ne"")"),"शैलुङ गाउँपालिका")</f>
        <v>शैलुङ गाउँपालिका</v>
      </c>
      <c r="D34" s="3" t="str">
        <f ca="1">IFERROR(__xludf.DUMMYFUNCTION("googletranslate(D34,""en"",""ne"")"),"अध्यक्ष")</f>
        <v>अध्यक्ष</v>
      </c>
      <c r="E34" s="2" t="s">
        <v>30</v>
      </c>
      <c r="F34" s="2" t="s">
        <v>100</v>
      </c>
      <c r="G34" s="2" t="s">
        <v>8</v>
      </c>
      <c r="H34" s="2" t="s">
        <v>58</v>
      </c>
      <c r="I34" s="2" t="s">
        <v>101</v>
      </c>
    </row>
    <row r="35" spans="1:9" ht="15.75" customHeight="1">
      <c r="A35" s="2" t="s">
        <v>4</v>
      </c>
      <c r="B35" s="2" t="s">
        <v>102</v>
      </c>
      <c r="C35" s="2" t="str">
        <f ca="1">IFERROR(__xludf.DUMMYFUNCTION("googletranslate(C35,""en"",""ne"")"),"कागेश्वरी मनोहरा नगरपालिका")</f>
        <v>कागेश्वरी मनोहरा नगरपालिका</v>
      </c>
      <c r="D35" s="3" t="str">
        <f ca="1">IFERROR(__xludf.DUMMYFUNCTION("googletranslate(D35,""en"",""ne"")"),"मेयर")</f>
        <v>मेयर</v>
      </c>
      <c r="E35" s="2" t="s">
        <v>11</v>
      </c>
      <c r="F35" s="2" t="s">
        <v>103</v>
      </c>
      <c r="G35" s="2" t="s">
        <v>8</v>
      </c>
      <c r="H35" s="2" t="s">
        <v>16</v>
      </c>
      <c r="I35" s="2" t="s">
        <v>104</v>
      </c>
    </row>
    <row r="36" spans="1:9" ht="15.75" customHeight="1">
      <c r="A36" s="2" t="s">
        <v>4</v>
      </c>
      <c r="B36" s="2" t="s">
        <v>102</v>
      </c>
      <c r="C36" s="2" t="str">
        <f ca="1">IFERROR(__xludf.DUMMYFUNCTION("googletranslate(C36,""en"",""ne"")"),"काठमाण्डौ महानगरपालिका")</f>
        <v>काठमाण्डौ महानगरपालिका</v>
      </c>
      <c r="D36" s="3" t="str">
        <f ca="1">IFERROR(__xludf.DUMMYFUNCTION("googletranslate(D36,""en"",""ne"")"),"मेयर")</f>
        <v>मेयर</v>
      </c>
      <c r="E36" s="2" t="s">
        <v>105</v>
      </c>
      <c r="F36" s="2" t="s">
        <v>106</v>
      </c>
      <c r="G36" s="2" t="s">
        <v>8</v>
      </c>
      <c r="H36" s="2" t="s">
        <v>107</v>
      </c>
      <c r="I36" s="2" t="s">
        <v>108</v>
      </c>
    </row>
    <row r="37" spans="1:9" ht="15.75" customHeight="1">
      <c r="A37" s="2" t="s">
        <v>4</v>
      </c>
      <c r="B37" s="2" t="s">
        <v>102</v>
      </c>
      <c r="C37" s="2" t="str">
        <f ca="1">IFERROR(__xludf.DUMMYFUNCTION("googletranslate(C37,""en"",""ne"")"),"किर्तिपुर नगरपालिका")</f>
        <v>किर्तिपुर नगरपालिका</v>
      </c>
      <c r="D37" s="3" t="str">
        <f ca="1">IFERROR(__xludf.DUMMYFUNCTION("googletranslate(D37,""en"",""ne"")"),"मेयर")</f>
        <v>मेयर</v>
      </c>
      <c r="E37" s="2" t="s">
        <v>11</v>
      </c>
      <c r="F37" s="2" t="s">
        <v>109</v>
      </c>
      <c r="G37" s="2" t="s">
        <v>8</v>
      </c>
      <c r="H37" s="2" t="s">
        <v>9</v>
      </c>
      <c r="I37" s="2" t="s">
        <v>110</v>
      </c>
    </row>
    <row r="38" spans="1:9" ht="15.75" customHeight="1">
      <c r="A38" s="2" t="s">
        <v>4</v>
      </c>
      <c r="B38" s="2" t="s">
        <v>102</v>
      </c>
      <c r="C38" s="2" t="str">
        <f ca="1">IFERROR(__xludf.DUMMYFUNCTION("googletranslate(C38,""en"",""ne"")"),"गोकर्णेश्वर नगरपालिका")</f>
        <v>गोकर्णेश्वर नगरपालिका</v>
      </c>
      <c r="D38" s="3" t="str">
        <f ca="1">IFERROR(__xludf.DUMMYFUNCTION("googletranslate(D38,""en"",""ne"")"),"मेयर")</f>
        <v>मेयर</v>
      </c>
      <c r="E38" s="2" t="s">
        <v>11</v>
      </c>
      <c r="F38" s="2" t="s">
        <v>111</v>
      </c>
      <c r="G38" s="2" t="s">
        <v>8</v>
      </c>
      <c r="H38" s="2" t="s">
        <v>55</v>
      </c>
      <c r="I38" s="2" t="s">
        <v>112</v>
      </c>
    </row>
    <row r="39" spans="1:9" ht="15.75" customHeight="1">
      <c r="A39" s="2" t="s">
        <v>4</v>
      </c>
      <c r="B39" s="2" t="s">
        <v>102</v>
      </c>
      <c r="C39" s="2" t="str">
        <f ca="1">IFERROR(__xludf.DUMMYFUNCTION("googletranslate(C39,""en"",""ne"")"),"चन्द्रागिरी नगरपालिका")</f>
        <v>चन्द्रागिरी नगरपालिका</v>
      </c>
      <c r="D39" s="3" t="str">
        <f ca="1">IFERROR(__xludf.DUMMYFUNCTION("googletranslate(D39,""en"",""ne"")"),"मेयर")</f>
        <v>मेयर</v>
      </c>
      <c r="E39" s="2" t="s">
        <v>11</v>
      </c>
      <c r="F39" s="2" t="s">
        <v>113</v>
      </c>
      <c r="G39" s="2" t="s">
        <v>8</v>
      </c>
      <c r="H39" s="2" t="s">
        <v>114</v>
      </c>
      <c r="I39" s="2" t="s">
        <v>115</v>
      </c>
    </row>
    <row r="40" spans="1:9" ht="15.75" customHeight="1">
      <c r="A40" s="2" t="s">
        <v>4</v>
      </c>
      <c r="B40" s="2" t="s">
        <v>102</v>
      </c>
      <c r="C40" s="2" t="str">
        <f ca="1">IFERROR(__xludf.DUMMYFUNCTION("googletranslate(C40,""en"",""ne"")"),"टोखा नगरपालिका")</f>
        <v>टोखा नगरपालिका</v>
      </c>
      <c r="D40" s="3" t="str">
        <f ca="1">IFERROR(__xludf.DUMMYFUNCTION("googletranslate(D40,""en"",""ne"")"),"मेयर")</f>
        <v>मेयर</v>
      </c>
      <c r="E40" s="2" t="s">
        <v>18</v>
      </c>
      <c r="F40" s="2" t="s">
        <v>116</v>
      </c>
      <c r="G40" s="2" t="s">
        <v>8</v>
      </c>
      <c r="H40" s="2" t="s">
        <v>45</v>
      </c>
      <c r="I40" s="2" t="s">
        <v>117</v>
      </c>
    </row>
    <row r="41" spans="1:9" ht="15.75" customHeight="1">
      <c r="A41" s="2" t="s">
        <v>4</v>
      </c>
      <c r="B41" s="2" t="s">
        <v>102</v>
      </c>
      <c r="C41" s="2" t="str">
        <f ca="1">IFERROR(__xludf.DUMMYFUNCTION("googletranslate(C41,""en"",""ne"")"),"तारकेश्वर नगरपालिका")</f>
        <v>तारकेश्वर नगरपालिका</v>
      </c>
      <c r="D41" s="3" t="str">
        <f ca="1">IFERROR(__xludf.DUMMYFUNCTION("googletranslate(D41,""en"",""ne"")"),"मेयर")</f>
        <v>मेयर</v>
      </c>
      <c r="E41" s="2" t="s">
        <v>11</v>
      </c>
      <c r="F41" s="2" t="s">
        <v>118</v>
      </c>
      <c r="G41" s="2" t="s">
        <v>8</v>
      </c>
      <c r="H41" s="2" t="s">
        <v>41</v>
      </c>
      <c r="I41" s="2" t="s">
        <v>119</v>
      </c>
    </row>
    <row r="42" spans="1:9" ht="15.75" customHeight="1">
      <c r="A42" s="2" t="s">
        <v>4</v>
      </c>
      <c r="B42" s="2" t="s">
        <v>102</v>
      </c>
      <c r="C42" s="2" t="str">
        <f ca="1">IFERROR(__xludf.DUMMYFUNCTION("googletranslate(C42,""en"",""ne"")"),"दक्षिणकाली नगरपालिका")</f>
        <v>दक्षिणकाली नगरपालिका</v>
      </c>
      <c r="D42" s="3" t="str">
        <f ca="1">IFERROR(__xludf.DUMMYFUNCTION("googletranslate(D42,""en"",""ne"")"),"मेयर")</f>
        <v>मेयर</v>
      </c>
      <c r="E42" s="2" t="s">
        <v>11</v>
      </c>
      <c r="F42" s="2" t="s">
        <v>120</v>
      </c>
      <c r="G42" s="2" t="s">
        <v>8</v>
      </c>
      <c r="H42" s="2" t="s">
        <v>121</v>
      </c>
      <c r="I42" s="2" t="s">
        <v>122</v>
      </c>
    </row>
    <row r="43" spans="1:9" ht="15.75" customHeight="1">
      <c r="A43" s="2" t="s">
        <v>4</v>
      </c>
      <c r="B43" s="2" t="s">
        <v>102</v>
      </c>
      <c r="C43" s="2" t="str">
        <f ca="1">IFERROR(__xludf.DUMMYFUNCTION("googletranslate(C43,""en"",""ne"")"),"नागर्जुन नगरपालिका")</f>
        <v>नागर्जुन नगरपालिका</v>
      </c>
      <c r="D43" s="3" t="str">
        <f ca="1">IFERROR(__xludf.DUMMYFUNCTION("googletranslate(D43,""en"",""ne"")"),"मेयर")</f>
        <v>मेयर</v>
      </c>
      <c r="E43" s="2" t="s">
        <v>11</v>
      </c>
      <c r="F43" s="2" t="s">
        <v>123</v>
      </c>
      <c r="G43" s="2" t="s">
        <v>8</v>
      </c>
      <c r="H43" s="2" t="s">
        <v>86</v>
      </c>
      <c r="I43" s="2" t="s">
        <v>124</v>
      </c>
    </row>
    <row r="44" spans="1:9" ht="15.75" customHeight="1">
      <c r="A44" s="2" t="s">
        <v>4</v>
      </c>
      <c r="B44" s="2" t="s">
        <v>102</v>
      </c>
      <c r="C44" s="2" t="str">
        <f ca="1">IFERROR(__xludf.DUMMYFUNCTION("googletranslate(C44,""en"",""ne"")"),"बुढानिलकण्ठ नगरपालिका")</f>
        <v>बुढानिलकण्ठ नगरपालिका</v>
      </c>
      <c r="D44" s="3" t="str">
        <f ca="1">IFERROR(__xludf.DUMMYFUNCTION("googletranslate(D44,""en"",""ne"")"),"मेयर")</f>
        <v>मेयर</v>
      </c>
      <c r="E44" s="2" t="s">
        <v>18</v>
      </c>
      <c r="F44" s="2" t="s">
        <v>125</v>
      </c>
      <c r="G44" s="2" t="s">
        <v>8</v>
      </c>
      <c r="H44" s="2" t="s">
        <v>45</v>
      </c>
      <c r="I44" s="2" t="s">
        <v>126</v>
      </c>
    </row>
    <row r="45" spans="1:9" ht="15.75" customHeight="1">
      <c r="A45" s="2" t="s">
        <v>4</v>
      </c>
      <c r="B45" s="2" t="s">
        <v>102</v>
      </c>
      <c r="C45" s="2" t="str">
        <f ca="1">IFERROR(__xludf.DUMMYFUNCTION("googletranslate(C45,""en"",""ne"")"),"शङ्खरापुर नगरपालिका")</f>
        <v>शङ्खरापुर नगरपालिका</v>
      </c>
      <c r="D45" s="3" t="str">
        <f ca="1">IFERROR(__xludf.DUMMYFUNCTION("googletranslate(D45,""en"",""ne"")"),"मेयर")</f>
        <v>मेयर</v>
      </c>
      <c r="E45" s="2" t="s">
        <v>127</v>
      </c>
      <c r="F45" s="2" t="s">
        <v>128</v>
      </c>
      <c r="G45" s="2" t="s">
        <v>8</v>
      </c>
      <c r="H45" s="2" t="s">
        <v>26</v>
      </c>
      <c r="I45" s="2" t="s">
        <v>129</v>
      </c>
    </row>
    <row r="46" spans="1:9" ht="15.75" customHeight="1">
      <c r="A46" s="2" t="s">
        <v>4</v>
      </c>
      <c r="B46" s="2" t="s">
        <v>130</v>
      </c>
      <c r="C46" s="2" t="str">
        <f ca="1">IFERROR(__xludf.DUMMYFUNCTION("googletranslate(C46,""en"",""ne"")"),"खानीखोला गाउँपालिका")</f>
        <v>खानीखोला गाउँपालिका</v>
      </c>
      <c r="D46" s="3" t="str">
        <f ca="1">IFERROR(__xludf.DUMMYFUNCTION("googletranslate(D46,""en"",""ne"")"),"अध्यक्ष")</f>
        <v>अध्यक्ष</v>
      </c>
      <c r="E46" s="2" t="s">
        <v>30</v>
      </c>
      <c r="F46" s="2" t="s">
        <v>131</v>
      </c>
      <c r="G46" s="2" t="s">
        <v>8</v>
      </c>
      <c r="H46" s="2" t="s">
        <v>16</v>
      </c>
      <c r="I46" s="2" t="s">
        <v>132</v>
      </c>
    </row>
    <row r="47" spans="1:9" ht="15.75" customHeight="1">
      <c r="A47" s="2" t="s">
        <v>4</v>
      </c>
      <c r="B47" s="2" t="s">
        <v>130</v>
      </c>
      <c r="C47" s="2" t="str">
        <f ca="1">IFERROR(__xludf.DUMMYFUNCTION("googletranslate(C47,""en"",""ne"")"),"चौंरीदेउराली गाउँपालिका")</f>
        <v>चौंरीदेउराली गाउँपालिका</v>
      </c>
      <c r="D47" s="3" t="str">
        <f ca="1">IFERROR(__xludf.DUMMYFUNCTION("googletranslate(D47,""en"",""ne"")"),"अध्यक्ष")</f>
        <v>अध्यक्ष</v>
      </c>
      <c r="E47" s="2" t="s">
        <v>30</v>
      </c>
      <c r="F47" s="2" t="s">
        <v>133</v>
      </c>
      <c r="G47" s="2" t="s">
        <v>32</v>
      </c>
      <c r="H47" s="2" t="s">
        <v>58</v>
      </c>
      <c r="I47" s="2" t="s">
        <v>134</v>
      </c>
    </row>
    <row r="48" spans="1:9" ht="15.75" customHeight="1">
      <c r="A48" s="2" t="s">
        <v>4</v>
      </c>
      <c r="B48" s="2" t="s">
        <v>130</v>
      </c>
      <c r="C48" s="2" t="str">
        <f ca="1">IFERROR(__xludf.DUMMYFUNCTION("googletranslate(C48,""en"",""ne"")"),"तेमाल गाउँपालिका")</f>
        <v>तेमाल गाउँपालिका</v>
      </c>
      <c r="D48" s="3" t="str">
        <f ca="1">IFERROR(__xludf.DUMMYFUNCTION("googletranslate(D48,""en"",""ne"")"),"अध्यक्ष")</f>
        <v>अध्यक्ष</v>
      </c>
      <c r="E48" s="2" t="s">
        <v>11</v>
      </c>
      <c r="F48" s="2" t="s">
        <v>135</v>
      </c>
      <c r="G48" s="2" t="s">
        <v>8</v>
      </c>
      <c r="H48" s="2" t="s">
        <v>33</v>
      </c>
      <c r="I48" s="2" t="s">
        <v>136</v>
      </c>
    </row>
    <row r="49" spans="1:10" ht="15.75" customHeight="1">
      <c r="A49" s="2" t="s">
        <v>4</v>
      </c>
      <c r="B49" s="2" t="s">
        <v>130</v>
      </c>
      <c r="C49" s="2" t="str">
        <f ca="1">IFERROR(__xludf.DUMMYFUNCTION("googletranslate(C49,""en"",""ne"")"),"धुलिखेल नगरपालिका")</f>
        <v>धुलिखेल नगरपालिका</v>
      </c>
      <c r="D49" s="3" t="str">
        <f ca="1">IFERROR(__xludf.DUMMYFUNCTION("googletranslate(D49,""en"",""ne"")"),"मेयर")</f>
        <v>मेयर</v>
      </c>
      <c r="E49" s="2" t="s">
        <v>18</v>
      </c>
      <c r="F49" s="2" t="s">
        <v>137</v>
      </c>
      <c r="G49" s="2" t="s">
        <v>8</v>
      </c>
      <c r="H49" s="2" t="s">
        <v>26</v>
      </c>
      <c r="I49" s="2" t="s">
        <v>138</v>
      </c>
    </row>
    <row r="50" spans="1:10" ht="15.75" customHeight="1">
      <c r="A50" s="2" t="s">
        <v>4</v>
      </c>
      <c r="B50" s="2" t="s">
        <v>130</v>
      </c>
      <c r="C50" s="2" t="str">
        <f ca="1">IFERROR(__xludf.DUMMYFUNCTION("googletranslate(C50,""en"",""ne"")"),"नमो बुद्ध नगरपालिका")</f>
        <v>नमो बुद्ध नगरपालिका</v>
      </c>
      <c r="D50" s="3" t="str">
        <f ca="1">IFERROR(__xludf.DUMMYFUNCTION("googletranslate(D50,""en"",""ne"")"),"मेयर")</f>
        <v>मेयर</v>
      </c>
      <c r="E50" s="2" t="s">
        <v>11</v>
      </c>
      <c r="F50" s="2" t="s">
        <v>139</v>
      </c>
      <c r="G50" s="2" t="s">
        <v>8</v>
      </c>
      <c r="H50" s="2" t="s">
        <v>140</v>
      </c>
      <c r="I50" s="2" t="s">
        <v>141</v>
      </c>
    </row>
    <row r="51" spans="1:10" ht="15.75" customHeight="1">
      <c r="A51" s="2" t="s">
        <v>4</v>
      </c>
      <c r="B51" s="2" t="s">
        <v>130</v>
      </c>
      <c r="C51" s="2" t="str">
        <f ca="1">IFERROR(__xludf.DUMMYFUNCTION("googletranslate(C51,""en"",""ne"")"),"पनौती नगरपालिका")</f>
        <v>पनौती नगरपालिका</v>
      </c>
      <c r="D51" s="3" t="str">
        <f ca="1">IFERROR(__xludf.DUMMYFUNCTION("googletranslate(D51,""en"",""ne"")"),"मेयर")</f>
        <v>मेयर</v>
      </c>
      <c r="E51" s="2" t="s">
        <v>11</v>
      </c>
      <c r="F51" s="2" t="s">
        <v>142</v>
      </c>
      <c r="G51" s="2" t="s">
        <v>8</v>
      </c>
      <c r="H51" s="2" t="s">
        <v>67</v>
      </c>
      <c r="I51" s="2" t="s">
        <v>143</v>
      </c>
    </row>
    <row r="52" spans="1:10" ht="15.75" customHeight="1">
      <c r="A52" s="2" t="s">
        <v>4</v>
      </c>
      <c r="B52" s="2" t="s">
        <v>130</v>
      </c>
      <c r="C52" s="2" t="str">
        <f ca="1">IFERROR(__xludf.DUMMYFUNCTION("googletranslate(C52,""en"",""ne"")"),"पाँचखाल नगरपालिका")</f>
        <v>पाँचखाल नगरपालिका</v>
      </c>
      <c r="D52" s="3" t="str">
        <f ca="1">IFERROR(__xludf.DUMMYFUNCTION("googletranslate(D52,""en"",""ne"")"),"मेयर")</f>
        <v>मेयर</v>
      </c>
      <c r="E52" s="2" t="s">
        <v>11</v>
      </c>
      <c r="F52" s="2" t="s">
        <v>144</v>
      </c>
      <c r="G52" s="2" t="s">
        <v>8</v>
      </c>
      <c r="H52" s="2" t="s">
        <v>13</v>
      </c>
      <c r="I52" s="2" t="s">
        <v>145</v>
      </c>
    </row>
    <row r="53" spans="1:10" ht="15.75" customHeight="1">
      <c r="A53" s="2" t="s">
        <v>4</v>
      </c>
      <c r="B53" s="2" t="s">
        <v>130</v>
      </c>
      <c r="C53" s="2" t="str">
        <f ca="1">IFERROR(__xludf.DUMMYFUNCTION("googletranslate(C53,""en"",""ne"")"),"बनेपा नगरपालिका")</f>
        <v>बनेपा नगरपालिका</v>
      </c>
      <c r="D53" s="3" t="str">
        <f ca="1">IFERROR(__xludf.DUMMYFUNCTION("googletranslate(D53,""en"",""ne"")"),"मेयर")</f>
        <v>मेयर</v>
      </c>
      <c r="E53" s="2" t="s">
        <v>11</v>
      </c>
      <c r="F53" s="2" t="s">
        <v>146</v>
      </c>
      <c r="G53" s="2" t="s">
        <v>8</v>
      </c>
      <c r="H53" s="2" t="s">
        <v>67</v>
      </c>
      <c r="I53" s="2" t="s">
        <v>147</v>
      </c>
    </row>
    <row r="54" spans="1:10" ht="15.75" customHeight="1">
      <c r="A54" s="2" t="s">
        <v>4</v>
      </c>
      <c r="B54" s="2" t="s">
        <v>130</v>
      </c>
      <c r="C54" s="2" t="str">
        <f ca="1">IFERROR(__xludf.DUMMYFUNCTION("googletranslate(C54,""en"",""ne"")"),"बेथानचोक गाउँपालिका")</f>
        <v>बेथानचोक गाउँपालिका</v>
      </c>
      <c r="D54" s="3" t="str">
        <f ca="1">IFERROR(__xludf.DUMMYFUNCTION("googletranslate(D54,""en"",""ne"")"),"अध्यक्ष")</f>
        <v>अध्यक्ष</v>
      </c>
      <c r="E54" s="2" t="s">
        <v>11</v>
      </c>
      <c r="F54" s="2" t="s">
        <v>148</v>
      </c>
      <c r="G54" s="2" t="s">
        <v>8</v>
      </c>
      <c r="H54" s="2" t="s">
        <v>58</v>
      </c>
      <c r="I54" s="2" t="s">
        <v>149</v>
      </c>
    </row>
    <row r="55" spans="1:10" ht="15.75" customHeight="1">
      <c r="A55" s="2" t="s">
        <v>4</v>
      </c>
      <c r="B55" s="2" t="s">
        <v>130</v>
      </c>
      <c r="C55" s="2" t="str">
        <f ca="1">IFERROR(__xludf.DUMMYFUNCTION("googletranslate(C55,""en"",""ne"")"),"भुम्लु गाउँपालिका")</f>
        <v>भुम्लु गाउँपालिका</v>
      </c>
      <c r="D55" s="3" t="str">
        <f ca="1">IFERROR(__xludf.DUMMYFUNCTION("googletranslate(D55,""en"",""ne"")"),"अध्यक्ष")</f>
        <v>अध्यक्ष</v>
      </c>
      <c r="E55" s="2" t="s">
        <v>30</v>
      </c>
      <c r="F55" s="2" t="s">
        <v>150</v>
      </c>
      <c r="G55" s="2" t="s">
        <v>8</v>
      </c>
      <c r="H55" s="2" t="s">
        <v>151</v>
      </c>
      <c r="I55" s="2" t="s">
        <v>152</v>
      </c>
    </row>
    <row r="56" spans="1:10" ht="15.75" customHeight="1">
      <c r="A56" s="2" t="s">
        <v>4</v>
      </c>
      <c r="B56" s="2" t="s">
        <v>130</v>
      </c>
      <c r="C56" s="2" t="str">
        <f ca="1">IFERROR(__xludf.DUMMYFUNCTION("googletranslate(C56,""en"",""ne"")"),"मण्डनदेउपुर नगरपालिका")</f>
        <v>मण्डनदेउपुर नगरपालिका</v>
      </c>
      <c r="D56" s="3" t="str">
        <f ca="1">IFERROR(__xludf.DUMMYFUNCTION("googletranslate(D56,""en"",""ne"")"),"मेयर")</f>
        <v>मेयर</v>
      </c>
      <c r="E56" s="2" t="s">
        <v>39</v>
      </c>
      <c r="F56" s="2" t="s">
        <v>153</v>
      </c>
      <c r="G56" s="2" t="s">
        <v>8</v>
      </c>
      <c r="H56" s="2" t="s">
        <v>98</v>
      </c>
      <c r="I56" s="2" t="s">
        <v>154</v>
      </c>
      <c r="J56" s="2" t="s">
        <v>155</v>
      </c>
    </row>
    <row r="57" spans="1:10" ht="15.75" customHeight="1">
      <c r="A57" s="2" t="s">
        <v>4</v>
      </c>
      <c r="B57" s="2" t="s">
        <v>130</v>
      </c>
      <c r="C57" s="2" t="str">
        <f ca="1">IFERROR(__xludf.DUMMYFUNCTION("googletranslate(C57,""en"",""ne"")"),"महाभारत गाउँपालिका")</f>
        <v>महाभारत गाउँपालिका</v>
      </c>
      <c r="D57" s="3" t="str">
        <f ca="1">IFERROR(__xludf.DUMMYFUNCTION("googletranslate(D57,""en"",""ne"")"),"अध्यक्ष")</f>
        <v>अध्यक्ष</v>
      </c>
      <c r="E57" s="2" t="s">
        <v>30</v>
      </c>
      <c r="F57" s="2" t="s">
        <v>156</v>
      </c>
      <c r="G57" s="2" t="s">
        <v>8</v>
      </c>
      <c r="H57" s="2" t="s">
        <v>83</v>
      </c>
      <c r="I57" s="2" t="s">
        <v>157</v>
      </c>
    </row>
    <row r="58" spans="1:10" ht="15.75" customHeight="1">
      <c r="A58" s="2" t="s">
        <v>4</v>
      </c>
      <c r="B58" s="2" t="s">
        <v>130</v>
      </c>
      <c r="C58" s="2" t="str">
        <f ca="1">IFERROR(__xludf.DUMMYFUNCTION("googletranslate(C58,""en"",""ne"")"),"रोशीपाल गाउँपालिका")</f>
        <v>रोशीपाल गाउँपालिका</v>
      </c>
      <c r="D58" s="3" t="str">
        <f ca="1">IFERROR(__xludf.DUMMYFUNCTION("googletranslate(D58,""en"",""ne"")"),"अध्यक्ष")</f>
        <v>अध्यक्ष</v>
      </c>
      <c r="E58" s="2" t="s">
        <v>11</v>
      </c>
      <c r="F58" s="2" t="s">
        <v>158</v>
      </c>
      <c r="G58" s="2" t="s">
        <v>8</v>
      </c>
      <c r="H58" s="2" t="s">
        <v>159</v>
      </c>
      <c r="I58" s="2" t="s">
        <v>160</v>
      </c>
      <c r="J58" s="2" t="s">
        <v>161</v>
      </c>
    </row>
    <row r="59" spans="1:10" ht="15.75" customHeight="1">
      <c r="A59" s="2" t="s">
        <v>4</v>
      </c>
      <c r="B59" s="2" t="s">
        <v>162</v>
      </c>
      <c r="C59" s="2" t="str">
        <f ca="1">IFERROR(__xludf.DUMMYFUNCTION("googletranslate(C59,""en"",""ne"")"),"ललितपुर महानगरपालिका")</f>
        <v>ललितपुर महानगरपालिका</v>
      </c>
      <c r="D59" s="3" t="str">
        <f ca="1">IFERROR(__xludf.DUMMYFUNCTION("googletranslate(D59,""en"",""ne"")"),"मेयर")</f>
        <v>मेयर</v>
      </c>
      <c r="E59" s="2" t="s">
        <v>11</v>
      </c>
      <c r="F59" s="2" t="s">
        <v>163</v>
      </c>
      <c r="G59" s="2" t="s">
        <v>8</v>
      </c>
      <c r="H59" s="2" t="s">
        <v>140</v>
      </c>
      <c r="I59" s="2" t="s">
        <v>164</v>
      </c>
    </row>
    <row r="60" spans="1:10" ht="15.75" customHeight="1">
      <c r="A60" s="2" t="s">
        <v>4</v>
      </c>
      <c r="B60" s="2" t="s">
        <v>162</v>
      </c>
      <c r="C60" s="2" t="str">
        <f ca="1">IFERROR(__xludf.DUMMYFUNCTION("googletranslate(C60,""en"",""ne"")"),"कोन्ज्योसोम गाउँपालिका")</f>
        <v>कोन्ज्योसोम गाउँपालिका</v>
      </c>
      <c r="D60" s="3" t="str">
        <f ca="1">IFERROR(__xludf.DUMMYFUNCTION("googletranslate(D60,""en"",""ne"")"),"अध्यक्ष")</f>
        <v>अध्यक्ष</v>
      </c>
      <c r="E60" s="2" t="s">
        <v>18</v>
      </c>
      <c r="F60" s="2" t="s">
        <v>165</v>
      </c>
      <c r="G60" s="2" t="s">
        <v>8</v>
      </c>
      <c r="H60" s="2" t="s">
        <v>45</v>
      </c>
      <c r="I60" s="2" t="s">
        <v>166</v>
      </c>
    </row>
    <row r="61" spans="1:10" ht="15.75" customHeight="1">
      <c r="A61" s="2" t="s">
        <v>4</v>
      </c>
      <c r="B61" s="2" t="s">
        <v>162</v>
      </c>
      <c r="C61" s="2" t="str">
        <f ca="1">IFERROR(__xludf.DUMMYFUNCTION("googletranslate(C61,""en"",""ne"")"),"गोदावरी नगरपालिका")</f>
        <v>गोदावरी नगरपालिका</v>
      </c>
      <c r="D61" s="3" t="str">
        <f ca="1">IFERROR(__xludf.DUMMYFUNCTION("googletranslate(D61,""en"",""ne"")"),"मेयर")</f>
        <v>मेयर</v>
      </c>
      <c r="E61" s="2" t="s">
        <v>11</v>
      </c>
      <c r="F61" s="2" t="s">
        <v>167</v>
      </c>
      <c r="G61" s="2" t="s">
        <v>8</v>
      </c>
      <c r="H61" s="2" t="s">
        <v>70</v>
      </c>
      <c r="I61" s="2" t="s">
        <v>168</v>
      </c>
    </row>
    <row r="62" spans="1:10" ht="15.75" customHeight="1">
      <c r="A62" s="2" t="s">
        <v>4</v>
      </c>
      <c r="B62" s="2" t="s">
        <v>162</v>
      </c>
      <c r="C62" s="2" t="str">
        <f ca="1">IFERROR(__xludf.DUMMYFUNCTION("googletranslate(C62,""en"",""ne"")"),"बाग्मती गाउँपालिका")</f>
        <v>बाग्मती गाउँपालिका</v>
      </c>
      <c r="D62" s="3" t="str">
        <f ca="1">IFERROR(__xludf.DUMMYFUNCTION("googletranslate(D62,""en"",""ne"")"),"अध्यक्ष")</f>
        <v>अध्यक्ष</v>
      </c>
      <c r="E62" s="2" t="s">
        <v>11</v>
      </c>
      <c r="F62" s="2" t="s">
        <v>169</v>
      </c>
      <c r="G62" s="2" t="s">
        <v>8</v>
      </c>
      <c r="H62" s="2" t="s">
        <v>64</v>
      </c>
      <c r="I62" s="2" t="s">
        <v>170</v>
      </c>
    </row>
    <row r="63" spans="1:10" ht="15.75" customHeight="1">
      <c r="A63" s="2" t="s">
        <v>4</v>
      </c>
      <c r="B63" s="2" t="s">
        <v>162</v>
      </c>
      <c r="C63" s="2" t="str">
        <f ca="1">IFERROR(__xludf.DUMMYFUNCTION("googletranslate(C63,""en"",""ne"")"),"महाङ्काल गाउँपालिका")</f>
        <v>महाङ्काल गाउँपालिका</v>
      </c>
      <c r="D63" s="3" t="str">
        <f ca="1">IFERROR(__xludf.DUMMYFUNCTION("googletranslate(D63,""en"",""ne"")"),"अध्यक्ष")</f>
        <v>अध्यक्ष</v>
      </c>
      <c r="E63" s="2" t="s">
        <v>11</v>
      </c>
      <c r="F63" s="2" t="s">
        <v>171</v>
      </c>
      <c r="G63" s="2" t="s">
        <v>8</v>
      </c>
      <c r="H63" s="2" t="s">
        <v>172</v>
      </c>
      <c r="I63" s="2" t="s">
        <v>173</v>
      </c>
    </row>
    <row r="64" spans="1:10" ht="15.75" customHeight="1">
      <c r="A64" s="2" t="s">
        <v>4</v>
      </c>
      <c r="B64" s="2" t="s">
        <v>162</v>
      </c>
      <c r="C64" s="2" t="str">
        <f ca="1">IFERROR(__xludf.DUMMYFUNCTION("googletranslate(C64,""en"",""ne"")"),"महालक्ष्मी नगरपालिका")</f>
        <v>महालक्ष्मी नगरपालिका</v>
      </c>
      <c r="D64" s="3" t="str">
        <f ca="1">IFERROR(__xludf.DUMMYFUNCTION("googletranslate(D64,""en"",""ne"")"),"मेयर")</f>
        <v>मेयर</v>
      </c>
      <c r="E64" s="2" t="s">
        <v>18</v>
      </c>
      <c r="F64" s="2" t="s">
        <v>174</v>
      </c>
      <c r="G64" s="2" t="s">
        <v>8</v>
      </c>
      <c r="H64" s="2" t="s">
        <v>9</v>
      </c>
      <c r="I64" s="2" t="s">
        <v>175</v>
      </c>
    </row>
    <row r="65" spans="1:9" ht="15.75" customHeight="1">
      <c r="A65" s="2" t="s">
        <v>4</v>
      </c>
      <c r="B65" s="2" t="s">
        <v>176</v>
      </c>
      <c r="C65" s="2" t="str">
        <f ca="1">IFERROR(__xludf.DUMMYFUNCTION("googletranslate(C65,""en"",""ne"")"),"मकवानपुरगढी गाउँपालिका")</f>
        <v>मकवानपुरगढी गाउँपालिका</v>
      </c>
      <c r="D65" s="3" t="str">
        <f ca="1">IFERROR(__xludf.DUMMYFUNCTION("googletranslate(D65,""en"",""ne"")"),"अध्यक्ष")</f>
        <v>अध्यक्ष</v>
      </c>
      <c r="E65" s="2" t="s">
        <v>11</v>
      </c>
      <c r="F65" s="2" t="s">
        <v>177</v>
      </c>
      <c r="G65" s="2" t="s">
        <v>8</v>
      </c>
      <c r="H65" s="2" t="s">
        <v>67</v>
      </c>
      <c r="I65" s="2" t="s">
        <v>178</v>
      </c>
    </row>
    <row r="66" spans="1:9" ht="15.75" customHeight="1">
      <c r="A66" s="2" t="s">
        <v>4</v>
      </c>
      <c r="B66" s="2" t="s">
        <v>176</v>
      </c>
      <c r="C66" s="2" t="str">
        <f ca="1">IFERROR(__xludf.DUMMYFUNCTION("googletranslate(C66,""en"",""ne"")"),"ईन्द्र सरोवर गाउँपालिका")</f>
        <v>ईन्द्र सरोवर गाउँपालिका</v>
      </c>
      <c r="D66" s="3" t="str">
        <f ca="1">IFERROR(__xludf.DUMMYFUNCTION("googletranslate(D66,""en"",""ne"")"),"अध्यक्ष")</f>
        <v>अध्यक्ष</v>
      </c>
      <c r="E66" s="2" t="s">
        <v>18</v>
      </c>
      <c r="F66" s="2" t="s">
        <v>179</v>
      </c>
      <c r="G66" s="2" t="s">
        <v>8</v>
      </c>
      <c r="H66" s="2" t="s">
        <v>172</v>
      </c>
      <c r="I66" s="2" t="s">
        <v>180</v>
      </c>
    </row>
    <row r="67" spans="1:9" ht="15.75" customHeight="1">
      <c r="A67" s="2" t="s">
        <v>4</v>
      </c>
      <c r="B67" s="2" t="s">
        <v>176</v>
      </c>
      <c r="C67" s="2" t="str">
        <f ca="1">IFERROR(__xludf.DUMMYFUNCTION("googletranslate(C67,""en"",""ne"")"),"कैलाश गाउँपालिका")</f>
        <v>कैलाश गाउँपालिका</v>
      </c>
      <c r="D67" s="3" t="str">
        <f ca="1">IFERROR(__xludf.DUMMYFUNCTION("googletranslate(D67,""en"",""ne"")"),"अध्यक्ष")</f>
        <v>अध्यक्ष</v>
      </c>
      <c r="E67" s="2" t="s">
        <v>11</v>
      </c>
      <c r="F67" s="2" t="s">
        <v>181</v>
      </c>
      <c r="G67" s="2" t="s">
        <v>8</v>
      </c>
      <c r="H67" s="2" t="s">
        <v>159</v>
      </c>
      <c r="I67" s="2" t="s">
        <v>182</v>
      </c>
    </row>
    <row r="68" spans="1:9" ht="15.75" customHeight="1">
      <c r="A68" s="2" t="s">
        <v>4</v>
      </c>
      <c r="B68" s="2" t="s">
        <v>176</v>
      </c>
      <c r="C68" s="2" t="str">
        <f ca="1">IFERROR(__xludf.DUMMYFUNCTION("googletranslate(C68,""en"",""ne"")"),"ज्ञात नगरपालिका")</f>
        <v>ज्ञात नगरपालिका</v>
      </c>
      <c r="D68" s="3" t="str">
        <f ca="1">IFERROR(__xludf.DUMMYFUNCTION("googletranslate(D68,""en"",""ne"")"),"मेयर")</f>
        <v>मेयर</v>
      </c>
      <c r="E68" s="2" t="s">
        <v>30</v>
      </c>
      <c r="F68" s="2" t="s">
        <v>183</v>
      </c>
      <c r="G68" s="2" t="s">
        <v>8</v>
      </c>
      <c r="H68" s="2" t="s">
        <v>16</v>
      </c>
      <c r="I68" s="2" t="s">
        <v>184</v>
      </c>
    </row>
    <row r="69" spans="1:9" ht="15.75" customHeight="1">
      <c r="A69" s="2" t="s">
        <v>4</v>
      </c>
      <c r="B69" s="2" t="s">
        <v>176</v>
      </c>
      <c r="C69" s="2" t="str">
        <f ca="1">IFERROR(__xludf.DUMMYFUNCTION("googletranslate(C69,""en"",""ne"")"),"बकैया गाउँपालिका")</f>
        <v>बकैया गाउँपालिका</v>
      </c>
      <c r="D69" s="3" t="str">
        <f ca="1">IFERROR(__xludf.DUMMYFUNCTION("googletranslate(D69,""en"",""ne"")"),"अध्यक्ष")</f>
        <v>अध्यक्ष</v>
      </c>
      <c r="E69" s="2" t="s">
        <v>11</v>
      </c>
      <c r="F69" s="2" t="s">
        <v>185</v>
      </c>
      <c r="G69" s="2" t="s">
        <v>8</v>
      </c>
      <c r="H69" s="2" t="s">
        <v>45</v>
      </c>
      <c r="I69" s="2" t="s">
        <v>186</v>
      </c>
    </row>
    <row r="70" spans="1:9" ht="15.75" customHeight="1">
      <c r="A70" s="2" t="s">
        <v>4</v>
      </c>
      <c r="B70" s="2" t="s">
        <v>176</v>
      </c>
      <c r="C70" s="2" t="str">
        <f ca="1">IFERROR(__xludf.DUMMYFUNCTION("googletranslate(C70,""en"",""ne"")"),"बाग्मती गाउँपालिका")</f>
        <v>बाग्मती गाउँपालिका</v>
      </c>
      <c r="D70" s="3" t="str">
        <f ca="1">IFERROR(__xludf.DUMMYFUNCTION("googletranslate(D70,""en"",""ne"")"),"अध्यक्ष")</f>
        <v>अध्यक्ष</v>
      </c>
      <c r="E70" s="2" t="s">
        <v>30</v>
      </c>
      <c r="F70" s="2" t="s">
        <v>187</v>
      </c>
      <c r="G70" s="2" t="s">
        <v>8</v>
      </c>
      <c r="H70" s="2" t="s">
        <v>151</v>
      </c>
      <c r="I70" s="2" t="s">
        <v>188</v>
      </c>
    </row>
    <row r="71" spans="1:9" ht="15.75" customHeight="1">
      <c r="A71" s="2" t="s">
        <v>4</v>
      </c>
      <c r="B71" s="2" t="s">
        <v>176</v>
      </c>
      <c r="C71" s="2" t="str">
        <f ca="1">IFERROR(__xludf.DUMMYFUNCTION("googletranslate(C71,""en"",""ne"")"),"भीमफेदी गाउँपालिका")</f>
        <v>भीमफेदी गाउँपालिका</v>
      </c>
      <c r="D71" s="3" t="str">
        <f ca="1">IFERROR(__xludf.DUMMYFUNCTION("googletranslate(D71,""en"",""ne"")"),"अध्यक्ष")</f>
        <v>अध्यक्ष</v>
      </c>
      <c r="E71" s="2" t="s">
        <v>18</v>
      </c>
      <c r="F71" s="2" t="s">
        <v>189</v>
      </c>
      <c r="G71" s="2" t="s">
        <v>8</v>
      </c>
      <c r="H71" s="2" t="s">
        <v>190</v>
      </c>
      <c r="I71" s="2" t="s">
        <v>191</v>
      </c>
    </row>
    <row r="72" spans="1:9" ht="15.75" customHeight="1">
      <c r="A72" s="2" t="s">
        <v>4</v>
      </c>
      <c r="B72" s="2" t="s">
        <v>176</v>
      </c>
      <c r="C72" s="2" t="str">
        <f ca="1">IFERROR(__xludf.DUMMYFUNCTION("googletranslate(C72,""en"",""ne"")"),"मनहरीपालिका गाउँपालिका")</f>
        <v>मनहरीपालिका गाउँपालिका</v>
      </c>
      <c r="D72" s="3" t="str">
        <f ca="1">IFERROR(__xludf.DUMMYFUNCTION("googletranslate(D72,""en"",""ne"")"),"अध्यक्ष")</f>
        <v>अध्यक्ष</v>
      </c>
      <c r="E72" s="2" t="s">
        <v>11</v>
      </c>
      <c r="F72" s="2" t="s">
        <v>192</v>
      </c>
      <c r="G72" s="2" t="s">
        <v>8</v>
      </c>
      <c r="H72" s="2" t="s">
        <v>33</v>
      </c>
      <c r="I72" s="2" t="s">
        <v>193</v>
      </c>
    </row>
    <row r="73" spans="1:9" ht="15.75" customHeight="1">
      <c r="A73" s="2" t="s">
        <v>4</v>
      </c>
      <c r="B73" s="2" t="s">
        <v>176</v>
      </c>
      <c r="C73" s="2" t="str">
        <f ca="1">IFERROR(__xludf.DUMMYFUNCTION("googletranslate(C73,""en"",""ne"")"),"रक्सीराङ्ग गाउँपालिका")</f>
        <v>रक्सीराङ्ग गाउँपालिका</v>
      </c>
      <c r="D73" s="3" t="str">
        <f ca="1">IFERROR(__xludf.DUMMYFUNCTION("googletranslate(D73,""en"",""ne"")"),"अध्यक्ष")</f>
        <v>अध्यक्ष</v>
      </c>
      <c r="E73" s="2" t="s">
        <v>11</v>
      </c>
      <c r="F73" s="2" t="s">
        <v>194</v>
      </c>
      <c r="G73" s="2" t="s">
        <v>8</v>
      </c>
      <c r="H73" s="2" t="s">
        <v>64</v>
      </c>
      <c r="I73" s="2" t="s">
        <v>195</v>
      </c>
    </row>
    <row r="74" spans="1:9" ht="15.75" customHeight="1">
      <c r="A74" s="2" t="s">
        <v>4</v>
      </c>
      <c r="B74" s="2" t="s">
        <v>176</v>
      </c>
      <c r="C74" s="2" t="str">
        <f ca="1">IFERROR(__xludf.DUMMYFUNCTION("googletranslate(C74,""en"",""ne"")"),"हेटौंडा उपमहानगरपालिका")</f>
        <v>हेटौंडा उपमहानगरपालिका</v>
      </c>
      <c r="D74" s="3" t="str">
        <f ca="1">IFERROR(__xludf.DUMMYFUNCTION("googletranslate(D74,""en"",""ne"")"),"मेयर")</f>
        <v>मेयर</v>
      </c>
      <c r="E74" s="2" t="s">
        <v>39</v>
      </c>
      <c r="F74" s="2" t="s">
        <v>196</v>
      </c>
      <c r="G74" s="2" t="s">
        <v>32</v>
      </c>
      <c r="H74" s="2" t="s">
        <v>33</v>
      </c>
      <c r="I74" s="2" t="s">
        <v>197</v>
      </c>
    </row>
    <row r="75" spans="1:9" ht="15.75" customHeight="1">
      <c r="A75" s="2" t="s">
        <v>4</v>
      </c>
      <c r="B75" s="2" t="s">
        <v>198</v>
      </c>
      <c r="C75" s="2" t="str">
        <f ca="1">IFERROR(__xludf.DUMMYFUNCTION("googletranslate(C75,""en"",""ne"")"),"ककनी गाउँपालिका")</f>
        <v>ककनी गाउँपालिका</v>
      </c>
      <c r="D75" s="3" t="str">
        <f ca="1">IFERROR(__xludf.DUMMYFUNCTION("googletranslate(D75,""en"",""ne"")"),"अध्यक्ष")</f>
        <v>अध्यक्ष</v>
      </c>
      <c r="E75" s="2" t="s">
        <v>30</v>
      </c>
      <c r="F75" s="2" t="s">
        <v>199</v>
      </c>
      <c r="G75" s="2" t="s">
        <v>8</v>
      </c>
      <c r="H75" s="2" t="s">
        <v>200</v>
      </c>
      <c r="I75" s="2" t="s">
        <v>170</v>
      </c>
    </row>
    <row r="76" spans="1:9" ht="15.75" customHeight="1">
      <c r="A76" s="2" t="s">
        <v>4</v>
      </c>
      <c r="B76" s="2" t="s">
        <v>198</v>
      </c>
      <c r="C76" s="2" t="str">
        <f ca="1">IFERROR(__xludf.DUMMYFUNCTION("googletranslate(C76,""en"",""ne"")"),"किस्पाङ गाउँपालिका")</f>
        <v>किस्पाङ गाउँपालिका</v>
      </c>
      <c r="D76" s="3" t="str">
        <f ca="1">IFERROR(__xludf.DUMMYFUNCTION("googletranslate(D76,""en"",""ne"")"),"अध्यक्ष")</f>
        <v>अध्यक्ष</v>
      </c>
      <c r="E76" s="2" t="s">
        <v>18</v>
      </c>
      <c r="F76" s="2" t="s">
        <v>201</v>
      </c>
      <c r="G76" s="2" t="s">
        <v>8</v>
      </c>
      <c r="H76" s="2" t="s">
        <v>200</v>
      </c>
      <c r="I76" s="2" t="s">
        <v>202</v>
      </c>
    </row>
    <row r="77" spans="1:9" ht="15.75" customHeight="1">
      <c r="A77" s="2" t="s">
        <v>4</v>
      </c>
      <c r="B77" s="2" t="s">
        <v>198</v>
      </c>
      <c r="C77" s="2" t="str">
        <f ca="1">IFERROR(__xludf.DUMMYFUNCTION("googletranslate(C77,""en"",""ne"")"),"तादीपालिका गाउँपालिका")</f>
        <v>तादीपालिका गाउँपालिका</v>
      </c>
      <c r="D77" s="3" t="str">
        <f ca="1">IFERROR(__xludf.DUMMYFUNCTION("googletranslate(D77,""en"",""ne"")"),"अध्यक्ष")</f>
        <v>अध्यक्ष</v>
      </c>
      <c r="E77" s="2" t="s">
        <v>11</v>
      </c>
      <c r="F77" s="2" t="s">
        <v>203</v>
      </c>
      <c r="G77" s="2" t="s">
        <v>8</v>
      </c>
      <c r="H77" s="2" t="s">
        <v>23</v>
      </c>
      <c r="I77" s="2" t="s">
        <v>204</v>
      </c>
    </row>
    <row r="78" spans="1:9" ht="15.75" customHeight="1">
      <c r="A78" s="2" t="s">
        <v>4</v>
      </c>
      <c r="B78" s="2" t="s">
        <v>198</v>
      </c>
      <c r="C78" s="2" t="str">
        <f ca="1">IFERROR(__xludf.DUMMYFUNCTION("googletranslate(C78,""en"",""ne"")"),"तारकेश्वर गाउँपालिका")</f>
        <v>तारकेश्वर गाउँपालिका</v>
      </c>
      <c r="D78" s="3" t="str">
        <f ca="1">IFERROR(__xludf.DUMMYFUNCTION("googletranslate(D78,""en"",""ne"")"),"अध्यक्ष")</f>
        <v>अध्यक्ष</v>
      </c>
      <c r="E78" s="2" t="s">
        <v>11</v>
      </c>
      <c r="F78" s="2" t="s">
        <v>205</v>
      </c>
      <c r="G78" s="2" t="s">
        <v>8</v>
      </c>
      <c r="H78" s="2" t="s">
        <v>200</v>
      </c>
      <c r="I78" s="2" t="s">
        <v>206</v>
      </c>
    </row>
    <row r="79" spans="1:9" ht="15.75" customHeight="1">
      <c r="A79" s="2" t="s">
        <v>4</v>
      </c>
      <c r="B79" s="2" t="s">
        <v>198</v>
      </c>
      <c r="C79" s="2" t="str">
        <f ca="1">IFERROR(__xludf.DUMMYFUNCTION("googletranslate(C79,""en"",""ne"")"),"दुप्चेश्वर गाउँपालिका")</f>
        <v>दुप्चेश्वर गाउँपालिका</v>
      </c>
      <c r="D79" s="3" t="str">
        <f ca="1">IFERROR(__xludf.DUMMYFUNCTION("googletranslate(D79,""en"",""ne"")"),"अध्यक्ष")</f>
        <v>अध्यक्ष</v>
      </c>
      <c r="E79" s="2" t="s">
        <v>30</v>
      </c>
      <c r="F79" s="2" t="s">
        <v>207</v>
      </c>
      <c r="G79" s="2" t="s">
        <v>8</v>
      </c>
      <c r="H79" s="2" t="s">
        <v>67</v>
      </c>
      <c r="I79" s="2" t="s">
        <v>208</v>
      </c>
    </row>
    <row r="80" spans="1:9" ht="15.75" customHeight="1">
      <c r="A80" s="2" t="s">
        <v>4</v>
      </c>
      <c r="B80" s="2" t="s">
        <v>198</v>
      </c>
      <c r="C80" s="2" t="str">
        <f ca="1">IFERROR(__xludf.DUMMYFUNCTION("googletranslate(C80,""en"",""ne"")"),"पञ्चकन्या गाउँपालिका")</f>
        <v>पञ्चकन्या गाउँपालिका</v>
      </c>
      <c r="D80" s="3" t="str">
        <f ca="1">IFERROR(__xludf.DUMMYFUNCTION("googletranslate(D80,""en"",""ne"")"),"अध्यक्ष")</f>
        <v>अध्यक्ष</v>
      </c>
      <c r="E80" s="2" t="s">
        <v>30</v>
      </c>
      <c r="F80" s="2" t="s">
        <v>209</v>
      </c>
      <c r="G80" s="2" t="s">
        <v>8</v>
      </c>
      <c r="H80" s="2" t="s">
        <v>26</v>
      </c>
      <c r="I80" s="2" t="s">
        <v>210</v>
      </c>
    </row>
    <row r="81" spans="1:9" ht="15.75" customHeight="1">
      <c r="A81" s="2" t="s">
        <v>4</v>
      </c>
      <c r="B81" s="2" t="s">
        <v>198</v>
      </c>
      <c r="C81" s="2" t="str">
        <f ca="1">IFERROR(__xludf.DUMMYFUNCTION("googletranslate(C81,""en"",""ne"")"),"बेलकोटगढी नगरपालिका")</f>
        <v>बेलकोटगढी नगरपालिका</v>
      </c>
      <c r="D81" s="3" t="str">
        <f ca="1">IFERROR(__xludf.DUMMYFUNCTION("googletranslate(D81,""en"",""ne"")"),"मेयर")</f>
        <v>मेयर</v>
      </c>
      <c r="E81" s="2" t="s">
        <v>30</v>
      </c>
      <c r="F81" s="2" t="s">
        <v>211</v>
      </c>
      <c r="G81" s="2" t="s">
        <v>8</v>
      </c>
      <c r="H81" s="2" t="s">
        <v>23</v>
      </c>
      <c r="I81" s="2" t="s">
        <v>212</v>
      </c>
    </row>
    <row r="82" spans="1:9" ht="15.75" customHeight="1">
      <c r="A82" s="2" t="s">
        <v>4</v>
      </c>
      <c r="B82" s="2" t="s">
        <v>198</v>
      </c>
      <c r="C82" s="2" t="str">
        <f ca="1">IFERROR(__xludf.DUMMYFUNCTION("googletranslate(C82,""en"",""ne"")"),"म्यागङ गाउँपालिका")</f>
        <v>म्यागङ गाउँपालिका</v>
      </c>
      <c r="D82" s="3" t="str">
        <f ca="1">IFERROR(__xludf.DUMMYFUNCTION("googletranslate(D82,""en"",""ne"")"),"अध्यक्ष")</f>
        <v>अध्यक्ष</v>
      </c>
      <c r="E82" s="2" t="s">
        <v>11</v>
      </c>
      <c r="F82" s="2" t="s">
        <v>213</v>
      </c>
      <c r="G82" s="2" t="s">
        <v>8</v>
      </c>
      <c r="H82" s="2" t="s">
        <v>23</v>
      </c>
      <c r="I82" s="2" t="s">
        <v>214</v>
      </c>
    </row>
    <row r="83" spans="1:9" ht="15.75" customHeight="1">
      <c r="A83" s="2" t="s">
        <v>4</v>
      </c>
      <c r="B83" s="2" t="s">
        <v>198</v>
      </c>
      <c r="C83" s="2" t="str">
        <f ca="1">IFERROR(__xludf.DUMMYFUNCTION("googletranslate(C83,""en"",""ne"")"),"लेखुपाल गाउँपालिका")</f>
        <v>लेखुपाल गाउँपालिका</v>
      </c>
      <c r="D83" s="3" t="str">
        <f ca="1">IFERROR(__xludf.DUMMYFUNCTION("googletranslate(D83,""en"",""ne"")"),"अध्यक्ष")</f>
        <v>अध्यक्ष</v>
      </c>
      <c r="E83" s="2" t="s">
        <v>11</v>
      </c>
      <c r="F83" s="2" t="s">
        <v>215</v>
      </c>
      <c r="G83" s="2" t="s">
        <v>8</v>
      </c>
      <c r="H83" s="2" t="s">
        <v>9</v>
      </c>
      <c r="I83" s="2" t="s">
        <v>216</v>
      </c>
    </row>
    <row r="84" spans="1:9" ht="15.75" customHeight="1">
      <c r="A84" s="2" t="s">
        <v>4</v>
      </c>
      <c r="B84" s="2" t="s">
        <v>198</v>
      </c>
      <c r="C84" s="2" t="str">
        <f ca="1">IFERROR(__xludf.DUMMYFUNCTION("googletranslate(C84,""en"",""ne"")"),"विदुर नगरपालिका")</f>
        <v>विदुर नगरपालिका</v>
      </c>
      <c r="D84" s="3" t="str">
        <f ca="1">IFERROR(__xludf.DUMMYFUNCTION("googletranslate(D84,""en"",""ne"")"),"मेयर")</f>
        <v>मेयर</v>
      </c>
      <c r="E84" s="2" t="s">
        <v>11</v>
      </c>
      <c r="F84" s="2" t="s">
        <v>217</v>
      </c>
      <c r="G84" s="2" t="s">
        <v>8</v>
      </c>
      <c r="H84" s="2" t="s">
        <v>151</v>
      </c>
      <c r="I84" s="2" t="s">
        <v>218</v>
      </c>
    </row>
    <row r="85" spans="1:9" ht="15.75" customHeight="1">
      <c r="A85" s="2" t="s">
        <v>4</v>
      </c>
      <c r="B85" s="2" t="s">
        <v>198</v>
      </c>
      <c r="C85" s="2" t="str">
        <f ca="1">IFERROR(__xludf.DUMMYFUNCTION("googletranslate(C85,""en"",""ne"")"),"शिवपुरी गाउँपालिका")</f>
        <v>शिवपुरी गाउँपालिका</v>
      </c>
      <c r="D85" s="3" t="str">
        <f ca="1">IFERROR(__xludf.DUMMYFUNCTION("googletranslate(D85,""en"",""ne"")"),"अध्यक्ष")</f>
        <v>अध्यक्ष</v>
      </c>
      <c r="E85" s="2" t="s">
        <v>11</v>
      </c>
      <c r="F85" s="2" t="s">
        <v>219</v>
      </c>
      <c r="G85" s="2" t="s">
        <v>8</v>
      </c>
      <c r="H85" s="2" t="s">
        <v>45</v>
      </c>
      <c r="I85" s="2" t="s">
        <v>220</v>
      </c>
    </row>
    <row r="86" spans="1:9" ht="15.75" customHeight="1">
      <c r="A86" s="2" t="s">
        <v>4</v>
      </c>
      <c r="B86" s="2" t="s">
        <v>198</v>
      </c>
      <c r="C86" s="2" t="str">
        <f ca="1">IFERROR(__xludf.DUMMYFUNCTION("googletranslate(C86,""en"",""ne"")"),"सुर्यगढी गाउँपालिका")</f>
        <v>सुर्यगढी गाउँपालिका</v>
      </c>
      <c r="D86" s="3" t="str">
        <f ca="1">IFERROR(__xludf.DUMMYFUNCTION("googletranslate(D86,""en"",""ne"")"),"अध्यक्ष")</f>
        <v>अध्यक्ष</v>
      </c>
      <c r="E86" s="2" t="s">
        <v>11</v>
      </c>
      <c r="F86" s="2" t="s">
        <v>221</v>
      </c>
      <c r="G86" s="2" t="s">
        <v>8</v>
      </c>
      <c r="H86" s="2" t="s">
        <v>61</v>
      </c>
      <c r="I86" s="2" t="s">
        <v>222</v>
      </c>
    </row>
    <row r="87" spans="1:9" ht="15.75" customHeight="1">
      <c r="A87" s="2" t="s">
        <v>4</v>
      </c>
      <c r="B87" s="2" t="s">
        <v>223</v>
      </c>
      <c r="C87" s="2" t="str">
        <f ca="1">IFERROR(__xludf.DUMMYFUNCTION("googletranslate(C87,""en"",""ne"")"),"रामेछाप नगरपालिका")</f>
        <v>रामेछाप नगरपालिका</v>
      </c>
      <c r="D87" s="3" t="str">
        <f ca="1">IFERROR(__xludf.DUMMYFUNCTION("googletranslate(D87,""en"",""ne"")"),"मेयर")</f>
        <v>मेयर</v>
      </c>
      <c r="E87" s="2" t="s">
        <v>11</v>
      </c>
      <c r="F87" s="2" t="s">
        <v>224</v>
      </c>
      <c r="G87" s="2" t="s">
        <v>8</v>
      </c>
      <c r="H87" s="2" t="s">
        <v>9</v>
      </c>
      <c r="I87" s="2" t="s">
        <v>225</v>
      </c>
    </row>
    <row r="88" spans="1:9" ht="15.75" customHeight="1">
      <c r="A88" s="2" t="s">
        <v>4</v>
      </c>
      <c r="B88" s="2" t="s">
        <v>223</v>
      </c>
      <c r="C88" s="2" t="str">
        <f ca="1">IFERROR(__xludf.DUMMYFUNCTION("googletranslate(C88,""en"",""ne"")"),"उमाकुण्ड गाउँपालिका")</f>
        <v>उमाकुण्ड गाउँपालिका</v>
      </c>
      <c r="D88" s="3" t="str">
        <f ca="1">IFERROR(__xludf.DUMMYFUNCTION("googletranslate(D88,""en"",""ne"")"),"अध्यक्ष")</f>
        <v>अध्यक्ष</v>
      </c>
      <c r="E88" s="2" t="s">
        <v>18</v>
      </c>
      <c r="F88" s="2" t="s">
        <v>226</v>
      </c>
      <c r="G88" s="2" t="s">
        <v>8</v>
      </c>
      <c r="H88" s="2" t="s">
        <v>91</v>
      </c>
      <c r="I88" s="2" t="s">
        <v>227</v>
      </c>
    </row>
    <row r="89" spans="1:9" ht="15.75" customHeight="1">
      <c r="A89" s="2" t="s">
        <v>4</v>
      </c>
      <c r="B89" s="2" t="s">
        <v>223</v>
      </c>
      <c r="C89" s="2" t="str">
        <f ca="1">IFERROR(__xludf.DUMMYFUNCTION("googletranslate(C89,""en"",""ne"")"),"खाँडा देवी गाउँपालिका")</f>
        <v>खाँडा देवी गाउँपालिका</v>
      </c>
      <c r="D89" s="3" t="str">
        <f ca="1">IFERROR(__xludf.DUMMYFUNCTION("googletranslate(D89,""en"",""ne"")"),"अध्यक्ष")</f>
        <v>अध्यक्ष</v>
      </c>
      <c r="E89" s="2" t="s">
        <v>18</v>
      </c>
      <c r="F89" s="2" t="s">
        <v>228</v>
      </c>
      <c r="G89" s="2" t="s">
        <v>8</v>
      </c>
      <c r="H89" s="2" t="s">
        <v>64</v>
      </c>
      <c r="I89" s="2" t="s">
        <v>229</v>
      </c>
    </row>
    <row r="90" spans="1:9" ht="15.75" customHeight="1">
      <c r="A90" s="2" t="s">
        <v>4</v>
      </c>
      <c r="B90" s="2" t="s">
        <v>223</v>
      </c>
      <c r="C90" s="2" t="str">
        <f ca="1">IFERROR(__xludf.DUMMYFUNCTION("googletranslate(C90,""en"",""ne"")"),"गोकुलगङ्गा गाउँपालिका")</f>
        <v>गोकुलगङ्गा गाउँपालिका</v>
      </c>
      <c r="D90" s="3" t="str">
        <f ca="1">IFERROR(__xludf.DUMMYFUNCTION("googletranslate(D90,""en"",""ne"")"),"अध्यक्ष")</f>
        <v>अध्यक्ष</v>
      </c>
      <c r="E90" s="2" t="s">
        <v>11</v>
      </c>
      <c r="F90" s="2" t="s">
        <v>230</v>
      </c>
      <c r="G90" s="2" t="s">
        <v>8</v>
      </c>
      <c r="H90" s="2" t="s">
        <v>41</v>
      </c>
      <c r="I90" s="2" t="s">
        <v>231</v>
      </c>
    </row>
    <row r="91" spans="1:9" ht="15.75" customHeight="1">
      <c r="A91" s="2" t="s">
        <v>4</v>
      </c>
      <c r="B91" s="2" t="s">
        <v>223</v>
      </c>
      <c r="C91" s="2" t="str">
        <f ca="1">IFERROR(__xludf.DUMMYFUNCTION("googletranslate(C91,""en"",""ne"")"),"दोरम्बा शैलुङ्ग गाउँपालिका")</f>
        <v>दोरम्बा शैलुङ्ग गाउँपालिका</v>
      </c>
      <c r="D91" s="3" t="str">
        <f ca="1">IFERROR(__xludf.DUMMYFUNCTION("googletranslate(D91,""en"",""ne"")"),"अध्यक्ष")</f>
        <v>अध्यक्ष</v>
      </c>
      <c r="E91" s="2" t="s">
        <v>30</v>
      </c>
      <c r="F91" s="2" t="s">
        <v>232</v>
      </c>
      <c r="G91" s="2" t="s">
        <v>8</v>
      </c>
      <c r="H91" s="2" t="s">
        <v>159</v>
      </c>
      <c r="I91" s="2" t="s">
        <v>233</v>
      </c>
    </row>
    <row r="92" spans="1:9" ht="15.75" customHeight="1">
      <c r="A92" s="2" t="s">
        <v>4</v>
      </c>
      <c r="B92" s="2" t="s">
        <v>223</v>
      </c>
      <c r="C92" s="2" t="str">
        <f ca="1">IFERROR(__xludf.DUMMYFUNCTION("googletranslate(C92,""en"",""ne"")"),"मन्थली नगरपालिका")</f>
        <v>मन्थली नगरपालिका</v>
      </c>
      <c r="D92" s="3" t="str">
        <f ca="1">IFERROR(__xludf.DUMMYFUNCTION("googletranslate(D92,""en"",""ne"")"),"मेयर")</f>
        <v>मेयर</v>
      </c>
      <c r="E92" s="2" t="s">
        <v>18</v>
      </c>
      <c r="F92" s="2" t="s">
        <v>234</v>
      </c>
      <c r="G92" s="2" t="s">
        <v>8</v>
      </c>
      <c r="H92" s="2" t="s">
        <v>33</v>
      </c>
      <c r="I92" s="2" t="s">
        <v>235</v>
      </c>
    </row>
    <row r="93" spans="1:9" ht="15.75" customHeight="1">
      <c r="A93" s="2" t="s">
        <v>4</v>
      </c>
      <c r="B93" s="2" t="s">
        <v>223</v>
      </c>
      <c r="C93" s="2" t="str">
        <f ca="1">IFERROR(__xludf.DUMMYFUNCTION("googletranslate(C93,""en"",""ne"")"),"लेखु तामाकोशी गाउँपालिका")</f>
        <v>लेखु तामाकोशी गाउँपालिका</v>
      </c>
      <c r="D93" s="3" t="str">
        <f ca="1">IFERROR(__xludf.DUMMYFUNCTION("googletranslate(D93,""en"",""ne"")"),"अध्यक्ष")</f>
        <v>अध्यक्ष</v>
      </c>
      <c r="E93" s="2" t="s">
        <v>11</v>
      </c>
      <c r="F93" s="2" t="s">
        <v>236</v>
      </c>
      <c r="G93" s="2" t="s">
        <v>8</v>
      </c>
      <c r="H93" s="2" t="s">
        <v>26</v>
      </c>
      <c r="I93" s="2" t="s">
        <v>237</v>
      </c>
    </row>
    <row r="94" spans="1:9" ht="15.75" customHeight="1">
      <c r="A94" s="2" t="s">
        <v>4</v>
      </c>
      <c r="B94" s="2" t="s">
        <v>223</v>
      </c>
      <c r="C94" s="2" t="str">
        <f ca="1">IFERROR(__xludf.DUMMYFUNCTION("googletranslate(C94,""en"",""ne"")"),"सुनापति गाउँपालिका")</f>
        <v>सुनापति गाउँपालिका</v>
      </c>
      <c r="D94" s="3" t="str">
        <f ca="1">IFERROR(__xludf.DUMMYFUNCTION("googletranslate(D94,""en"",""ne"")"),"अध्यक्ष")</f>
        <v>अध्यक्ष</v>
      </c>
      <c r="E94" s="2" t="s">
        <v>30</v>
      </c>
      <c r="F94" s="2" t="s">
        <v>238</v>
      </c>
      <c r="G94" s="2" t="s">
        <v>8</v>
      </c>
      <c r="H94" s="2" t="s">
        <v>91</v>
      </c>
      <c r="I94" s="2" t="s">
        <v>239</v>
      </c>
    </row>
    <row r="95" spans="1:9" ht="15.75" customHeight="1">
      <c r="A95" s="2" t="s">
        <v>4</v>
      </c>
      <c r="B95" s="2" t="s">
        <v>240</v>
      </c>
      <c r="C95" s="2" t="str">
        <f ca="1">IFERROR(__xludf.DUMMYFUNCTION("googletranslate(C95,""en"",""ne"")"),"आमाछोदिङ गाउँमोपालिका")</f>
        <v>आमाछोदिङ गाउँमोपालिका</v>
      </c>
      <c r="D95" s="3" t="str">
        <f ca="1">IFERROR(__xludf.DUMMYFUNCTION("googletranslate(D95,""en"",""ne"")"),"अध्यक्ष")</f>
        <v>अध्यक्ष</v>
      </c>
      <c r="E95" s="2" t="s">
        <v>11</v>
      </c>
      <c r="F95" s="2" t="s">
        <v>241</v>
      </c>
      <c r="G95" s="2" t="s">
        <v>8</v>
      </c>
      <c r="H95" s="2" t="s">
        <v>242</v>
      </c>
      <c r="I95" s="2" t="s">
        <v>243</v>
      </c>
    </row>
    <row r="96" spans="1:9" ht="15.75" customHeight="1">
      <c r="A96" s="2" t="s">
        <v>4</v>
      </c>
      <c r="B96" s="2" t="s">
        <v>240</v>
      </c>
      <c r="C96" s="2" t="str">
        <f ca="1">IFERROR(__xludf.DUMMYFUNCTION("googletranslate(C96,""en"",""ne"")"),"उत्तरगया गाउँपालिका")</f>
        <v>उत्तरगया गाउँपालिका</v>
      </c>
      <c r="D96" s="3" t="str">
        <f ca="1">IFERROR(__xludf.DUMMYFUNCTION("googletranslate(D96,""en"",""ne"")"),"अध्यक्ष")</f>
        <v>अध्यक्ष</v>
      </c>
      <c r="E96" s="2" t="s">
        <v>18</v>
      </c>
      <c r="F96" s="2" t="s">
        <v>244</v>
      </c>
      <c r="G96" s="2" t="s">
        <v>8</v>
      </c>
      <c r="H96" s="2" t="s">
        <v>23</v>
      </c>
      <c r="I96" s="2" t="s">
        <v>245</v>
      </c>
    </row>
    <row r="97" spans="1:9" ht="15.75" customHeight="1">
      <c r="A97" s="2" t="s">
        <v>4</v>
      </c>
      <c r="B97" s="2" t="s">
        <v>240</v>
      </c>
      <c r="C97" s="2" t="str">
        <f ca="1">IFERROR(__xludf.DUMMYFUNCTION("googletranslate(C97,""en"",""ne"")"),"कालिकापाल गाउँपालिका")</f>
        <v>कालिकापाल गाउँपालिका</v>
      </c>
      <c r="D97" s="3" t="str">
        <f ca="1">IFERROR(__xludf.DUMMYFUNCTION("googletranslate(D97,""en"",""ne"")"),"अध्यक्ष")</f>
        <v>अध्यक्ष</v>
      </c>
      <c r="E97" s="2" t="s">
        <v>11</v>
      </c>
      <c r="F97" s="2" t="s">
        <v>246</v>
      </c>
      <c r="G97" s="2" t="s">
        <v>8</v>
      </c>
      <c r="H97" s="2" t="s">
        <v>159</v>
      </c>
      <c r="I97" s="2" t="s">
        <v>247</v>
      </c>
    </row>
    <row r="98" spans="1:9" ht="15.75" customHeight="1">
      <c r="A98" s="2" t="s">
        <v>4</v>
      </c>
      <c r="B98" s="2" t="s">
        <v>240</v>
      </c>
      <c r="C98" s="2" t="str">
        <f ca="1">IFERROR(__xludf.DUMMYFUNCTION("googletranslate(C98,""en"",""ne"")"),"गोसाईकुण्ड गाउँपालिका")</f>
        <v>गोसाईकुण्ड गाउँपालिका</v>
      </c>
      <c r="D98" s="3" t="str">
        <f ca="1">IFERROR(__xludf.DUMMYFUNCTION("googletranslate(D98,""en"",""ne"")"),"अध्यक्ष")</f>
        <v>अध्यक्ष</v>
      </c>
      <c r="E98" s="2" t="s">
        <v>18</v>
      </c>
      <c r="F98" s="2" t="s">
        <v>248</v>
      </c>
      <c r="G98" s="2" t="s">
        <v>8</v>
      </c>
      <c r="H98" s="2" t="s">
        <v>13</v>
      </c>
      <c r="I98" s="2" t="s">
        <v>249</v>
      </c>
    </row>
    <row r="99" spans="1:9" ht="15.75" customHeight="1">
      <c r="A99" s="2" t="s">
        <v>4</v>
      </c>
      <c r="B99" s="2" t="s">
        <v>240</v>
      </c>
      <c r="C99" s="2" t="str">
        <f ca="1">IFERROR(__xludf.DUMMYFUNCTION("googletranslate(C99,""en"",""ne"")"),"नौकुण्ड गाउँपालिका")</f>
        <v>नौकुण्ड गाउँपालिका</v>
      </c>
      <c r="D99" s="3" t="str">
        <f ca="1">IFERROR(__xludf.DUMMYFUNCTION("googletranslate(D99,""en"",""ne"")"),"अध्यक्ष")</f>
        <v>अध्यक्ष</v>
      </c>
      <c r="E99" s="2" t="s">
        <v>11</v>
      </c>
      <c r="F99" s="2" t="s">
        <v>250</v>
      </c>
      <c r="G99" s="2" t="s">
        <v>8</v>
      </c>
      <c r="H99" s="2" t="s">
        <v>23</v>
      </c>
      <c r="I99" s="2" t="s">
        <v>251</v>
      </c>
    </row>
    <row r="100" spans="1:9" ht="15.75" customHeight="1">
      <c r="A100" s="2" t="s">
        <v>4</v>
      </c>
      <c r="B100" s="2" t="s">
        <v>252</v>
      </c>
      <c r="C100" s="2" t="str">
        <f ca="1">IFERROR(__xludf.DUMMYFUNCTION("googletranslate(C100,""en"",""ne"")"),"कमलामाई नगरपालिका")</f>
        <v>कमलामाई नगरपालिका</v>
      </c>
      <c r="D100" s="3" t="str">
        <f ca="1">IFERROR(__xludf.DUMMYFUNCTION("googletranslate(D100,""en"",""ne"")"),"मेयर")</f>
        <v>मेयर</v>
      </c>
      <c r="E100" s="2" t="s">
        <v>11</v>
      </c>
      <c r="F100" s="2" t="s">
        <v>253</v>
      </c>
      <c r="G100" s="2" t="s">
        <v>8</v>
      </c>
      <c r="H100" s="2" t="s">
        <v>64</v>
      </c>
      <c r="I100" s="2" t="s">
        <v>254</v>
      </c>
    </row>
    <row r="101" spans="1:9" ht="15.75" customHeight="1">
      <c r="A101" s="2" t="s">
        <v>4</v>
      </c>
      <c r="B101" s="2" t="s">
        <v>252</v>
      </c>
      <c r="C101" s="2" t="str">
        <f ca="1">IFERROR(__xludf.DUMMYFUNCTION("googletranslate(C101,""en"",""ne"")"),"गोलन्जोर गाउँपालिका")</f>
        <v>गोलन्जोर गाउँपालिका</v>
      </c>
      <c r="D101" s="3" t="str">
        <f ca="1">IFERROR(__xludf.DUMMYFUNCTION("googletranslate(D101,""en"",""ne"")"),"अध्यक्ष")</f>
        <v>अध्यक्ष</v>
      </c>
      <c r="E101" s="2" t="s">
        <v>18</v>
      </c>
      <c r="F101" s="2" t="s">
        <v>255</v>
      </c>
      <c r="G101" s="2" t="s">
        <v>8</v>
      </c>
      <c r="H101" s="2" t="s">
        <v>55</v>
      </c>
      <c r="I101" s="2" t="s">
        <v>256</v>
      </c>
    </row>
    <row r="102" spans="1:9" ht="15.75" customHeight="1">
      <c r="A102" s="2" t="s">
        <v>4</v>
      </c>
      <c r="B102" s="2" t="s">
        <v>252</v>
      </c>
      <c r="C102" s="2" t="str">
        <f ca="1">IFERROR(__xludf.DUMMYFUNCTION("googletranslate(C102,""en"",""ne"")"),"लोङलेख गाउँपालिका")</f>
        <v>लोङलेख गाउँपालिका</v>
      </c>
      <c r="D102" s="3" t="str">
        <f ca="1">IFERROR(__xludf.DUMMYFUNCTION("googletranslate(D102,""en"",""ne"")"),"अध्यक्ष")</f>
        <v>अध्यक्ष</v>
      </c>
      <c r="E102" s="2" t="s">
        <v>11</v>
      </c>
      <c r="F102" s="2" t="s">
        <v>257</v>
      </c>
      <c r="G102" s="2" t="s">
        <v>8</v>
      </c>
      <c r="H102" s="2" t="s">
        <v>258</v>
      </c>
      <c r="I102" s="2" t="s">
        <v>259</v>
      </c>
    </row>
    <row r="103" spans="1:9" ht="15.75" customHeight="1">
      <c r="A103" s="2" t="s">
        <v>4</v>
      </c>
      <c r="B103" s="2" t="s">
        <v>252</v>
      </c>
      <c r="C103" s="2" t="str">
        <f ca="1">IFERROR(__xludf.DUMMYFUNCTION("googletranslate(C103,""en"",""ne"")"),"तिनपाटन गाउँपालिका")</f>
        <v>तिनपाटन गाउँपालिका</v>
      </c>
      <c r="D103" s="3" t="str">
        <f ca="1">IFERROR(__xludf.DUMMYFUNCTION("googletranslate(D103,""en"",""ne"")"),"अध्यक्ष")</f>
        <v>अध्यक्ष</v>
      </c>
      <c r="E103" s="2" t="s">
        <v>11</v>
      </c>
      <c r="F103" s="2" t="s">
        <v>260</v>
      </c>
      <c r="G103" s="2" t="s">
        <v>8</v>
      </c>
      <c r="H103" s="2" t="s">
        <v>16</v>
      </c>
      <c r="I103" s="2" t="s">
        <v>261</v>
      </c>
    </row>
    <row r="104" spans="1:9" ht="15.75" customHeight="1">
      <c r="A104" s="2" t="s">
        <v>4</v>
      </c>
      <c r="B104" s="2" t="s">
        <v>252</v>
      </c>
      <c r="C104" s="2" t="str">
        <f ca="1">IFERROR(__xludf.DUMMYFUNCTION("googletranslate(C104,""en"",""ne"")"),"दुधौली नगरपालिका")</f>
        <v>दुधौली नगरपालिका</v>
      </c>
      <c r="D104" s="3" t="str">
        <f ca="1">IFERROR(__xludf.DUMMYFUNCTION("googletranslate(D104,""en"",""ne"")"),"मेयर")</f>
        <v>मेयर</v>
      </c>
      <c r="E104" s="2" t="s">
        <v>30</v>
      </c>
      <c r="F104" s="2" t="s">
        <v>262</v>
      </c>
      <c r="G104" s="2" t="s">
        <v>8</v>
      </c>
      <c r="H104" s="2" t="s">
        <v>26</v>
      </c>
      <c r="I104" s="2" t="s">
        <v>263</v>
      </c>
    </row>
    <row r="105" spans="1:9" ht="15.75" customHeight="1">
      <c r="A105" s="2" t="s">
        <v>4</v>
      </c>
      <c r="B105" s="2" t="s">
        <v>252</v>
      </c>
      <c r="C105" s="2" t="str">
        <f ca="1">IFERROR(__xludf.DUMMYFUNCTION("googletranslate(C105,""en"",""ne"")"),"फिक्कल गाउँपालिका")</f>
        <v>फिक्कल गाउँपालिका</v>
      </c>
      <c r="D105" s="3" t="str">
        <f ca="1">IFERROR(__xludf.DUMMYFUNCTION("googletranslate(D105,""en"",""ne"")"),"अध्यक्ष")</f>
        <v>अध्यक्ष</v>
      </c>
      <c r="E105" s="2" t="s">
        <v>18</v>
      </c>
      <c r="F105" s="2" t="s">
        <v>264</v>
      </c>
      <c r="G105" s="2" t="s">
        <v>32</v>
      </c>
      <c r="H105" s="2" t="s">
        <v>73</v>
      </c>
      <c r="I105" s="2" t="s">
        <v>265</v>
      </c>
    </row>
    <row r="106" spans="1:9" ht="15.75" customHeight="1">
      <c r="A106" s="2" t="s">
        <v>4</v>
      </c>
      <c r="B106" s="2" t="s">
        <v>252</v>
      </c>
      <c r="C106" s="2" t="str">
        <f ca="1">IFERROR(__xludf.DUMMYFUNCTION("googletranslate(C106,""en"",""ne"")"),"मरीनपालिका गाउँपालिका")</f>
        <v>मरीनपालिका गाउँपालिका</v>
      </c>
      <c r="D106" s="3" t="str">
        <f ca="1">IFERROR(__xludf.DUMMYFUNCTION("googletranslate(D106,""en"",""ne"")"),"अध्यक्ष")</f>
        <v>अध्यक्ष</v>
      </c>
      <c r="E106" s="2" t="s">
        <v>30</v>
      </c>
      <c r="F106" s="2" t="s">
        <v>266</v>
      </c>
      <c r="G106" s="2" t="s">
        <v>8</v>
      </c>
      <c r="H106" s="2" t="s">
        <v>267</v>
      </c>
      <c r="I106" s="2" t="s">
        <v>268</v>
      </c>
    </row>
    <row r="107" spans="1:9" ht="15.75" customHeight="1">
      <c r="A107" s="2" t="s">
        <v>4</v>
      </c>
      <c r="B107" s="2" t="s">
        <v>252</v>
      </c>
      <c r="C107" s="2" t="str">
        <f ca="1">IFERROR(__xludf.DUMMYFUNCTION("googletranslate(C107,""en"",""ne"")"),"सुनकोशी गाउँपालिका")</f>
        <v>सुनकोशी गाउँपालिका</v>
      </c>
      <c r="D107" s="3" t="str">
        <f ca="1">IFERROR(__xludf.DUMMYFUNCTION("googletranslate(D107,""en"",""ne"")"),"अध्यक्ष")</f>
        <v>अध्यक्ष</v>
      </c>
      <c r="E107" s="2" t="s">
        <v>30</v>
      </c>
      <c r="F107" s="2" t="s">
        <v>269</v>
      </c>
      <c r="G107" s="2" t="s">
        <v>32</v>
      </c>
      <c r="H107" s="2" t="s">
        <v>151</v>
      </c>
      <c r="I107" s="2" t="s">
        <v>270</v>
      </c>
    </row>
    <row r="108" spans="1:9" ht="15.75" customHeight="1">
      <c r="A108" s="2" t="s">
        <v>4</v>
      </c>
      <c r="B108" s="2" t="s">
        <v>252</v>
      </c>
      <c r="C108" s="2" t="str">
        <f ca="1">IFERROR(__xludf.DUMMYFUNCTION("googletranslate(C108,""en"",""ne"")"),"हरिहरपुरगढी गाउँपालिका")</f>
        <v>हरिहरपुरगढी गाउँपालिका</v>
      </c>
      <c r="D108" s="3" t="str">
        <f ca="1">IFERROR(__xludf.DUMMYFUNCTION("googletranslate(D108,""en"",""ne"")"),"अध्यक्ष")</f>
        <v>अध्यक्ष</v>
      </c>
      <c r="E108" s="2" t="s">
        <v>30</v>
      </c>
      <c r="F108" s="2" t="s">
        <v>271</v>
      </c>
      <c r="G108" s="2" t="s">
        <v>8</v>
      </c>
      <c r="H108" s="2" t="s">
        <v>91</v>
      </c>
      <c r="I108" s="2" t="s">
        <v>272</v>
      </c>
    </row>
    <row r="109" spans="1:9" ht="15.75" customHeight="1">
      <c r="A109" s="2" t="s">
        <v>4</v>
      </c>
      <c r="B109" s="2" t="s">
        <v>273</v>
      </c>
      <c r="C109" s="2" t="str">
        <f ca="1">IFERROR(__xludf.DUMMYFUNCTION("googletranslate(C109,""en"",""ne"")"),"हेलम्बु गाउँपालिका")</f>
        <v>हेलम्बु गाउँपालिका</v>
      </c>
      <c r="D109" s="3" t="str">
        <f ca="1">IFERROR(__xludf.DUMMYFUNCTION("googletranslate(D109,""en"",""ne"")"),"अध्यक्ष")</f>
        <v>अध्यक्ष</v>
      </c>
      <c r="E109" s="2" t="s">
        <v>11</v>
      </c>
      <c r="F109" s="2" t="s">
        <v>274</v>
      </c>
      <c r="G109" s="2" t="s">
        <v>8</v>
      </c>
      <c r="H109" s="2" t="s">
        <v>26</v>
      </c>
      <c r="I109" s="2" t="s">
        <v>275</v>
      </c>
    </row>
    <row r="110" spans="1:9" ht="15.75" customHeight="1">
      <c r="A110" s="2" t="s">
        <v>4</v>
      </c>
      <c r="B110" s="2" t="s">
        <v>273</v>
      </c>
      <c r="C110" s="2" t="str">
        <f ca="1">IFERROR(__xludf.DUMMYFUNCTION("googletranslate(C110,""en"",""ne"")"),"ईन्द्रावती गाउँपालिका")</f>
        <v>ईन्द्रावती गाउँपालिका</v>
      </c>
      <c r="D110" s="3" t="str">
        <f ca="1">IFERROR(__xludf.DUMMYFUNCTION("googletranslate(D110,""en"",""ne"")"),"अध्यक्ष")</f>
        <v>अध्यक्ष</v>
      </c>
      <c r="E110" s="2" t="s">
        <v>18</v>
      </c>
      <c r="F110" s="2" t="s">
        <v>276</v>
      </c>
      <c r="G110" s="2" t="s">
        <v>8</v>
      </c>
      <c r="H110" s="2" t="s">
        <v>91</v>
      </c>
      <c r="I110" s="2" t="s">
        <v>277</v>
      </c>
    </row>
    <row r="111" spans="1:9" ht="15.75" customHeight="1">
      <c r="A111" s="2" t="s">
        <v>4</v>
      </c>
      <c r="B111" s="2" t="s">
        <v>273</v>
      </c>
      <c r="C111" s="2" t="str">
        <f ca="1">IFERROR(__xludf.DUMMYFUNCTION("googletranslate(C111,""en"",""ne"")"),"चौतारा साँगाचोकगढी नगरपालिका")</f>
        <v>चौतारा साँगाचोकगढी नगरपालिका</v>
      </c>
      <c r="D111" s="3" t="str">
        <f ca="1">IFERROR(__xludf.DUMMYFUNCTION("googletranslate(D111,""en"",""ne"")"),"मेयर")</f>
        <v>मेयर</v>
      </c>
      <c r="E111" s="2" t="s">
        <v>30</v>
      </c>
      <c r="F111" s="2" t="s">
        <v>278</v>
      </c>
      <c r="G111" s="2" t="s">
        <v>8</v>
      </c>
      <c r="H111" s="2" t="s">
        <v>98</v>
      </c>
      <c r="I111" s="2" t="s">
        <v>279</v>
      </c>
    </row>
    <row r="112" spans="1:9" ht="15.75" customHeight="1">
      <c r="A112" s="2" t="s">
        <v>4</v>
      </c>
      <c r="B112" s="2" t="s">
        <v>273</v>
      </c>
      <c r="C112" s="2" t="str">
        <f ca="1">IFERROR(__xludf.DUMMYFUNCTION("googletranslate(C112,""en"",""ne"")"),"जुगलपाल गाउँपालिका")</f>
        <v>जुगलपाल गाउँपालिका</v>
      </c>
      <c r="D112" s="3" t="str">
        <f ca="1">IFERROR(__xludf.DUMMYFUNCTION("googletranslate(D112,""en"",""ne"")"),"अध्यक्ष")</f>
        <v>अध्यक्ष</v>
      </c>
      <c r="E112" s="2" t="s">
        <v>30</v>
      </c>
      <c r="F112" s="2" t="s">
        <v>280</v>
      </c>
      <c r="G112" s="2" t="s">
        <v>8</v>
      </c>
      <c r="H112" s="2" t="s">
        <v>70</v>
      </c>
      <c r="I112" s="2" t="s">
        <v>281</v>
      </c>
    </row>
    <row r="113" spans="1:9" ht="15.75" customHeight="1">
      <c r="A113" s="2" t="s">
        <v>4</v>
      </c>
      <c r="B113" s="2" t="s">
        <v>273</v>
      </c>
      <c r="C113" s="2" t="str">
        <f ca="1">IFERROR(__xludf.DUMMYFUNCTION("googletranslate(C113,""en"",""ne"")"),"त्रिपुरासुन्दरी गाउँपालिका")</f>
        <v>त्रिपुरासुन्दरी गाउँपालिका</v>
      </c>
      <c r="D113" s="3" t="str">
        <f ca="1">IFERROR(__xludf.DUMMYFUNCTION("googletranslate(D113,""en"",""ne"")"),"अध्यक्ष")</f>
        <v>अध्यक्ष</v>
      </c>
      <c r="E113" s="2" t="s">
        <v>11</v>
      </c>
      <c r="F113" s="2" t="s">
        <v>282</v>
      </c>
      <c r="G113" s="2" t="s">
        <v>8</v>
      </c>
      <c r="H113" s="2" t="s">
        <v>55</v>
      </c>
      <c r="I113" s="2" t="s">
        <v>283</v>
      </c>
    </row>
    <row r="114" spans="1:9" ht="15.75" customHeight="1">
      <c r="A114" s="2" t="s">
        <v>4</v>
      </c>
      <c r="B114" s="2" t="s">
        <v>273</v>
      </c>
      <c r="C114" s="2" t="str">
        <f ca="1">IFERROR(__xludf.DUMMYFUNCTION("googletranslate(C114,""en"",""ne"")"),"पाँचपोखरी थाङपाल गाउँपालिका")</f>
        <v>पाँचपोखरी थाङपाल गाउँपालिका</v>
      </c>
      <c r="D114" s="3" t="str">
        <f ca="1">IFERROR(__xludf.DUMMYFUNCTION("googletranslate(D114,""en"",""ne"")"),"अध्यक्ष")</f>
        <v>अध्यक्ष</v>
      </c>
      <c r="E114" s="2" t="s">
        <v>18</v>
      </c>
      <c r="F114" s="2" t="s">
        <v>284</v>
      </c>
      <c r="G114" s="2" t="s">
        <v>8</v>
      </c>
      <c r="H114" s="2" t="s">
        <v>33</v>
      </c>
      <c r="I114" s="2" t="s">
        <v>285</v>
      </c>
    </row>
    <row r="115" spans="1:9" ht="15.75" customHeight="1">
      <c r="A115" s="2" t="s">
        <v>4</v>
      </c>
      <c r="B115" s="2" t="s">
        <v>273</v>
      </c>
      <c r="C115" s="2" t="str">
        <f ca="1">IFERROR(__xludf.DUMMYFUNCTION("googletranslate(C115,""en"",""ne"")"),"बलेफी गाउँपालिका")</f>
        <v>बलेफी गाउँपालिका</v>
      </c>
      <c r="D115" s="3" t="str">
        <f ca="1">IFERROR(__xludf.DUMMYFUNCTION("googletranslate(D115,""en"",""ne"")"),"अध्यक्ष")</f>
        <v>अध्यक्ष</v>
      </c>
      <c r="E115" s="2" t="s">
        <v>30</v>
      </c>
      <c r="F115" s="2" t="s">
        <v>286</v>
      </c>
      <c r="G115" s="2" t="s">
        <v>8</v>
      </c>
      <c r="H115" s="2" t="s">
        <v>190</v>
      </c>
      <c r="I115" s="2" t="s">
        <v>287</v>
      </c>
    </row>
    <row r="116" spans="1:9" ht="15.75" customHeight="1">
      <c r="A116" s="2" t="s">
        <v>4</v>
      </c>
      <c r="B116" s="2" t="s">
        <v>273</v>
      </c>
      <c r="C116" s="2" t="str">
        <f ca="1">IFERROR(__xludf.DUMMYFUNCTION("googletranslate(C116,""en"",""ne"")"),"भोटेकोशी गाउँपालिका")</f>
        <v>भोटेकोशी गाउँपालिका</v>
      </c>
      <c r="D116" s="3" t="str">
        <f ca="1">IFERROR(__xludf.DUMMYFUNCTION("googletranslate(D116,""en"",""ne"")"),"अध्यक्ष")</f>
        <v>अध्यक्ष</v>
      </c>
      <c r="E116" s="2" t="s">
        <v>11</v>
      </c>
      <c r="F116" s="2" t="s">
        <v>288</v>
      </c>
      <c r="G116" s="2" t="s">
        <v>8</v>
      </c>
      <c r="H116" s="2" t="s">
        <v>267</v>
      </c>
      <c r="I116" s="2" t="s">
        <v>289</v>
      </c>
    </row>
    <row r="117" spans="1:9" ht="15.75" customHeight="1">
      <c r="A117" s="2" t="s">
        <v>4</v>
      </c>
      <c r="B117" s="2" t="s">
        <v>273</v>
      </c>
      <c r="C117" s="2" t="str">
        <f ca="1">IFERROR(__xludf.DUMMYFUNCTION("googletranslate(C117,""en"",""ne"")"),"मेलम्ची नगरपालिका")</f>
        <v>मेलम्ची नगरपालिका</v>
      </c>
      <c r="D117" s="3" t="str">
        <f ca="1">IFERROR(__xludf.DUMMYFUNCTION("googletranslate(D117,""en"",""ne"")"),"मेयर")</f>
        <v>मेयर</v>
      </c>
      <c r="E117" s="2" t="s">
        <v>11</v>
      </c>
      <c r="F117" s="2" t="s">
        <v>290</v>
      </c>
      <c r="G117" s="2" t="s">
        <v>8</v>
      </c>
      <c r="H117" s="2" t="s">
        <v>50</v>
      </c>
      <c r="I117" s="2" t="s">
        <v>291</v>
      </c>
    </row>
    <row r="118" spans="1:9" ht="15.75" customHeight="1">
      <c r="A118" s="2" t="s">
        <v>4</v>
      </c>
      <c r="B118" s="2" t="s">
        <v>273</v>
      </c>
      <c r="C118" s="2" t="str">
        <f ca="1">IFERROR(__xludf.DUMMYFUNCTION("googletranslate(C118,""en"",""ne"")"),"लिसंखु पाखर गाउँपालिका")</f>
        <v>लिसंखु पाखर गाउँपालिका</v>
      </c>
      <c r="D118" s="3" t="str">
        <f ca="1">IFERROR(__xludf.DUMMYFUNCTION("googletranslate(D118,""en"",""ne"")"),"अध्यक्ष")</f>
        <v>अध्यक्ष</v>
      </c>
      <c r="E118" s="2" t="s">
        <v>30</v>
      </c>
      <c r="F118" s="2" t="s">
        <v>292</v>
      </c>
      <c r="G118" s="2" t="s">
        <v>8</v>
      </c>
      <c r="H118" s="2" t="s">
        <v>293</v>
      </c>
      <c r="I118" s="2" t="s">
        <v>294</v>
      </c>
    </row>
    <row r="119" spans="1:9" ht="15.75" customHeight="1">
      <c r="A119" s="2" t="s">
        <v>4</v>
      </c>
      <c r="B119" s="2" t="s">
        <v>273</v>
      </c>
      <c r="C119" s="2" t="str">
        <f ca="1">IFERROR(__xludf.DUMMYFUNCTION("googletranslate(C119,""en"",""ne"")"),"वाह्रविसे नगरपालिका")</f>
        <v>वाह्रविसे नगरपालिका</v>
      </c>
      <c r="D119" s="3" t="str">
        <f ca="1">IFERROR(__xludf.DUMMYFUNCTION("googletranslate(D119,""en"",""ne"")"),"मेयर")</f>
        <v>मेयर</v>
      </c>
      <c r="E119" s="2" t="s">
        <v>11</v>
      </c>
      <c r="F119" s="2" t="s">
        <v>295</v>
      </c>
      <c r="G119" s="2" t="s">
        <v>8</v>
      </c>
      <c r="H119" s="2" t="s">
        <v>13</v>
      </c>
      <c r="I119" s="2" t="s">
        <v>296</v>
      </c>
    </row>
    <row r="120" spans="1:9" ht="15.75" customHeight="1">
      <c r="A120" s="2" t="s">
        <v>4</v>
      </c>
      <c r="B120" s="2" t="s">
        <v>273</v>
      </c>
      <c r="C120" s="2" t="str">
        <f ca="1">IFERROR(__xludf.DUMMYFUNCTION("googletranslate(C120,""en"",""ne"")"),"सुनकोशी गाउँपालिका")</f>
        <v>सुनकोशी गाउँपालिका</v>
      </c>
      <c r="D120" s="3" t="str">
        <f ca="1">IFERROR(__xludf.DUMMYFUNCTION("googletranslate(D120,""en"",""ne"")"),"अध्यक्ष")</f>
        <v>अध्यक्ष</v>
      </c>
      <c r="E120" s="2" t="s">
        <v>18</v>
      </c>
      <c r="F120" s="2" t="s">
        <v>297</v>
      </c>
      <c r="G120" s="2" t="s">
        <v>8</v>
      </c>
      <c r="H120" s="2" t="s">
        <v>70</v>
      </c>
      <c r="I120" s="2" t="s">
        <v>298</v>
      </c>
    </row>
    <row r="121" spans="1:9" ht="15.75" customHeight="1">
      <c r="A121" s="2" t="s">
        <v>299</v>
      </c>
      <c r="B121" s="2" t="s">
        <v>300</v>
      </c>
      <c r="C121" s="2" t="str">
        <f ca="1">IFERROR(__xludf.DUMMYFUNCTION("googletranslate(C121,""en"",""ne"")"),"बाग्लुङ नगरपालिका")</f>
        <v>बाग्लुङ नगरपालिका</v>
      </c>
      <c r="D121" s="3" t="str">
        <f ca="1">IFERROR(__xludf.DUMMYFUNCTION("googletranslate(D121,""en"",""ne"")"),"मेयर")</f>
        <v>मेयर</v>
      </c>
      <c r="E121" s="2" t="s">
        <v>11</v>
      </c>
      <c r="F121" s="2" t="s">
        <v>301</v>
      </c>
      <c r="G121" s="2" t="s">
        <v>8</v>
      </c>
      <c r="H121" s="2" t="s">
        <v>13</v>
      </c>
      <c r="I121" s="2" t="s">
        <v>302</v>
      </c>
    </row>
    <row r="122" spans="1:9" ht="15.75" customHeight="1">
      <c r="A122" s="2" t="s">
        <v>299</v>
      </c>
      <c r="B122" s="2" t="s">
        <v>300</v>
      </c>
      <c r="C122" s="2" t="str">
        <f ca="1">IFERROR(__xludf.DUMMYFUNCTION("googletranslate(C122,""en"",""ne"")"),"काठेखोला गाउँपालिका")</f>
        <v>काठेखोला गाउँपालिका</v>
      </c>
      <c r="D122" s="3" t="str">
        <f ca="1">IFERROR(__xludf.DUMMYFUNCTION("googletranslate(D122,""en"",""ne"")"),"अध्यक्ष")</f>
        <v>अध्यक्ष</v>
      </c>
      <c r="E122" s="2" t="s">
        <v>11</v>
      </c>
      <c r="F122" s="2" t="s">
        <v>303</v>
      </c>
      <c r="G122" s="2" t="s">
        <v>8</v>
      </c>
      <c r="H122" s="2" t="s">
        <v>26</v>
      </c>
      <c r="I122" s="2" t="s">
        <v>304</v>
      </c>
    </row>
    <row r="123" spans="1:9" ht="15.75" customHeight="1">
      <c r="A123" s="2" t="s">
        <v>299</v>
      </c>
      <c r="B123" s="2" t="s">
        <v>300</v>
      </c>
      <c r="C123" s="2" t="str">
        <f ca="1">IFERROR(__xludf.DUMMYFUNCTION("googletranslate(C123,""en"",""ne"")"),"गल्कोट नगरपालिका")</f>
        <v>गल्कोट नगरपालिका</v>
      </c>
      <c r="D123" s="3" t="str">
        <f ca="1">IFERROR(__xludf.DUMMYFUNCTION("googletranslate(D123,""en"",""ne"")"),"मेयर")</f>
        <v>मेयर</v>
      </c>
      <c r="E123" s="2" t="s">
        <v>11</v>
      </c>
      <c r="F123" s="2" t="s">
        <v>305</v>
      </c>
      <c r="G123" s="2" t="s">
        <v>8</v>
      </c>
      <c r="H123" s="2" t="s">
        <v>306</v>
      </c>
      <c r="I123" s="2" t="s">
        <v>307</v>
      </c>
    </row>
    <row r="124" spans="1:9" ht="15.75" customHeight="1">
      <c r="A124" s="2" t="s">
        <v>299</v>
      </c>
      <c r="B124" s="2" t="s">
        <v>300</v>
      </c>
      <c r="C124" s="2" t="str">
        <f ca="1">IFERROR(__xludf.DUMMYFUNCTION("googletranslate(C124,""en"",""ne"")"),"जैमुनी नगरपालिका")</f>
        <v>जैमुनी नगरपालिका</v>
      </c>
      <c r="D124" s="3" t="str">
        <f ca="1">IFERROR(__xludf.DUMMYFUNCTION("googletranslate(D124,""en"",""ne"")"),"मेयर")</f>
        <v>मेयर</v>
      </c>
      <c r="E124" s="2" t="s">
        <v>308</v>
      </c>
      <c r="F124" s="2" t="s">
        <v>309</v>
      </c>
      <c r="G124" s="2" t="s">
        <v>8</v>
      </c>
      <c r="H124" s="2" t="s">
        <v>61</v>
      </c>
      <c r="I124" s="2" t="s">
        <v>310</v>
      </c>
    </row>
    <row r="125" spans="1:9" ht="15.75" customHeight="1">
      <c r="A125" s="2" t="s">
        <v>299</v>
      </c>
      <c r="B125" s="2" t="s">
        <v>300</v>
      </c>
      <c r="C125" s="2" t="str">
        <f ca="1">IFERROR(__xludf.DUMMYFUNCTION("googletranslate(C125,""en"",""ne"")"),"ढोरपाटन नगरपालिका")</f>
        <v>ढोरपाटन नगरपालिका</v>
      </c>
      <c r="D125" s="3" t="str">
        <f ca="1">IFERROR(__xludf.DUMMYFUNCTION("googletranslate(D125,""en"",""ne"")"),"मेयर")</f>
        <v>मेयर</v>
      </c>
      <c r="E125" s="2" t="s">
        <v>18</v>
      </c>
      <c r="F125" s="2" t="s">
        <v>311</v>
      </c>
      <c r="G125" s="2" t="s">
        <v>8</v>
      </c>
      <c r="H125" s="2" t="s">
        <v>70</v>
      </c>
      <c r="I125" s="2" t="s">
        <v>312</v>
      </c>
    </row>
    <row r="126" spans="1:9" ht="15.75" customHeight="1">
      <c r="A126" s="2" t="s">
        <v>299</v>
      </c>
      <c r="B126" s="2" t="s">
        <v>300</v>
      </c>
      <c r="C126" s="2" t="str">
        <f ca="1">IFERROR(__xludf.DUMMYFUNCTION("googletranslate(C126,""en"",""ne"")"),"तमानखोला गाउँपालिका")</f>
        <v>तमानखोला गाउँपालिका</v>
      </c>
      <c r="D126" s="3" t="str">
        <f ca="1">IFERROR(__xludf.DUMMYFUNCTION("googletranslate(D126,""en"",""ne"")"),"अध्यक्ष")</f>
        <v>अध्यक्ष</v>
      </c>
      <c r="E126" s="2" t="s">
        <v>11</v>
      </c>
      <c r="F126" s="2" t="s">
        <v>313</v>
      </c>
      <c r="G126" s="2" t="s">
        <v>8</v>
      </c>
      <c r="H126" s="2" t="s">
        <v>41</v>
      </c>
      <c r="I126" s="2" t="s">
        <v>314</v>
      </c>
    </row>
    <row r="127" spans="1:9" ht="15.75" customHeight="1">
      <c r="A127" s="2" t="s">
        <v>299</v>
      </c>
      <c r="B127" s="2" t="s">
        <v>300</v>
      </c>
      <c r="C127" s="2" t="str">
        <f ca="1">IFERROR(__xludf.DUMMYFUNCTION("googletranslate(C127,""en"",""ne"")"),"ताराखोला गाउँपालिका")</f>
        <v>ताराखोला गाउँपालिका</v>
      </c>
      <c r="D127" s="3" t="str">
        <f ca="1">IFERROR(__xludf.DUMMYFUNCTION("googletranslate(D127,""en"",""ne"")"),"अध्यक्ष")</f>
        <v>अध्यक्ष</v>
      </c>
      <c r="E127" s="2" t="s">
        <v>30</v>
      </c>
      <c r="F127" s="2" t="s">
        <v>315</v>
      </c>
      <c r="G127" s="2" t="s">
        <v>8</v>
      </c>
      <c r="H127" s="2" t="s">
        <v>23</v>
      </c>
      <c r="I127" s="2" t="s">
        <v>316</v>
      </c>
    </row>
    <row r="128" spans="1:9" ht="15.75" customHeight="1">
      <c r="A128" s="2" t="s">
        <v>299</v>
      </c>
      <c r="B128" s="2" t="s">
        <v>300</v>
      </c>
      <c r="C128" s="2" t="str">
        <f ca="1">IFERROR(__xludf.DUMMYFUNCTION("googletranslate(C128,""en"",""ne"")"),"निसीखोला गाउँपालिका")</f>
        <v>निसीखोला गाउँपालिका</v>
      </c>
      <c r="D128" s="3" t="str">
        <f ca="1">IFERROR(__xludf.DUMMYFUNCTION("googletranslate(D128,""en"",""ne"")"),"अध्यक्ष")</f>
        <v>अध्यक्ष</v>
      </c>
      <c r="E128" s="2" t="s">
        <v>11</v>
      </c>
      <c r="F128" s="2" t="s">
        <v>317</v>
      </c>
      <c r="G128" s="2" t="s">
        <v>8</v>
      </c>
      <c r="H128" s="2" t="s">
        <v>45</v>
      </c>
      <c r="I128" s="2" t="s">
        <v>318</v>
      </c>
    </row>
    <row r="129" spans="1:9" ht="15.75" customHeight="1">
      <c r="A129" s="2" t="s">
        <v>299</v>
      </c>
      <c r="B129" s="2" t="s">
        <v>300</v>
      </c>
      <c r="C129" s="2" t="str">
        <f ca="1">IFERROR(__xludf.DUMMYFUNCTION("googletranslate(C129,""en"",""ne"")"),"वडिगाड गाउँपालिका")</f>
        <v>वडिगाड गाउँपालिका</v>
      </c>
      <c r="D129" s="3" t="str">
        <f ca="1">IFERROR(__xludf.DUMMYFUNCTION("googletranslate(D129,""en"",""ne"")"),"अध्यक्ष")</f>
        <v>अध्यक्ष</v>
      </c>
      <c r="E129" s="2" t="s">
        <v>11</v>
      </c>
      <c r="F129" s="2" t="s">
        <v>319</v>
      </c>
      <c r="G129" s="2" t="s">
        <v>32</v>
      </c>
      <c r="H129" s="2" t="s">
        <v>159</v>
      </c>
      <c r="I129" s="2" t="s">
        <v>320</v>
      </c>
    </row>
    <row r="130" spans="1:9" ht="15.75" customHeight="1">
      <c r="A130" s="2" t="s">
        <v>299</v>
      </c>
      <c r="B130" s="2" t="s">
        <v>300</v>
      </c>
      <c r="C130" s="2" t="str">
        <f ca="1">IFERROR(__xludf.DUMMYFUNCTION("googletranslate(C130,""en"",""ne"")"),"वरेङ गाउँपालिका")</f>
        <v>वरेङ गाउँपालिका</v>
      </c>
      <c r="D130" s="3" t="str">
        <f ca="1">IFERROR(__xludf.DUMMYFUNCTION("googletranslate(D130,""en"",""ne"")"),"अध्यक्ष")</f>
        <v>अध्यक्ष</v>
      </c>
      <c r="E130" s="2" t="s">
        <v>308</v>
      </c>
      <c r="F130" s="2" t="s">
        <v>321</v>
      </c>
      <c r="G130" s="2" t="s">
        <v>8</v>
      </c>
      <c r="H130" s="2" t="s">
        <v>322</v>
      </c>
      <c r="I130" s="2" t="s">
        <v>323</v>
      </c>
    </row>
    <row r="131" spans="1:9" ht="15.75" customHeight="1">
      <c r="A131" s="2" t="s">
        <v>299</v>
      </c>
      <c r="B131" s="2" t="s">
        <v>324</v>
      </c>
      <c r="C131" s="2" t="str">
        <f ca="1">IFERROR(__xludf.DUMMYFUNCTION("googletranslate(C131,""en"",""ne"")"),"गोरखा नगरपालिका")</f>
        <v>गोरखा नगरपालिका</v>
      </c>
      <c r="D131" s="3" t="str">
        <f ca="1">IFERROR(__xludf.DUMMYFUNCTION("googletranslate(D131,""en"",""ne"")"),"मेयर")</f>
        <v>मेयर</v>
      </c>
      <c r="E131" s="2" t="s">
        <v>30</v>
      </c>
      <c r="F131" s="2" t="s">
        <v>325</v>
      </c>
      <c r="G131" s="2" t="s">
        <v>8</v>
      </c>
      <c r="H131" s="2" t="s">
        <v>114</v>
      </c>
      <c r="I131" s="2" t="s">
        <v>326</v>
      </c>
    </row>
    <row r="132" spans="1:9" ht="15.75" customHeight="1">
      <c r="A132" s="2" t="s">
        <v>299</v>
      </c>
      <c r="B132" s="2" t="s">
        <v>324</v>
      </c>
      <c r="C132" s="2" t="str">
        <f ca="1">IFERROR(__xludf.DUMMYFUNCTION("googletranslate(C132,""en"",""ne"")"),"अजिरकोट गाउँपालिका")</f>
        <v>अजिरकोट गाउँपालिका</v>
      </c>
      <c r="D132" s="3" t="str">
        <f ca="1">IFERROR(__xludf.DUMMYFUNCTION("googletranslate(D132,""en"",""ne"")"),"अध्यक्ष")</f>
        <v>अध्यक्ष</v>
      </c>
      <c r="E132" s="2" t="s">
        <v>30</v>
      </c>
      <c r="F132" s="2" t="s">
        <v>327</v>
      </c>
      <c r="G132" s="2" t="s">
        <v>8</v>
      </c>
      <c r="H132" s="2" t="s">
        <v>159</v>
      </c>
      <c r="I132" s="2" t="s">
        <v>328</v>
      </c>
    </row>
    <row r="133" spans="1:9" ht="15.75" customHeight="1">
      <c r="A133" s="2" t="s">
        <v>299</v>
      </c>
      <c r="B133" s="2" t="s">
        <v>324</v>
      </c>
      <c r="C133" s="2" t="str">
        <f ca="1">IFERROR(__xludf.DUMMYFUNCTION("googletranslate(C133,""en"",""ne"")"),"आरुघाट गाउँपालिका")</f>
        <v>आरुघाट गाउँपालिका</v>
      </c>
      <c r="D133" s="3" t="str">
        <f ca="1">IFERROR(__xludf.DUMMYFUNCTION("googletranslate(D133,""en"",""ne"")"),"अध्यक्ष")</f>
        <v>अध्यक्ष</v>
      </c>
      <c r="E133" s="2" t="s">
        <v>11</v>
      </c>
      <c r="F133" s="2" t="s">
        <v>329</v>
      </c>
      <c r="G133" s="2" t="s">
        <v>8</v>
      </c>
      <c r="H133" s="2" t="s">
        <v>33</v>
      </c>
      <c r="I133" s="2" t="s">
        <v>330</v>
      </c>
    </row>
    <row r="134" spans="1:9" ht="15.75" customHeight="1">
      <c r="A134" s="2" t="s">
        <v>299</v>
      </c>
      <c r="B134" s="2" t="s">
        <v>324</v>
      </c>
      <c r="C134" s="2" t="str">
        <f ca="1">IFERROR(__xludf.DUMMYFUNCTION("googletranslate(C134,""en"",""ne"")"),"गण्डकी गाउँपालिका")</f>
        <v>गण्डकी गाउँपालिका</v>
      </c>
      <c r="D134" s="3" t="str">
        <f ca="1">IFERROR(__xludf.DUMMYFUNCTION("googletranslate(D134,""en"",""ne"")"),"अध्यक्ष")</f>
        <v>अध्यक्ष</v>
      </c>
      <c r="E134" s="2" t="s">
        <v>30</v>
      </c>
      <c r="F134" s="2" t="s">
        <v>331</v>
      </c>
      <c r="G134" s="2" t="s">
        <v>8</v>
      </c>
      <c r="H134" s="2" t="s">
        <v>16</v>
      </c>
      <c r="I134" s="2" t="s">
        <v>332</v>
      </c>
    </row>
    <row r="135" spans="1:9" ht="15.75" customHeight="1">
      <c r="A135" s="2" t="s">
        <v>299</v>
      </c>
      <c r="B135" s="2" t="s">
        <v>324</v>
      </c>
      <c r="C135" s="2" t="str">
        <f ca="1">IFERROR(__xludf.DUMMYFUNCTION("googletranslate(C135,""en"",""ne"")"),"चुम नुव्री गाउँपालिका")</f>
        <v>चुम नुव्री गाउँपालिका</v>
      </c>
      <c r="D135" s="3" t="str">
        <f ca="1">IFERROR(__xludf.DUMMYFUNCTION("googletranslate(D135,""en"",""ne"")"),"अध्यक्ष")</f>
        <v>अध्यक्ष</v>
      </c>
      <c r="E135" s="2" t="s">
        <v>30</v>
      </c>
      <c r="F135" s="2" t="s">
        <v>333</v>
      </c>
      <c r="G135" s="2" t="s">
        <v>8</v>
      </c>
      <c r="H135" s="2" t="s">
        <v>114</v>
      </c>
      <c r="I135" s="2" t="s">
        <v>334</v>
      </c>
    </row>
    <row r="136" spans="1:9" ht="15.75" customHeight="1">
      <c r="A136" s="2" t="s">
        <v>299</v>
      </c>
      <c r="B136" s="2" t="s">
        <v>324</v>
      </c>
      <c r="C136" s="2" t="str">
        <f ca="1">IFERROR(__xludf.DUMMYFUNCTION("googletranslate(C136,""en"",""ne"")"),"धार्चे गाउँपालिका")</f>
        <v>धार्चे गाउँपालिका</v>
      </c>
      <c r="D136" s="3" t="str">
        <f ca="1">IFERROR(__xludf.DUMMYFUNCTION("googletranslate(D136,""en"",""ne"")"),"अध्यक्ष")</f>
        <v>अध्यक्ष</v>
      </c>
      <c r="E136" s="2" t="s">
        <v>30</v>
      </c>
      <c r="F136" s="2" t="s">
        <v>335</v>
      </c>
      <c r="G136" s="2" t="s">
        <v>8</v>
      </c>
      <c r="H136" s="2" t="s">
        <v>16</v>
      </c>
      <c r="I136" s="2" t="s">
        <v>336</v>
      </c>
    </row>
    <row r="137" spans="1:9" ht="15.75" customHeight="1">
      <c r="A137" s="2" t="s">
        <v>299</v>
      </c>
      <c r="B137" s="2" t="s">
        <v>324</v>
      </c>
      <c r="C137" s="2" t="str">
        <f ca="1">IFERROR(__xludf.DUMMYFUNCTION("googletranslate(C137,""en"",""ne"")"),"पालुङटार नगरपालिका")</f>
        <v>पालुङटार नगरपालिका</v>
      </c>
      <c r="D137" s="3" t="str">
        <f ca="1">IFERROR(__xludf.DUMMYFUNCTION("googletranslate(D137,""en"",""ne"")"),"मेयर")</f>
        <v>मेयर</v>
      </c>
      <c r="E137" s="2" t="s">
        <v>30</v>
      </c>
      <c r="F137" s="2" t="s">
        <v>337</v>
      </c>
      <c r="G137" s="2" t="s">
        <v>8</v>
      </c>
      <c r="H137" s="2" t="s">
        <v>13</v>
      </c>
      <c r="I137" s="2" t="s">
        <v>338</v>
      </c>
    </row>
    <row r="138" spans="1:9" ht="15.75" customHeight="1">
      <c r="A138" s="2" t="s">
        <v>299</v>
      </c>
      <c r="B138" s="2" t="s">
        <v>324</v>
      </c>
      <c r="C138" s="2" t="str">
        <f ca="1">IFERROR(__xludf.DUMMYFUNCTION("googletranslate(C138,""en"",""ne"")"),"बारपाक सुलीकोट गाउँपालिका")</f>
        <v>बारपाक सुलीकोट गाउँपालिका</v>
      </c>
      <c r="D138" s="3" t="str">
        <f ca="1">IFERROR(__xludf.DUMMYFUNCTION("googletranslate(D138,""en"",""ne"")"),"अध्यक्ष")</f>
        <v>अध्यक्ष</v>
      </c>
      <c r="E138" s="2" t="s">
        <v>30</v>
      </c>
      <c r="F138" s="2" t="s">
        <v>339</v>
      </c>
      <c r="G138" s="2" t="s">
        <v>8</v>
      </c>
      <c r="H138" s="2" t="s">
        <v>16</v>
      </c>
      <c r="I138" s="2" t="s">
        <v>340</v>
      </c>
    </row>
    <row r="139" spans="1:9" ht="15.75" customHeight="1">
      <c r="A139" s="2" t="s">
        <v>299</v>
      </c>
      <c r="B139" s="2" t="s">
        <v>324</v>
      </c>
      <c r="C139" s="2" t="str">
        <f ca="1">IFERROR(__xludf.DUMMYFUNCTION("googletranslate(C139,""en"",""ne"")"),"भिमसेनथापा गाउँपालिका")</f>
        <v>भिमसेनथापा गाउँपालिका</v>
      </c>
      <c r="D139" s="3" t="str">
        <f ca="1">IFERROR(__xludf.DUMMYFUNCTION("googletranslate(D139,""en"",""ne"")"),"अध्यक्ष")</f>
        <v>अध्यक्ष</v>
      </c>
      <c r="E139" s="2" t="s">
        <v>30</v>
      </c>
      <c r="F139" s="2" t="s">
        <v>341</v>
      </c>
      <c r="G139" s="2" t="s">
        <v>8</v>
      </c>
      <c r="H139" s="2" t="s">
        <v>26</v>
      </c>
      <c r="I139" s="2" t="s">
        <v>342</v>
      </c>
    </row>
    <row r="140" spans="1:9" ht="15.75" customHeight="1">
      <c r="A140" s="2" t="s">
        <v>299</v>
      </c>
      <c r="B140" s="2" t="s">
        <v>324</v>
      </c>
      <c r="C140" s="2" t="str">
        <f ca="1">IFERROR(__xludf.DUMMYFUNCTION("googletranslate(C140,""en"",""ne"")"),"शहिद लखन गाउँपालिका")</f>
        <v>शहिद लखन गाउँपालिका</v>
      </c>
      <c r="D140" s="3" t="str">
        <f ca="1">IFERROR(__xludf.DUMMYFUNCTION("googletranslate(D140,""en"",""ne"")"),"अध्यक्ष")</f>
        <v>अध्यक्ष</v>
      </c>
      <c r="E140" s="2" t="s">
        <v>30</v>
      </c>
      <c r="F140" s="2" t="s">
        <v>343</v>
      </c>
      <c r="G140" s="2" t="s">
        <v>8</v>
      </c>
      <c r="H140" s="2" t="s">
        <v>26</v>
      </c>
      <c r="I140" s="2" t="s">
        <v>344</v>
      </c>
    </row>
    <row r="141" spans="1:9" ht="15.75" customHeight="1">
      <c r="A141" s="2" t="s">
        <v>299</v>
      </c>
      <c r="B141" s="2" t="s">
        <v>324</v>
      </c>
      <c r="C141" s="2" t="str">
        <f ca="1">IFERROR(__xludf.DUMMYFUNCTION("googletranslate(C141,""en"",""ne"")"),"सिरानको गाउँपालिका")</f>
        <v>सिरानको गाउँपालिका</v>
      </c>
      <c r="D141" s="3" t="str">
        <f ca="1">IFERROR(__xludf.DUMMYFUNCTION("googletranslate(D141,""en"",""ne"")"),"अध्यक्ष")</f>
        <v>अध्यक्ष</v>
      </c>
      <c r="E141" s="2" t="s">
        <v>11</v>
      </c>
      <c r="F141" s="2" t="s">
        <v>345</v>
      </c>
      <c r="G141" s="2" t="s">
        <v>8</v>
      </c>
      <c r="H141" s="2" t="s">
        <v>151</v>
      </c>
      <c r="I141" s="2" t="s">
        <v>346</v>
      </c>
    </row>
    <row r="142" spans="1:9" ht="15.75" customHeight="1">
      <c r="A142" s="2" t="s">
        <v>299</v>
      </c>
      <c r="B142" s="2" t="s">
        <v>347</v>
      </c>
      <c r="C142" s="2" t="str">
        <f ca="1">IFERROR(__xludf.DUMMYFUNCTION("googletranslate(C142,""en"",""ne"")"),"अन्नपूर्ण गाउँपालिका")</f>
        <v>अन्नपूर्ण गाउँपालिका</v>
      </c>
      <c r="D142" s="3" t="str">
        <f ca="1">IFERROR(__xludf.DUMMYFUNCTION("googletranslate(D142,""en"",""ne"")"),"अध्यक्ष")</f>
        <v>अध्यक्ष</v>
      </c>
      <c r="E142" s="2" t="s">
        <v>18</v>
      </c>
      <c r="F142" s="2" t="s">
        <v>348</v>
      </c>
      <c r="G142" s="2" t="s">
        <v>8</v>
      </c>
      <c r="H142" s="2" t="s">
        <v>33</v>
      </c>
      <c r="I142" s="2" t="s">
        <v>349</v>
      </c>
    </row>
    <row r="143" spans="1:9" ht="15.75" customHeight="1">
      <c r="A143" s="2" t="s">
        <v>299</v>
      </c>
      <c r="B143" s="2" t="s">
        <v>347</v>
      </c>
      <c r="C143" s="2" t="str">
        <f ca="1">IFERROR(__xludf.DUMMYFUNCTION("googletranslate(C143,""en"",""ne"")"),"पोखरा महानगरपालिका")</f>
        <v>पोखरा महानगरपालिका</v>
      </c>
      <c r="D143" s="3" t="str">
        <f ca="1">IFERROR(__xludf.DUMMYFUNCTION("googletranslate(D143,""en"",""ne"")"),"मेयर")</f>
        <v>मेयर</v>
      </c>
      <c r="E143" s="2" t="s">
        <v>39</v>
      </c>
      <c r="F143" s="2" t="s">
        <v>350</v>
      </c>
      <c r="G143" s="2" t="s">
        <v>8</v>
      </c>
      <c r="H143" s="2" t="s">
        <v>64</v>
      </c>
      <c r="I143" s="2" t="s">
        <v>351</v>
      </c>
    </row>
    <row r="144" spans="1:9" ht="15.75" customHeight="1">
      <c r="A144" s="2" t="s">
        <v>299</v>
      </c>
      <c r="B144" s="2" t="s">
        <v>347</v>
      </c>
      <c r="C144" s="2" t="str">
        <f ca="1">IFERROR(__xludf.DUMMYFUNCTION("googletranslate(C144,""en"",""ne"")"),"माछापुछ्रे गाउँपालिका")</f>
        <v>माछापुछ्रे गाउँपालिका</v>
      </c>
      <c r="D144" s="3" t="str">
        <f ca="1">IFERROR(__xludf.DUMMYFUNCTION("googletranslate(D144,""en"",""ne"")"),"अध्यक्ष")</f>
        <v>अध्यक्ष</v>
      </c>
      <c r="E144" s="2" t="s">
        <v>11</v>
      </c>
      <c r="F144" s="2" t="s">
        <v>352</v>
      </c>
      <c r="G144" s="2" t="s">
        <v>8</v>
      </c>
      <c r="H144" s="2" t="s">
        <v>55</v>
      </c>
      <c r="I144" s="2" t="s">
        <v>353</v>
      </c>
    </row>
    <row r="145" spans="1:9" ht="15.75" customHeight="1">
      <c r="A145" s="2" t="s">
        <v>299</v>
      </c>
      <c r="B145" s="2" t="s">
        <v>347</v>
      </c>
      <c r="C145" s="2" t="str">
        <f ca="1">IFERROR(__xludf.DUMMYFUNCTION("googletranslate(C145,""en"",""ne"")"),"मादीपालिका गाउँपालिका")</f>
        <v>मादीपालिका गाउँपालिका</v>
      </c>
      <c r="D145" s="3" t="str">
        <f ca="1">IFERROR(__xludf.DUMMYFUNCTION("googletranslate(D145,""en"",""ne"")"),"अध्यक्ष")</f>
        <v>अध्यक्ष</v>
      </c>
      <c r="E145" s="2" t="s">
        <v>11</v>
      </c>
      <c r="F145" s="2" t="s">
        <v>354</v>
      </c>
      <c r="G145" s="2" t="s">
        <v>8</v>
      </c>
      <c r="H145" s="2" t="s">
        <v>16</v>
      </c>
      <c r="I145" s="2" t="s">
        <v>355</v>
      </c>
    </row>
    <row r="146" spans="1:9" ht="15.75" customHeight="1">
      <c r="A146" s="2" t="s">
        <v>299</v>
      </c>
      <c r="B146" s="2" t="s">
        <v>347</v>
      </c>
      <c r="C146" s="2" t="str">
        <f ca="1">IFERROR(__xludf.DUMMYFUNCTION("googletranslate(C146,""en"",""ne"")"),"रूपपाल गाउँिका")</f>
        <v>रूपपाल गाउँिका</v>
      </c>
      <c r="D146" s="3" t="str">
        <f ca="1">IFERROR(__xludf.DUMMYFUNCTION("googletranslate(D146,""en"",""ne"")"),"अध्यक्ष")</f>
        <v>अध्यक्ष</v>
      </c>
      <c r="E146" s="2" t="s">
        <v>18</v>
      </c>
      <c r="F146" s="2" t="s">
        <v>356</v>
      </c>
      <c r="G146" s="2" t="s">
        <v>8</v>
      </c>
      <c r="H146" s="2" t="s">
        <v>242</v>
      </c>
      <c r="I146" s="2" t="s">
        <v>357</v>
      </c>
    </row>
    <row r="147" spans="1:9" ht="15.75" customHeight="1">
      <c r="A147" s="2" t="s">
        <v>299</v>
      </c>
      <c r="B147" s="2" t="s">
        <v>358</v>
      </c>
      <c r="C147" s="2" t="str">
        <f ca="1">IFERROR(__xludf.DUMMYFUNCTION("googletranslate(C147,""en"",""ne"")"),"क्वोलासोथा गाउँपालिका")</f>
        <v>क्वोलासोथा गाउँपालिका</v>
      </c>
      <c r="D147" s="3" t="str">
        <f ca="1">IFERROR(__xludf.DUMMYFUNCTION("googletranslate(D147,""en"",""ne"")"),"अध्यक्ष")</f>
        <v>अध्यक्ष</v>
      </c>
      <c r="E147" s="2" t="s">
        <v>18</v>
      </c>
      <c r="F147" s="2" t="s">
        <v>359</v>
      </c>
      <c r="G147" s="2" t="s">
        <v>8</v>
      </c>
      <c r="H147" s="2" t="s">
        <v>55</v>
      </c>
      <c r="I147" s="2" t="s">
        <v>360</v>
      </c>
    </row>
    <row r="148" spans="1:9" ht="15.75" customHeight="1">
      <c r="A148" s="2" t="s">
        <v>299</v>
      </c>
      <c r="B148" s="2" t="s">
        <v>358</v>
      </c>
      <c r="C148" s="2" t="str">
        <f ca="1">IFERROR(__xludf.DUMMYFUNCTION("googletranslate(C148,""en"",""ne"")"),"दूधपोखरी गाउँपालिका")</f>
        <v>दूधपोखरी गाउँपालिका</v>
      </c>
      <c r="D148" s="3" t="str">
        <f ca="1">IFERROR(__xludf.DUMMYFUNCTION("googletranslate(D148,""en"",""ne"")"),"अध्यक्ष")</f>
        <v>अध्यक्ष</v>
      </c>
      <c r="E148" s="2" t="s">
        <v>11</v>
      </c>
      <c r="F148" s="2" t="s">
        <v>361</v>
      </c>
      <c r="G148" s="2" t="s">
        <v>8</v>
      </c>
      <c r="H148" s="2" t="s">
        <v>45</v>
      </c>
      <c r="I148" s="2" t="s">
        <v>362</v>
      </c>
    </row>
    <row r="149" spans="1:9" ht="15.75" customHeight="1">
      <c r="A149" s="2" t="s">
        <v>299</v>
      </c>
      <c r="B149" s="2" t="s">
        <v>358</v>
      </c>
      <c r="C149" s="2" t="str">
        <f ca="1">IFERROR(__xludf.DUMMYFUNCTION("googletranslate(C149,""en"",""ne"")"),"दोर्दी गाउँपालिका")</f>
        <v>दोर्दी गाउँपालिका</v>
      </c>
      <c r="D149" s="3" t="str">
        <f ca="1">IFERROR(__xludf.DUMMYFUNCTION("googletranslate(D149,""en"",""ne"")"),"अध्यक्ष")</f>
        <v>अध्यक्ष</v>
      </c>
      <c r="E149" s="2" t="s">
        <v>18</v>
      </c>
      <c r="F149" s="2" t="s">
        <v>363</v>
      </c>
      <c r="G149" s="2" t="s">
        <v>8</v>
      </c>
      <c r="H149" s="2" t="s">
        <v>16</v>
      </c>
      <c r="I149" s="2" t="s">
        <v>364</v>
      </c>
    </row>
    <row r="150" spans="1:9" ht="15.75" customHeight="1">
      <c r="A150" s="2" t="s">
        <v>299</v>
      </c>
      <c r="B150" s="2" t="s">
        <v>358</v>
      </c>
      <c r="C150" s="2" t="str">
        <f ca="1">IFERROR(__xludf.DUMMYFUNCTION("googletranslate(C150,""en"",""ne"")"),"बेसीहर नगरपालिका")</f>
        <v>बेसीहर नगरपालिका</v>
      </c>
      <c r="D150" s="3" t="str">
        <f ca="1">IFERROR(__xludf.DUMMYFUNCTION("googletranslate(D150,""en"",""ne"")"),"मेयर")</f>
        <v>मेयर</v>
      </c>
      <c r="E150" s="2" t="s">
        <v>18</v>
      </c>
      <c r="F150" s="2" t="s">
        <v>365</v>
      </c>
      <c r="G150" s="2" t="s">
        <v>8</v>
      </c>
      <c r="H150" s="2" t="s">
        <v>140</v>
      </c>
      <c r="I150" s="2" t="s">
        <v>366</v>
      </c>
    </row>
    <row r="151" spans="1:9" ht="15.75" customHeight="1">
      <c r="A151" s="2" t="s">
        <v>299</v>
      </c>
      <c r="B151" s="2" t="s">
        <v>358</v>
      </c>
      <c r="C151" s="2" t="str">
        <f ca="1">IFERROR(__xludf.DUMMYFUNCTION("googletranslate(C151,""en"",""ne"")"),"नेपाल नगरपालिका")</f>
        <v>नेपाल नगरपालिका</v>
      </c>
      <c r="D151" s="3" t="str">
        <f ca="1">IFERROR(__xludf.DUMMYFUNCTION("googletranslate(D151,""en"",""ne"")"),"मेयर")</f>
        <v>मेयर</v>
      </c>
      <c r="E151" s="2" t="s">
        <v>11</v>
      </c>
      <c r="F151" s="2" t="s">
        <v>367</v>
      </c>
      <c r="G151" s="2" t="s">
        <v>8</v>
      </c>
      <c r="H151" s="2" t="s">
        <v>70</v>
      </c>
      <c r="I151" s="2" t="s">
        <v>368</v>
      </c>
    </row>
    <row r="152" spans="1:9" ht="15.75" customHeight="1">
      <c r="A152" s="2" t="s">
        <v>299</v>
      </c>
      <c r="B152" s="2" t="s">
        <v>358</v>
      </c>
      <c r="C152" s="2" t="str">
        <f ca="1">IFERROR(__xludf.DUMMYFUNCTION("googletranslate(C152,""en"",""ne"")"),"मर्स्याङदी गाउँपालिका")</f>
        <v>मर्स्याङदी गाउँपालिका</v>
      </c>
      <c r="D152" s="3" t="str">
        <f ca="1">IFERROR(__xludf.DUMMYFUNCTION("googletranslate(D152,""en"",""ne"")"),"अध्यक्ष")</f>
        <v>अध्यक्ष</v>
      </c>
      <c r="E152" s="2" t="s">
        <v>18</v>
      </c>
      <c r="F152" s="2" t="s">
        <v>369</v>
      </c>
      <c r="G152" s="2" t="s">
        <v>8</v>
      </c>
      <c r="H152" s="2" t="s">
        <v>70</v>
      </c>
      <c r="I152" s="2" t="s">
        <v>370</v>
      </c>
    </row>
    <row r="153" spans="1:9" ht="15.75" customHeight="1">
      <c r="A153" s="2" t="s">
        <v>299</v>
      </c>
      <c r="B153" s="2" t="s">
        <v>358</v>
      </c>
      <c r="C153" s="2" t="str">
        <f ca="1">IFERROR(__xludf.DUMMYFUNCTION("googletranslate(C153,""en"",""ne"")"),"राइनास नगरपालिका")</f>
        <v>राइनास नगरपालिका</v>
      </c>
      <c r="D153" s="3" t="str">
        <f ca="1">IFERROR(__xludf.DUMMYFUNCTION("googletranslate(D153,""en"",""ne"")"),"मेयर")</f>
        <v>मेयर</v>
      </c>
      <c r="E153" s="2" t="s">
        <v>11</v>
      </c>
      <c r="F153" s="2" t="s">
        <v>371</v>
      </c>
      <c r="G153" s="2" t="s">
        <v>8</v>
      </c>
      <c r="H153" s="2" t="s">
        <v>61</v>
      </c>
      <c r="I153" s="2" t="s">
        <v>372</v>
      </c>
    </row>
    <row r="154" spans="1:9" ht="15.75" customHeight="1">
      <c r="A154" s="2" t="s">
        <v>299</v>
      </c>
      <c r="B154" s="2" t="s">
        <v>358</v>
      </c>
      <c r="C154" s="2" t="str">
        <f ca="1">IFERROR(__xludf.DUMMYFUNCTION("googletranslate(C154,""en"",""ne"")"),"सुन्दरबजार नगरपालिका")</f>
        <v>सुन्दरबजार नगरपालिका</v>
      </c>
      <c r="D154" s="3" t="str">
        <f ca="1">IFERROR(__xludf.DUMMYFUNCTION("googletranslate(D154,""en"",""ne"")"),"मेयर")</f>
        <v>मेयर</v>
      </c>
      <c r="E154" s="2" t="s">
        <v>11</v>
      </c>
      <c r="F154" s="2" t="s">
        <v>373</v>
      </c>
      <c r="G154" s="2" t="s">
        <v>8</v>
      </c>
      <c r="H154" s="2" t="s">
        <v>9</v>
      </c>
      <c r="I154" s="2" t="s">
        <v>374</v>
      </c>
    </row>
    <row r="155" spans="1:9" ht="15.75" customHeight="1">
      <c r="A155" s="2" t="s">
        <v>299</v>
      </c>
      <c r="B155" s="2" t="s">
        <v>375</v>
      </c>
      <c r="C155" s="2" t="str">
        <f ca="1">IFERROR(__xludf.DUMMYFUNCTION("googletranslate(C155,""en"",""ne"")"),"चामेपालिका गाउँपालिका")</f>
        <v>चामेपालिका गाउँपालिका</v>
      </c>
      <c r="D155" s="3" t="str">
        <f ca="1">IFERROR(__xludf.DUMMYFUNCTION("googletranslate(D155,""en"",""ne"")"),"अध्यक्ष")</f>
        <v>अध्यक्ष</v>
      </c>
      <c r="E155" s="2" t="s">
        <v>18</v>
      </c>
      <c r="F155" s="2" t="s">
        <v>376</v>
      </c>
      <c r="G155" s="2" t="s">
        <v>8</v>
      </c>
      <c r="H155" s="2" t="s">
        <v>267</v>
      </c>
      <c r="I155" s="2" t="s">
        <v>377</v>
      </c>
    </row>
    <row r="156" spans="1:9" ht="15.75" customHeight="1">
      <c r="A156" s="2" t="s">
        <v>299</v>
      </c>
      <c r="B156" s="2" t="s">
        <v>375</v>
      </c>
      <c r="C156" s="2" t="str">
        <f ca="1">IFERROR(__xludf.DUMMYFUNCTION("googletranslate(C156,""en"",""ne"")"),"नरपा भूमिपालिका")</f>
        <v>नरपा भूमिपालिका</v>
      </c>
      <c r="D156" s="3" t="str">
        <f ca="1">IFERROR(__xludf.DUMMYFUNCTION("googletranslate(D156,""en"",""ne"")"),"अध्यक्ष")</f>
        <v>अध्यक्ष</v>
      </c>
      <c r="E156" s="2" t="s">
        <v>11</v>
      </c>
      <c r="F156" s="2" t="s">
        <v>378</v>
      </c>
      <c r="G156" s="2" t="s">
        <v>8</v>
      </c>
      <c r="H156" s="2" t="s">
        <v>16</v>
      </c>
      <c r="I156" s="2" t="s">
        <v>379</v>
      </c>
    </row>
    <row r="157" spans="1:9" ht="15.75" customHeight="1">
      <c r="A157" s="2" t="s">
        <v>299</v>
      </c>
      <c r="B157" s="2" t="s">
        <v>375</v>
      </c>
      <c r="C157" s="2" t="str">
        <f ca="1">IFERROR(__xludf.DUMMYFUNCTION("googletranslate(C157,""en"",""ne"")"),"नासोँ गाउँपालिका")</f>
        <v>नासोँ गाउँपालिका</v>
      </c>
      <c r="D157" s="3" t="str">
        <f ca="1">IFERROR(__xludf.DUMMYFUNCTION("googletranslate(D157,""en"",""ne"")"),"अध्यक्ष")</f>
        <v>अध्यक्ष</v>
      </c>
      <c r="E157" s="2" t="s">
        <v>11</v>
      </c>
      <c r="F157" s="2" t="s">
        <v>380</v>
      </c>
      <c r="G157" s="2" t="s">
        <v>8</v>
      </c>
      <c r="H157" s="2" t="s">
        <v>23</v>
      </c>
      <c r="I157" s="2" t="s">
        <v>381</v>
      </c>
    </row>
    <row r="158" spans="1:9" ht="15.75" customHeight="1">
      <c r="A158" s="2" t="s">
        <v>299</v>
      </c>
      <c r="B158" s="2" t="s">
        <v>375</v>
      </c>
      <c r="C158" s="2" t="str">
        <f ca="1">IFERROR(__xludf.DUMMYFUNCTION("googletranslate(C158,""en"",""ne"")"),"मनङ ङ्स्याङ गाउँपालिका")</f>
        <v>मनङ ङ्स्याङ गाउँपालिका</v>
      </c>
      <c r="D158" s="3" t="str">
        <f ca="1">IFERROR(__xludf.DUMMYFUNCTION("googletranslate(D158,""en"",""ne"")"),"अध्यक्ष")</f>
        <v>अध्यक्ष</v>
      </c>
      <c r="E158" s="2" t="s">
        <v>18</v>
      </c>
      <c r="F158" s="2" t="s">
        <v>382</v>
      </c>
      <c r="G158" s="2" t="s">
        <v>8</v>
      </c>
      <c r="H158" s="2" t="s">
        <v>55</v>
      </c>
      <c r="I158" s="2" t="s">
        <v>383</v>
      </c>
    </row>
    <row r="159" spans="1:9" ht="15.75" customHeight="1">
      <c r="A159" s="2" t="s">
        <v>299</v>
      </c>
      <c r="B159" s="2" t="s">
        <v>384</v>
      </c>
      <c r="C159" s="2" t="str">
        <f ca="1">IFERROR(__xludf.DUMMYFUNCTION("googletranslate(C159,""en"",""ne"")"),"घरपङ्ग गाउँपालिका")</f>
        <v>घरपङ्ग गाउँपालिका</v>
      </c>
      <c r="D159" s="3" t="str">
        <f ca="1">IFERROR(__xludf.DUMMYFUNCTION("googletranslate(D159,""en"",""ne"")"),"अध्यक्ष")</f>
        <v>अध्यक्ष</v>
      </c>
      <c r="E159" s="2" t="s">
        <v>11</v>
      </c>
      <c r="F159" s="2" t="s">
        <v>385</v>
      </c>
      <c r="G159" s="2" t="s">
        <v>8</v>
      </c>
      <c r="H159" s="2" t="s">
        <v>9</v>
      </c>
      <c r="I159" s="2" t="s">
        <v>386</v>
      </c>
    </row>
    <row r="160" spans="1:9" ht="15.75" customHeight="1">
      <c r="A160" s="2" t="s">
        <v>299</v>
      </c>
      <c r="B160" s="2" t="s">
        <v>384</v>
      </c>
      <c r="C160" s="2" t="str">
        <f ca="1">IFERROR(__xludf.DUMMYFUNCTION("googletranslate(C160,""en"",""ne"")"),"थासाङ गाउँपालिका")</f>
        <v>थासाङ गाउँपालिका</v>
      </c>
      <c r="D160" s="3" t="str">
        <f ca="1">IFERROR(__xludf.DUMMYFUNCTION("googletranslate(D160,""en"",""ne"")"),"अध्यक्ष")</f>
        <v>अध्यक्ष</v>
      </c>
      <c r="E160" s="2" t="s">
        <v>18</v>
      </c>
      <c r="F160" s="2" t="s">
        <v>387</v>
      </c>
      <c r="G160" s="2" t="s">
        <v>8</v>
      </c>
      <c r="H160" s="2" t="s">
        <v>23</v>
      </c>
      <c r="I160" s="2" t="s">
        <v>388</v>
      </c>
    </row>
    <row r="161" spans="1:9" ht="15.75" customHeight="1">
      <c r="A161" s="2" t="s">
        <v>299</v>
      </c>
      <c r="B161" s="2" t="s">
        <v>384</v>
      </c>
      <c r="C161" s="2" t="str">
        <f ca="1">IFERROR(__xludf.DUMMYFUNCTION("googletranslate(C161,""en"",""ne"")"),"लो घेरे दामोदरकुण्ड गाउँपालिका")</f>
        <v>लो घेरे दामोदरकुण्ड गाउँपालिका</v>
      </c>
      <c r="D161" s="3" t="str">
        <f ca="1">IFERROR(__xludf.DUMMYFUNCTION("googletranslate(D161,""en"",""ne"")"),"अध्यक्ष")</f>
        <v>अध्यक्ष</v>
      </c>
      <c r="E161" s="2" t="s">
        <v>18</v>
      </c>
      <c r="F161" s="2" t="s">
        <v>389</v>
      </c>
      <c r="G161" s="2" t="s">
        <v>8</v>
      </c>
      <c r="H161" s="2" t="s">
        <v>67</v>
      </c>
      <c r="I161" s="2" t="s">
        <v>390</v>
      </c>
    </row>
    <row r="162" spans="1:9" ht="15.75" customHeight="1">
      <c r="A162" s="2" t="s">
        <v>299</v>
      </c>
      <c r="B162" s="2" t="s">
        <v>384</v>
      </c>
      <c r="C162" s="2" t="str">
        <f ca="1">IFERROR(__xludf.DUMMYFUNCTION("googletranslate(C162,""en"",""ne"")"),"लोमन्थाङ गाउँपालिका")</f>
        <v>लोमन्थाङ गाउँपालिका</v>
      </c>
      <c r="D162" s="3" t="str">
        <f ca="1">IFERROR(__xludf.DUMMYFUNCTION("googletranslate(D162,""en"",""ne"")"),"अध्यक्ष")</f>
        <v>अध्यक्ष</v>
      </c>
      <c r="E162" s="2" t="s">
        <v>18</v>
      </c>
      <c r="F162" s="2" t="s">
        <v>391</v>
      </c>
      <c r="G162" s="2" t="s">
        <v>8</v>
      </c>
      <c r="H162" s="2" t="s">
        <v>322</v>
      </c>
      <c r="I162" s="2" t="s">
        <v>392</v>
      </c>
    </row>
    <row r="163" spans="1:9" ht="15.75" customHeight="1">
      <c r="A163" s="2" t="s">
        <v>299</v>
      </c>
      <c r="B163" s="2" t="s">
        <v>384</v>
      </c>
      <c r="C163" s="2" t="str">
        <f ca="1">IFERROR(__xludf.DUMMYFUNCTION("googletranslate(C163,""en"",""ne"")"),"वारागुङ मुक्तिक्षेत्र गाउँपालिका")</f>
        <v>वारागुङ मुक्तिक्षेत्र गाउँपालिका</v>
      </c>
      <c r="D163" s="3" t="str">
        <f ca="1">IFERROR(__xludf.DUMMYFUNCTION("googletranslate(D163,""en"",""ne"")"),"अध्यक्ष")</f>
        <v>अध्यक्ष</v>
      </c>
      <c r="E163" s="2" t="s">
        <v>18</v>
      </c>
      <c r="F163" s="2" t="s">
        <v>393</v>
      </c>
      <c r="G163" s="2" t="s">
        <v>8</v>
      </c>
      <c r="H163" s="2" t="s">
        <v>13</v>
      </c>
      <c r="I163" s="2" t="s">
        <v>394</v>
      </c>
    </row>
    <row r="164" spans="1:9" ht="15.75" customHeight="1">
      <c r="A164" s="2" t="s">
        <v>299</v>
      </c>
      <c r="B164" s="2" t="s">
        <v>395</v>
      </c>
      <c r="C164" s="2" t="str">
        <f ca="1">IFERROR(__xludf.DUMMYFUNCTION("googletranslate(C164,""en"",""ne"")"),"अन्नपूर्ण गाउँपालिका")</f>
        <v>अन्नपूर्ण गाउँपालिका</v>
      </c>
      <c r="D164" s="3" t="str">
        <f ca="1">IFERROR(__xludf.DUMMYFUNCTION("googletranslate(D164,""en"",""ne"")"),"अध्यक्ष")</f>
        <v>अध्यक्ष</v>
      </c>
      <c r="E164" s="2" t="s">
        <v>18</v>
      </c>
      <c r="F164" s="2" t="s">
        <v>396</v>
      </c>
      <c r="G164" s="2" t="s">
        <v>8</v>
      </c>
      <c r="H164" s="2" t="s">
        <v>67</v>
      </c>
      <c r="I164" s="2" t="s">
        <v>397</v>
      </c>
    </row>
    <row r="165" spans="1:9" ht="15.75" customHeight="1">
      <c r="A165" s="2" t="s">
        <v>299</v>
      </c>
      <c r="B165" s="2" t="s">
        <v>395</v>
      </c>
      <c r="C165" s="2" t="str">
        <f ca="1">IFERROR(__xludf.DUMMYFUNCTION("googletranslate(C165,""en"",""ne"")"),"धवलागिरी गाउँपालिका")</f>
        <v>धवलागिरी गाउँपालिका</v>
      </c>
      <c r="D165" s="3" t="str">
        <f ca="1">IFERROR(__xludf.DUMMYFUNCTION("googletranslate(D165,""en"",""ne"")"),"अध्यक्ष")</f>
        <v>अध्यक्ष</v>
      </c>
      <c r="E165" s="2" t="s">
        <v>11</v>
      </c>
      <c r="F165" s="2" t="s">
        <v>398</v>
      </c>
      <c r="G165" s="2" t="s">
        <v>8</v>
      </c>
      <c r="H165" s="2" t="s">
        <v>190</v>
      </c>
      <c r="I165" s="2" t="s">
        <v>399</v>
      </c>
    </row>
    <row r="166" spans="1:9" ht="15.75" customHeight="1">
      <c r="A166" s="2" t="s">
        <v>299</v>
      </c>
      <c r="B166" s="2" t="s">
        <v>395</v>
      </c>
      <c r="C166" s="2" t="str">
        <f ca="1">IFERROR(__xludf.DUMMYFUNCTION("googletranslate(C166,""en"",""ne"")"),"बेनी नगरपालिका")</f>
        <v>बेनी नगरपालिका</v>
      </c>
      <c r="D166" s="3" t="str">
        <f ca="1">IFERROR(__xludf.DUMMYFUNCTION("googletranslate(D166,""en"",""ne"")"),"मेयर")</f>
        <v>मेयर</v>
      </c>
      <c r="E166" s="2" t="s">
        <v>18</v>
      </c>
      <c r="F166" s="2" t="s">
        <v>400</v>
      </c>
      <c r="G166" s="2" t="s">
        <v>8</v>
      </c>
      <c r="H166" s="2" t="s">
        <v>13</v>
      </c>
      <c r="I166" s="2" t="s">
        <v>401</v>
      </c>
    </row>
    <row r="167" spans="1:9" ht="15.75" customHeight="1">
      <c r="A167" s="2" t="s">
        <v>299</v>
      </c>
      <c r="B167" s="2" t="s">
        <v>395</v>
      </c>
      <c r="C167" s="2" t="str">
        <f ca="1">IFERROR(__xludf.DUMMYFUNCTION("googletranslate(C167,""en"",""ne"")"),"मंगलापालिका गाउँपालिका")</f>
        <v>मंगलापालिका गाउँपालिका</v>
      </c>
      <c r="D167" s="3" t="str">
        <f ca="1">IFERROR(__xludf.DUMMYFUNCTION("googletranslate(D167,""en"",""ne"")"),"अध्यक्ष")</f>
        <v>अध्यक्ष</v>
      </c>
      <c r="E167" s="2" t="s">
        <v>18</v>
      </c>
      <c r="F167" s="2" t="s">
        <v>402</v>
      </c>
      <c r="G167" s="2" t="s">
        <v>8</v>
      </c>
      <c r="H167" s="2" t="s">
        <v>98</v>
      </c>
      <c r="I167" s="2" t="s">
        <v>403</v>
      </c>
    </row>
    <row r="168" spans="1:9" ht="15.75" customHeight="1">
      <c r="A168" s="2" t="s">
        <v>299</v>
      </c>
      <c r="B168" s="2" t="s">
        <v>395</v>
      </c>
      <c r="C168" s="2" t="str">
        <f ca="1">IFERROR(__xludf.DUMMYFUNCTION("googletranslate(C168,""en"",""ne"")"),"सारापालिका गाउँपालिका")</f>
        <v>सारापालिका गाउँपालिका</v>
      </c>
      <c r="D168" s="3" t="str">
        <f ca="1">IFERROR(__xludf.DUMMYFUNCTION("googletranslate(D168,""en"",""ne"")"),"अध्यक्ष")</f>
        <v>अध्यक्ष</v>
      </c>
      <c r="E168" s="2" t="s">
        <v>18</v>
      </c>
      <c r="F168" s="2" t="s">
        <v>404</v>
      </c>
      <c r="G168" s="2" t="s">
        <v>8</v>
      </c>
      <c r="H168" s="2" t="s">
        <v>151</v>
      </c>
      <c r="I168" s="2" t="s">
        <v>405</v>
      </c>
    </row>
    <row r="169" spans="1:9" ht="15.75" customHeight="1">
      <c r="A169" s="2" t="s">
        <v>299</v>
      </c>
      <c r="B169" s="2" t="s">
        <v>406</v>
      </c>
      <c r="C169" s="2" t="str">
        <f ca="1">IFERROR(__xludf.DUMMYFUNCTION("googletranslate(C169,""en"",""ne"")"),"कावासोती नगरपालिका")</f>
        <v>कावासोती नगरपालिका</v>
      </c>
      <c r="D169" s="3" t="str">
        <f ca="1">IFERROR(__xludf.DUMMYFUNCTION("googletranslate(D169,""en"",""ne"")"),"मेयर")</f>
        <v>मेयर</v>
      </c>
      <c r="E169" s="2" t="s">
        <v>18</v>
      </c>
      <c r="F169" s="2" t="s">
        <v>407</v>
      </c>
      <c r="G169" s="2" t="s">
        <v>8</v>
      </c>
      <c r="H169" s="2" t="s">
        <v>408</v>
      </c>
      <c r="I169" s="2" t="s">
        <v>409</v>
      </c>
    </row>
    <row r="170" spans="1:9" ht="15.75" customHeight="1">
      <c r="A170" s="2" t="s">
        <v>299</v>
      </c>
      <c r="B170" s="2" t="s">
        <v>406</v>
      </c>
      <c r="C170" s="2" t="str">
        <f ca="1">IFERROR(__xludf.DUMMYFUNCTION("googletranslate(C170,""en"",""ne"")"),"गडाकोट नगरपालिका")</f>
        <v>गडाकोट नगरपालिका</v>
      </c>
      <c r="D170" s="3" t="str">
        <f ca="1">IFERROR(__xludf.DUMMYFUNCTION("googletranslate(D170,""en"",""ne"")"),"मेयर")</f>
        <v>मेयर</v>
      </c>
      <c r="E170" s="2" t="s">
        <v>11</v>
      </c>
      <c r="F170" s="2" t="s">
        <v>410</v>
      </c>
      <c r="G170" s="2" t="s">
        <v>8</v>
      </c>
      <c r="H170" s="2" t="s">
        <v>411</v>
      </c>
      <c r="I170" s="2" t="s">
        <v>412</v>
      </c>
    </row>
    <row r="171" spans="1:9" ht="15.75" customHeight="1">
      <c r="A171" s="2" t="s">
        <v>299</v>
      </c>
      <c r="B171" s="2" t="s">
        <v>406</v>
      </c>
      <c r="C171" s="2" t="str">
        <f ca="1">IFERROR(__xludf.DUMMYFUNCTION("googletranslate(C171,""en"",""ne"")"),"देवचुली नगरपालिका")</f>
        <v>देवचुली नगरपालिका</v>
      </c>
      <c r="D171" s="3" t="str">
        <f ca="1">IFERROR(__xludf.DUMMYFUNCTION("googletranslate(D171,""en"",""ne"")"),"मेयर")</f>
        <v>मेयर</v>
      </c>
      <c r="E171" s="2" t="s">
        <v>18</v>
      </c>
      <c r="F171" s="2" t="s">
        <v>413</v>
      </c>
      <c r="G171" s="2" t="s">
        <v>8</v>
      </c>
      <c r="H171" s="2" t="s">
        <v>9</v>
      </c>
      <c r="I171" s="2" t="s">
        <v>414</v>
      </c>
    </row>
    <row r="172" spans="1:9" ht="15.75" customHeight="1">
      <c r="A172" s="2" t="s">
        <v>299</v>
      </c>
      <c r="B172" s="2" t="s">
        <v>406</v>
      </c>
      <c r="C172" s="2" t="str">
        <f ca="1">IFERROR(__xludf.DUMMYFUNCTION("googletranslate(C172,""en"",""ne"")"),"बुलिङ्गटार गाउँपालिका")</f>
        <v>बुलिङ्गटार गाउँपालिका</v>
      </c>
      <c r="D172" s="3" t="str">
        <f ca="1">IFERROR(__xludf.DUMMYFUNCTION("googletranslate(D172,""en"",""ne"")"),"अध्यक्ष")</f>
        <v>अध्यक्ष</v>
      </c>
      <c r="E172" s="2" t="s">
        <v>18</v>
      </c>
      <c r="F172" s="2" t="s">
        <v>415</v>
      </c>
      <c r="G172" s="2" t="s">
        <v>8</v>
      </c>
      <c r="H172" s="2" t="s">
        <v>416</v>
      </c>
      <c r="I172" s="2" t="s">
        <v>417</v>
      </c>
    </row>
    <row r="173" spans="1:9" ht="15.75" customHeight="1">
      <c r="A173" s="2" t="s">
        <v>299</v>
      </c>
      <c r="B173" s="2" t="s">
        <v>406</v>
      </c>
      <c r="C173" s="2" t="str">
        <f ca="1">IFERROR(__xludf.DUMMYFUNCTION("googletranslate(C173,""en"",""ne"")"),"बौदीकाली गाउँपालिका")</f>
        <v>बौदीकाली गाउँपालिका</v>
      </c>
      <c r="D173" s="3" t="str">
        <f ca="1">IFERROR(__xludf.DUMMYFUNCTION("googletranslate(D173,""en"",""ne"")"),"अध्यक्ष")</f>
        <v>अध्यक्ष</v>
      </c>
      <c r="E173" s="2" t="s">
        <v>18</v>
      </c>
      <c r="F173" s="2" t="s">
        <v>418</v>
      </c>
      <c r="G173" s="2" t="s">
        <v>8</v>
      </c>
      <c r="H173" s="2" t="s">
        <v>322</v>
      </c>
      <c r="I173" s="2" t="s">
        <v>419</v>
      </c>
    </row>
    <row r="174" spans="1:9" ht="15.75" customHeight="1">
      <c r="A174" s="2" t="s">
        <v>299</v>
      </c>
      <c r="B174" s="2" t="s">
        <v>406</v>
      </c>
      <c r="C174" s="2" t="str">
        <f ca="1">IFERROR(__xludf.DUMMYFUNCTION("googletranslate(C174,""en"",""ne"")"),"मध्यविन्दु नगरपालिका")</f>
        <v>मध्यविन्दु नगरपालिका</v>
      </c>
      <c r="D174" s="3" t="str">
        <f ca="1">IFERROR(__xludf.DUMMYFUNCTION("googletranslate(D174,""en"",""ne"")"),"मेयर")</f>
        <v>मेयर</v>
      </c>
      <c r="E174" s="2" t="s">
        <v>18</v>
      </c>
      <c r="F174" s="2" t="s">
        <v>420</v>
      </c>
      <c r="G174" s="2" t="s">
        <v>8</v>
      </c>
      <c r="H174" s="2" t="s">
        <v>23</v>
      </c>
      <c r="I174" s="2" t="s">
        <v>421</v>
      </c>
    </row>
    <row r="175" spans="1:9" ht="15.75" customHeight="1">
      <c r="A175" s="2" t="s">
        <v>299</v>
      </c>
      <c r="B175" s="2" t="s">
        <v>406</v>
      </c>
      <c r="C175" s="2" t="str">
        <f ca="1">IFERROR(__xludf.DUMMYFUNCTION("googletranslate(C175,""en"",""ne"")"),"विनयी त्रिवेणी गाउँपालिका")</f>
        <v>विनयी त्रिवेणी गाउँपालिका</v>
      </c>
      <c r="D175" s="3" t="str">
        <f ca="1">IFERROR(__xludf.DUMMYFUNCTION("googletranslate(D175,""en"",""ne"")"),"अध्यक्ष")</f>
        <v>अध्यक्ष</v>
      </c>
      <c r="E175" s="2" t="s">
        <v>18</v>
      </c>
      <c r="F175" s="2" t="s">
        <v>422</v>
      </c>
      <c r="G175" s="2" t="s">
        <v>8</v>
      </c>
      <c r="H175" s="2" t="s">
        <v>172</v>
      </c>
      <c r="I175" s="2" t="s">
        <v>423</v>
      </c>
    </row>
    <row r="176" spans="1:9" ht="15.75" customHeight="1">
      <c r="A176" s="2" t="s">
        <v>299</v>
      </c>
      <c r="B176" s="2" t="s">
        <v>406</v>
      </c>
      <c r="C176" s="2" t="str">
        <f ca="1">IFERROR(__xludf.DUMMYFUNCTION("googletranslate(C176,""en"",""ne"")"),"हुप्सेट गाउँपालिका")</f>
        <v>हुप्सेट गाउँपालिका</v>
      </c>
      <c r="D176" s="3" t="str">
        <f ca="1">IFERROR(__xludf.DUMMYFUNCTION("googletranslate(D176,""en"",""ne"")"),"अध्यक्ष")</f>
        <v>अध्यक्ष</v>
      </c>
      <c r="E176" s="2" t="s">
        <v>11</v>
      </c>
      <c r="F176" s="2" t="s">
        <v>424</v>
      </c>
      <c r="G176" s="2" t="s">
        <v>32</v>
      </c>
      <c r="H176" s="2" t="s">
        <v>64</v>
      </c>
      <c r="I176" s="2" t="s">
        <v>425</v>
      </c>
    </row>
    <row r="177" spans="1:9" ht="15.75" customHeight="1">
      <c r="A177" s="2" t="s">
        <v>299</v>
      </c>
      <c r="B177" s="2" t="s">
        <v>426</v>
      </c>
      <c r="C177" s="2" t="str">
        <f ca="1">IFERROR(__xludf.DUMMYFUNCTION("googletranslate(C177,""en"",""ne"")"),"कुश्मा नगरपालिका")</f>
        <v>कुश्मा नगरपालिका</v>
      </c>
      <c r="D177" s="3" t="str">
        <f ca="1">IFERROR(__xludf.DUMMYFUNCTION("googletranslate(D177,""en"",""ne"")"),"मेयर")</f>
        <v>मेयर</v>
      </c>
      <c r="E177" s="2" t="s">
        <v>11</v>
      </c>
      <c r="F177" s="2" t="s">
        <v>427</v>
      </c>
      <c r="G177" s="2" t="s">
        <v>8</v>
      </c>
      <c r="H177" s="2" t="s">
        <v>26</v>
      </c>
      <c r="I177" s="2" t="s">
        <v>428</v>
      </c>
    </row>
    <row r="178" spans="1:9" ht="15.75" customHeight="1">
      <c r="A178" s="2" t="s">
        <v>299</v>
      </c>
      <c r="B178" s="2" t="s">
        <v>426</v>
      </c>
      <c r="C178" s="2" t="str">
        <f ca="1">IFERROR(__xludf.DUMMYFUNCTION("googletranslate(C178,""en"",""ne"")"),"जलजला गाउँपालिका")</f>
        <v>जलजला गाउँपालिका</v>
      </c>
      <c r="D178" s="3" t="str">
        <f ca="1">IFERROR(__xludf.DUMMYFUNCTION("googletranslate(D178,""en"",""ne"")"),"अध्यक्ष")</f>
        <v>अध्यक्ष</v>
      </c>
      <c r="E178" s="2" t="s">
        <v>11</v>
      </c>
      <c r="F178" s="2" t="s">
        <v>429</v>
      </c>
      <c r="G178" s="2" t="s">
        <v>8</v>
      </c>
      <c r="H178" s="2" t="s">
        <v>73</v>
      </c>
      <c r="I178" s="2" t="s">
        <v>430</v>
      </c>
    </row>
    <row r="179" spans="1:9" ht="15.75" customHeight="1">
      <c r="A179" s="2" t="s">
        <v>299</v>
      </c>
      <c r="B179" s="2" t="s">
        <v>426</v>
      </c>
      <c r="C179" s="2" t="str">
        <f ca="1">IFERROR(__xludf.DUMMYFUNCTION("googletranslate(C179,""en"",""ne"")"),"पैयूँ गाउँपालिका")</f>
        <v>पैयूँ गाउँपालिका</v>
      </c>
      <c r="D179" s="3" t="str">
        <f ca="1">IFERROR(__xludf.DUMMYFUNCTION("googletranslate(D179,""en"",""ne"")"),"अध्यक्ष")</f>
        <v>अध्यक्ष</v>
      </c>
      <c r="E179" s="2" t="s">
        <v>11</v>
      </c>
      <c r="F179" s="2" t="s">
        <v>431</v>
      </c>
      <c r="G179" s="2" t="s">
        <v>8</v>
      </c>
      <c r="H179" s="2" t="s">
        <v>83</v>
      </c>
      <c r="I179" s="2" t="s">
        <v>432</v>
      </c>
    </row>
    <row r="180" spans="1:9" ht="15.75" customHeight="1">
      <c r="A180" s="2" t="s">
        <v>299</v>
      </c>
      <c r="B180" s="2" t="s">
        <v>426</v>
      </c>
      <c r="C180" s="2" t="str">
        <f ca="1">IFERROR(__xludf.DUMMYFUNCTION("googletranslate(C180,""en"",""ne"")"),"फलेवास नगरपालिका")</f>
        <v>फलेवास नगरपालिका</v>
      </c>
      <c r="D180" s="3" t="str">
        <f ca="1">IFERROR(__xludf.DUMMYFUNCTION("googletranslate(D180,""en"",""ne"")"),"मेयर")</f>
        <v>मेयर</v>
      </c>
      <c r="E180" s="2" t="s">
        <v>11</v>
      </c>
      <c r="F180" s="2" t="s">
        <v>433</v>
      </c>
      <c r="G180" s="2" t="s">
        <v>8</v>
      </c>
      <c r="H180" s="2" t="s">
        <v>86</v>
      </c>
      <c r="I180" s="2" t="s">
        <v>434</v>
      </c>
    </row>
    <row r="181" spans="1:9" ht="15.75" customHeight="1">
      <c r="A181" s="2" t="s">
        <v>299</v>
      </c>
      <c r="B181" s="2" t="s">
        <v>426</v>
      </c>
      <c r="C181" s="2" t="str">
        <f ca="1">IFERROR(__xludf.DUMMYFUNCTION("googletranslate(C181,""en"",""ne"")"),"महाशिला गाउँपालिका")</f>
        <v>महाशिला गाउँपालिका</v>
      </c>
      <c r="D181" s="3" t="str">
        <f ca="1">IFERROR(__xludf.DUMMYFUNCTION("googletranslate(D181,""en"",""ne"")"),"अध्यक्ष")</f>
        <v>अध्यक्ष</v>
      </c>
      <c r="E181" s="2" t="s">
        <v>18</v>
      </c>
      <c r="F181" s="2" t="s">
        <v>435</v>
      </c>
      <c r="G181" s="2" t="s">
        <v>8</v>
      </c>
      <c r="H181" s="2" t="s">
        <v>172</v>
      </c>
      <c r="I181" s="2" t="s">
        <v>436</v>
      </c>
    </row>
    <row r="182" spans="1:9" ht="15.75" customHeight="1">
      <c r="A182" s="2" t="s">
        <v>299</v>
      </c>
      <c r="B182" s="2" t="s">
        <v>426</v>
      </c>
      <c r="C182" s="2" t="str">
        <f ca="1">IFERROR(__xludf.DUMMYFUNCTION("googletranslate(C182,""en"",""ne"")"),"मोदीपालिका गाउँपालिका")</f>
        <v>मोदीपालिका गाउँपालिका</v>
      </c>
      <c r="D182" s="3" t="str">
        <f ca="1">IFERROR(__xludf.DUMMYFUNCTION("googletranslate(D182,""en"",""ne"")"),"अध्यक्ष")</f>
        <v>अध्यक्ष</v>
      </c>
      <c r="E182" s="2" t="s">
        <v>18</v>
      </c>
      <c r="F182" s="2" t="s">
        <v>437</v>
      </c>
      <c r="G182" s="2" t="s">
        <v>32</v>
      </c>
      <c r="H182" s="2" t="s">
        <v>23</v>
      </c>
      <c r="I182" s="2" t="s">
        <v>149</v>
      </c>
    </row>
    <row r="183" spans="1:9" ht="15.75" customHeight="1">
      <c r="A183" s="2" t="s">
        <v>299</v>
      </c>
      <c r="B183" s="2" t="s">
        <v>438</v>
      </c>
      <c r="C183" s="2" t="str">
        <f ca="1">IFERROR(__xludf.DUMMYFUNCTION("googletranslate(C183,""en"",""ne"")"),"अर्जुन चौपारी गाउँपालिका")</f>
        <v>अर्जुन चौपारी गाउँपालिका</v>
      </c>
      <c r="D183" s="3" t="str">
        <f ca="1">IFERROR(__xludf.DUMMYFUNCTION("googletranslate(D183,""en"",""ne"")"),"अध्यक्ष")</f>
        <v>अध्यक्ष</v>
      </c>
      <c r="E183" s="2" t="s">
        <v>11</v>
      </c>
      <c r="F183" s="2" t="s">
        <v>439</v>
      </c>
      <c r="G183" s="2" t="s">
        <v>8</v>
      </c>
      <c r="H183" s="2" t="s">
        <v>293</v>
      </c>
      <c r="I183" s="2" t="s">
        <v>440</v>
      </c>
    </row>
    <row r="184" spans="1:9" ht="15.75" customHeight="1">
      <c r="A184" s="2" t="s">
        <v>299</v>
      </c>
      <c r="B184" s="2" t="s">
        <v>438</v>
      </c>
      <c r="C184" s="2" t="str">
        <f ca="1">IFERROR(__xludf.DUMMYFUNCTION("googletranslate(C184,""en"",""ne"")"),"आँधीखोला गाउँपालिका")</f>
        <v>आँधीखोला गाउँपालिका</v>
      </c>
      <c r="D184" s="3" t="str">
        <f ca="1">IFERROR(__xludf.DUMMYFUNCTION("googletranslate(D184,""en"",""ne"")"),"अध्यक्ष")</f>
        <v>अध्यक्ष</v>
      </c>
      <c r="E184" s="2" t="s">
        <v>18</v>
      </c>
      <c r="F184" s="2" t="s">
        <v>441</v>
      </c>
      <c r="G184" s="2" t="s">
        <v>8</v>
      </c>
      <c r="H184" s="2" t="s">
        <v>16</v>
      </c>
      <c r="I184" s="2" t="s">
        <v>442</v>
      </c>
    </row>
    <row r="185" spans="1:9" ht="15.75" customHeight="1">
      <c r="A185" s="2" t="s">
        <v>299</v>
      </c>
      <c r="B185" s="2" t="s">
        <v>438</v>
      </c>
      <c r="C185" s="2" t="str">
        <f ca="1">IFERROR(__xludf.DUMMYFUNCTION("googletranslate(C185,""en"",""ne"")"),"कालीगण्ड गाउँपालिका")</f>
        <v>कालीगण्ड गाउँपालिका</v>
      </c>
      <c r="D185" s="3" t="str">
        <f ca="1">IFERROR(__xludf.DUMMYFUNCTION("googletranslate(D185,""en"",""ne"")"),"अध्यक्ष")</f>
        <v>अध्यक्ष</v>
      </c>
      <c r="E185" s="2" t="s">
        <v>18</v>
      </c>
      <c r="F185" s="2" t="s">
        <v>443</v>
      </c>
      <c r="G185" s="2" t="s">
        <v>8</v>
      </c>
      <c r="H185" s="2" t="s">
        <v>45</v>
      </c>
      <c r="I185" s="2" t="s">
        <v>444</v>
      </c>
    </row>
    <row r="186" spans="1:9" ht="15.75" customHeight="1">
      <c r="A186" s="2" t="s">
        <v>299</v>
      </c>
      <c r="B186" s="2" t="s">
        <v>438</v>
      </c>
      <c r="C186" s="2" t="str">
        <f ca="1">IFERROR(__xludf.DUMMYFUNCTION("googletranslate(C186,""en"",""ne"")"),"गल्याङ नगरपालिका")</f>
        <v>गल्याङ नगरपालिका</v>
      </c>
      <c r="D186" s="3" t="str">
        <f ca="1">IFERROR(__xludf.DUMMYFUNCTION("googletranslate(D186,""en"",""ne"")"),"मेयर")</f>
        <v>मेयर</v>
      </c>
      <c r="E186" s="2" t="s">
        <v>11</v>
      </c>
      <c r="F186" s="2" t="s">
        <v>445</v>
      </c>
      <c r="G186" s="2" t="s">
        <v>8</v>
      </c>
      <c r="H186" s="2" t="s">
        <v>13</v>
      </c>
      <c r="I186" s="2" t="s">
        <v>446</v>
      </c>
    </row>
    <row r="187" spans="1:9" ht="15.75" customHeight="1">
      <c r="A187" s="2" t="s">
        <v>299</v>
      </c>
      <c r="B187" s="2" t="s">
        <v>438</v>
      </c>
      <c r="C187" s="2" t="str">
        <f ca="1">IFERROR(__xludf.DUMMYFUNCTION("googletranslate(C187,""en"",""ne"")"),"चापाकोट नगरपालिका")</f>
        <v>चापाकोट नगरपालिका</v>
      </c>
      <c r="D187" s="3" t="str">
        <f ca="1">IFERROR(__xludf.DUMMYFUNCTION("googletranslate(D187,""en"",""ne"")"),"मेयर")</f>
        <v>मेयर</v>
      </c>
      <c r="E187" s="2" t="s">
        <v>11</v>
      </c>
      <c r="F187" s="2" t="s">
        <v>447</v>
      </c>
      <c r="G187" s="2" t="s">
        <v>8</v>
      </c>
      <c r="H187" s="2" t="s">
        <v>26</v>
      </c>
      <c r="I187" s="2" t="s">
        <v>448</v>
      </c>
    </row>
    <row r="188" spans="1:9" ht="15.75" customHeight="1">
      <c r="A188" s="2" t="s">
        <v>299</v>
      </c>
      <c r="B188" s="2" t="s">
        <v>438</v>
      </c>
      <c r="C188" s="2" t="str">
        <f ca="1">IFERROR(__xludf.DUMMYFUNCTION("googletranslate(C188,""en"",""ne"")"),"पुतलीबजार नगरपालिका")</f>
        <v>पुतलीबजार नगरपालिका</v>
      </c>
      <c r="D188" s="3" t="str">
        <f ca="1">IFERROR(__xludf.DUMMYFUNCTION("googletranslate(D188,""en"",""ne"")"),"मेयर")</f>
        <v>मेयर</v>
      </c>
      <c r="E188" s="2" t="s">
        <v>11</v>
      </c>
      <c r="F188" s="2" t="s">
        <v>449</v>
      </c>
      <c r="G188" s="2" t="s">
        <v>8</v>
      </c>
      <c r="H188" s="2" t="s">
        <v>172</v>
      </c>
      <c r="I188" s="2" t="s">
        <v>450</v>
      </c>
    </row>
    <row r="189" spans="1:9" ht="15.75" customHeight="1">
      <c r="A189" s="2" t="s">
        <v>299</v>
      </c>
      <c r="B189" s="2" t="s">
        <v>438</v>
      </c>
      <c r="C189" s="2" t="str">
        <f ca="1">IFERROR(__xludf.DUMMYFUNCTION("googletranslate(C189,""en"",""ne"")"),"फेदीखोला गाउँपालिका")</f>
        <v>फेदीखोला गाउँपालिका</v>
      </c>
      <c r="D189" s="3" t="str">
        <f ca="1">IFERROR(__xludf.DUMMYFUNCTION("googletranslate(D189,""en"",""ne"")"),"अध्यक्ष")</f>
        <v>अध्यक्ष</v>
      </c>
      <c r="E189" s="2" t="s">
        <v>18</v>
      </c>
      <c r="F189" s="2" t="s">
        <v>451</v>
      </c>
      <c r="G189" s="2" t="s">
        <v>8</v>
      </c>
      <c r="H189" s="2" t="s">
        <v>73</v>
      </c>
      <c r="I189" s="2" t="s">
        <v>452</v>
      </c>
    </row>
    <row r="190" spans="1:9" ht="15.75" customHeight="1">
      <c r="A190" s="2" t="s">
        <v>299</v>
      </c>
      <c r="B190" s="2" t="s">
        <v>438</v>
      </c>
      <c r="C190" s="2" t="str">
        <f ca="1">IFERROR(__xludf.DUMMYFUNCTION("googletranslate(C190,""en"",""ne"")"),"भिरकोट नगरपालिका")</f>
        <v>भिरकोट नगरपालिका</v>
      </c>
      <c r="D190" s="3" t="str">
        <f ca="1">IFERROR(__xludf.DUMMYFUNCTION("googletranslate(D190,""en"",""ne"")"),"मेयर")</f>
        <v>मेयर</v>
      </c>
      <c r="E190" s="2" t="s">
        <v>11</v>
      </c>
      <c r="F190" s="2" t="s">
        <v>453</v>
      </c>
      <c r="G190" s="2" t="s">
        <v>8</v>
      </c>
      <c r="H190" s="2" t="s">
        <v>140</v>
      </c>
      <c r="I190" s="2" t="s">
        <v>454</v>
      </c>
    </row>
    <row r="191" spans="1:9" ht="15.75" customHeight="1">
      <c r="A191" s="2" t="s">
        <v>299</v>
      </c>
      <c r="B191" s="2" t="s">
        <v>438</v>
      </c>
      <c r="C191" s="2" t="str">
        <f ca="1">IFERROR(__xludf.DUMMYFUNCTION("googletranslate(C191,""en"",""ne"")"),"वालिङ नगरपालिका")</f>
        <v>वालिङ नगरपालिका</v>
      </c>
      <c r="D191" s="3" t="str">
        <f ca="1">IFERROR(__xludf.DUMMYFUNCTION("googletranslate(D191,""en"",""ne"")"),"मेयर")</f>
        <v>मेयर</v>
      </c>
      <c r="E191" s="2" t="s">
        <v>18</v>
      </c>
      <c r="F191" s="2" t="s">
        <v>455</v>
      </c>
      <c r="G191" s="2" t="s">
        <v>8</v>
      </c>
      <c r="H191" s="2" t="s">
        <v>45</v>
      </c>
      <c r="I191" s="2" t="s">
        <v>456</v>
      </c>
    </row>
    <row r="192" spans="1:9" ht="15.75" customHeight="1">
      <c r="A192" s="2" t="s">
        <v>299</v>
      </c>
      <c r="B192" s="2" t="s">
        <v>438</v>
      </c>
      <c r="C192" s="2" t="str">
        <f ca="1">IFERROR(__xludf.DUMMYFUNCTION("googletranslate(C192,""en"",""ne"")"),"विरुवा गाउँपालिका")</f>
        <v>विरुवा गाउँपालिका</v>
      </c>
      <c r="D192" s="3" t="str">
        <f ca="1">IFERROR(__xludf.DUMMYFUNCTION("googletranslate(D192,""en"",""ne"")"),"अध्यक्ष")</f>
        <v>अध्यक्ष</v>
      </c>
      <c r="E192" s="2" t="s">
        <v>18</v>
      </c>
      <c r="F192" s="2" t="s">
        <v>457</v>
      </c>
      <c r="G192" s="2" t="s">
        <v>8</v>
      </c>
      <c r="H192" s="2" t="s">
        <v>26</v>
      </c>
      <c r="I192" s="2" t="s">
        <v>458</v>
      </c>
    </row>
    <row r="193" spans="1:9" ht="15.75" customHeight="1">
      <c r="A193" s="2" t="s">
        <v>299</v>
      </c>
      <c r="B193" s="2" t="s">
        <v>438</v>
      </c>
      <c r="C193" s="2" t="str">
        <f ca="1">IFERROR(__xludf.DUMMYFUNCTION("googletranslate(C193,""en"",""ne"")"),"हरिनास गाउँपालिका")</f>
        <v>हरिनास गाउँपालिका</v>
      </c>
      <c r="D193" s="3" t="str">
        <f ca="1">IFERROR(__xludf.DUMMYFUNCTION("googletranslate(D193,""en"",""ne"")"),"अध्यक्ष")</f>
        <v>अध्यक्ष</v>
      </c>
      <c r="E193" s="2" t="s">
        <v>18</v>
      </c>
      <c r="F193" s="2" t="s">
        <v>459</v>
      </c>
      <c r="G193" s="2" t="s">
        <v>8</v>
      </c>
      <c r="H193" s="2" t="s">
        <v>73</v>
      </c>
      <c r="I193" s="2" t="s">
        <v>460</v>
      </c>
    </row>
    <row r="194" spans="1:9" ht="15.75" customHeight="1">
      <c r="A194" s="2" t="s">
        <v>299</v>
      </c>
      <c r="B194" s="2" t="s">
        <v>461</v>
      </c>
      <c r="C194" s="2" t="str">
        <f ca="1">IFERROR(__xludf.DUMMYFUNCTION("googletranslate(C194,""en"",""ne"")"),"आँबुखैरेनी गाउँपालिका")</f>
        <v>आँबुखैरेनी गाउँपालिका</v>
      </c>
      <c r="D194" s="3" t="str">
        <f ca="1">IFERROR(__xludf.DUMMYFUNCTION("googletranslate(D194,""en"",""ne"")"),"अध्यक्ष")</f>
        <v>अध्यक्ष</v>
      </c>
      <c r="E194" s="2" t="s">
        <v>30</v>
      </c>
      <c r="F194" s="2" t="s">
        <v>462</v>
      </c>
      <c r="G194" s="2" t="s">
        <v>8</v>
      </c>
      <c r="H194" s="2" t="s">
        <v>41</v>
      </c>
      <c r="I194" s="2" t="s">
        <v>463</v>
      </c>
    </row>
    <row r="195" spans="1:9" ht="15.75" customHeight="1">
      <c r="A195" s="2" t="s">
        <v>299</v>
      </c>
      <c r="B195" s="2" t="s">
        <v>461</v>
      </c>
      <c r="C195" s="2" t="str">
        <f ca="1">IFERROR(__xludf.DUMMYFUNCTION("googletranslate(C195,""en"",""ne"")"),"ऋषिङ्ग गाउँपालिका")</f>
        <v>ऋषिङ्ग गाउँपालिका</v>
      </c>
      <c r="D195" s="3" t="str">
        <f ca="1">IFERROR(__xludf.DUMMYFUNCTION("googletranslate(D195,""en"",""ne"")"),"अध्यक्ष")</f>
        <v>अध्यक्ष</v>
      </c>
      <c r="E195" s="2" t="s">
        <v>11</v>
      </c>
      <c r="F195" s="2" t="s">
        <v>464</v>
      </c>
      <c r="G195" s="2" t="s">
        <v>8</v>
      </c>
      <c r="H195" s="2" t="s">
        <v>64</v>
      </c>
      <c r="I195" s="2" t="s">
        <v>465</v>
      </c>
    </row>
    <row r="196" spans="1:9" ht="15.75" customHeight="1">
      <c r="A196" s="2" t="s">
        <v>299</v>
      </c>
      <c r="B196" s="2" t="s">
        <v>461</v>
      </c>
      <c r="C196" s="2" t="str">
        <f ca="1">IFERROR(__xludf.DUMMYFUNCTION("googletranslate(C196,""en"",""ne"")"),"घिरिङ गाउँपालिका")</f>
        <v>घिरिङ गाउँपालिका</v>
      </c>
      <c r="D196" s="3" t="str">
        <f ca="1">IFERROR(__xludf.DUMMYFUNCTION("googletranslate(D196,""en"",""ne"")"),"अध्यक्ष")</f>
        <v>अध्यक्ष</v>
      </c>
      <c r="E196" s="2" t="s">
        <v>18</v>
      </c>
      <c r="F196" s="2" t="s">
        <v>466</v>
      </c>
      <c r="G196" s="2" t="s">
        <v>8</v>
      </c>
      <c r="H196" s="2" t="s">
        <v>86</v>
      </c>
      <c r="I196" s="2" t="s">
        <v>467</v>
      </c>
    </row>
    <row r="197" spans="1:9" ht="15.75" customHeight="1">
      <c r="A197" s="2" t="s">
        <v>299</v>
      </c>
      <c r="B197" s="2" t="s">
        <v>461</v>
      </c>
      <c r="C197" s="2" t="str">
        <f ca="1">IFERROR(__xludf.DUMMYFUNCTION("googletranslate(C197,""en"",""ne"")"),"देवघाटपाल गाउँिका")</f>
        <v>देवघाटपाल गाउँिका</v>
      </c>
      <c r="D197" s="3" t="str">
        <f ca="1">IFERROR(__xludf.DUMMYFUNCTION("googletranslate(D197,""en"",""ne"")"),"अध्यक्ष")</f>
        <v>अध्यक्ष</v>
      </c>
      <c r="E197" s="2" t="s">
        <v>11</v>
      </c>
      <c r="F197" s="2" t="s">
        <v>468</v>
      </c>
      <c r="G197" s="2" t="s">
        <v>8</v>
      </c>
      <c r="H197" s="2" t="s">
        <v>67</v>
      </c>
      <c r="I197" s="2" t="s">
        <v>469</v>
      </c>
    </row>
    <row r="198" spans="1:9" ht="15.75" customHeight="1">
      <c r="A198" s="2" t="s">
        <v>299</v>
      </c>
      <c r="B198" s="2" t="s">
        <v>461</v>
      </c>
      <c r="C198" s="2" t="str">
        <f ca="1">IFERROR(__xludf.DUMMYFUNCTION("googletranslate(C198,""en"",""ne"")"),"लाइब्रेरी गाउँपालिका")</f>
        <v>लाइब्रेरी गाउँपालिका</v>
      </c>
      <c r="D198" s="3" t="str">
        <f ca="1">IFERROR(__xludf.DUMMYFUNCTION("googletranslate(D198,""en"",""ne"")"),"अध्यक्ष")</f>
        <v>अध्यक्ष</v>
      </c>
      <c r="E198" s="2" t="s">
        <v>18</v>
      </c>
      <c r="F198" s="2" t="s">
        <v>470</v>
      </c>
      <c r="G198" s="2" t="s">
        <v>8</v>
      </c>
      <c r="H198" s="2" t="s">
        <v>45</v>
      </c>
      <c r="I198" s="2" t="s">
        <v>471</v>
      </c>
    </row>
    <row r="199" spans="1:9" ht="15.75" customHeight="1">
      <c r="A199" s="2" t="s">
        <v>299</v>
      </c>
      <c r="B199" s="2" t="s">
        <v>461</v>
      </c>
      <c r="C199" s="2" t="str">
        <f ca="1">IFERROR(__xludf.DUMMYFUNCTION("googletranslate(C199,""en"",""ne"")"),"भानु नगरपालिका")</f>
        <v>भानु नगरपालिका</v>
      </c>
      <c r="D199" s="3" t="str">
        <f ca="1">IFERROR(__xludf.DUMMYFUNCTION("googletranslate(D199,""en"",""ne"")"),"मेयर")</f>
        <v>मेयर</v>
      </c>
      <c r="E199" s="2" t="s">
        <v>11</v>
      </c>
      <c r="F199" s="2" t="s">
        <v>472</v>
      </c>
      <c r="G199" s="2" t="s">
        <v>8</v>
      </c>
      <c r="H199" s="2" t="s">
        <v>50</v>
      </c>
      <c r="I199" s="2" t="s">
        <v>473</v>
      </c>
    </row>
    <row r="200" spans="1:9" ht="15.75" customHeight="1">
      <c r="A200" s="2" t="s">
        <v>299</v>
      </c>
      <c r="B200" s="2" t="s">
        <v>461</v>
      </c>
      <c r="C200" s="2" t="str">
        <f ca="1">IFERROR(__xludf.DUMMYFUNCTION("googletranslate(C200,""en"",""ne"")"),"माद भि नगरपालिका")</f>
        <v>माद भि नगरपालिका</v>
      </c>
      <c r="D200" s="3" t="str">
        <f ca="1">IFERROR(__xludf.DUMMYFUNCTION("googletranslate(D200,""en"",""ne"")"),"मेयर")</f>
        <v>मेयर</v>
      </c>
      <c r="E200" s="2" t="s">
        <v>18</v>
      </c>
      <c r="F200" s="2" t="s">
        <v>474</v>
      </c>
      <c r="G200" s="2" t="s">
        <v>8</v>
      </c>
      <c r="H200" s="2" t="s">
        <v>258</v>
      </c>
      <c r="I200" s="2" t="s">
        <v>475</v>
      </c>
    </row>
    <row r="201" spans="1:9" ht="15.75" customHeight="1">
      <c r="A201" s="2" t="s">
        <v>299</v>
      </c>
      <c r="B201" s="2" t="s">
        <v>461</v>
      </c>
      <c r="C201" s="2" t="str">
        <f ca="1">IFERROR(__xludf.DUMMYFUNCTION("googletranslate(C201,""en"",""ne"")"),"म्याग्दे गाउँपालिका")</f>
        <v>म्याग्दे गाउँपालिका</v>
      </c>
      <c r="D201" s="3" t="str">
        <f ca="1">IFERROR(__xludf.DUMMYFUNCTION("googletranslate(D201,""en"",""ne"")"),"अध्यक्ष")</f>
        <v>अध्यक्ष</v>
      </c>
      <c r="E201" s="2" t="s">
        <v>18</v>
      </c>
      <c r="F201" s="2" t="s">
        <v>476</v>
      </c>
      <c r="G201" s="2" t="s">
        <v>8</v>
      </c>
      <c r="H201" s="2" t="s">
        <v>70</v>
      </c>
      <c r="I201" s="2" t="s">
        <v>477</v>
      </c>
    </row>
    <row r="202" spans="1:9" ht="15.75" customHeight="1">
      <c r="A202" s="2" t="s">
        <v>299</v>
      </c>
      <c r="B202" s="2" t="s">
        <v>461</v>
      </c>
      <c r="C202" s="2" t="str">
        <f ca="1">IFERROR(__xludf.DUMMYFUNCTION("googletranslate(C202,""en"",""ne"")"),"व्यास नगरपालिका")</f>
        <v>व्यास नगरपालिका</v>
      </c>
      <c r="D202" s="3" t="str">
        <f ca="1">IFERROR(__xludf.DUMMYFUNCTION("googletranslate(D202,""en"",""ne"")"),"मेयर")</f>
        <v>मेयर</v>
      </c>
      <c r="E202" s="2" t="s">
        <v>11</v>
      </c>
      <c r="F202" s="2" t="s">
        <v>478</v>
      </c>
      <c r="G202" s="2" t="s">
        <v>8</v>
      </c>
      <c r="H202" s="2" t="s">
        <v>479</v>
      </c>
      <c r="I202" s="2" t="s">
        <v>480</v>
      </c>
    </row>
    <row r="203" spans="1:9" ht="15.75" customHeight="1">
      <c r="A203" s="2" t="s">
        <v>299</v>
      </c>
      <c r="B203" s="2" t="s">
        <v>461</v>
      </c>
      <c r="C203" s="2" t="str">
        <f ca="1">IFERROR(__xludf.DUMMYFUNCTION("googletranslate(C203,""en"",""ne"")"),"शुक्लागण्ड नगरपालिका")</f>
        <v>शुक्लागण्ड नगरपालिका</v>
      </c>
      <c r="D203" s="3" t="str">
        <f ca="1">IFERROR(__xludf.DUMMYFUNCTION("googletranslate(D203,""en"",""ne"")"),"मेयर")</f>
        <v>मेयर</v>
      </c>
      <c r="E203" s="2" t="s">
        <v>11</v>
      </c>
      <c r="F203" s="2" t="s">
        <v>481</v>
      </c>
      <c r="G203" s="2" t="s">
        <v>8</v>
      </c>
      <c r="H203" s="2" t="s">
        <v>23</v>
      </c>
      <c r="I203" s="2" t="s">
        <v>482</v>
      </c>
    </row>
    <row r="204" spans="1:9" ht="15.75" customHeight="1">
      <c r="A204" s="2" t="s">
        <v>483</v>
      </c>
      <c r="B204" s="2" t="s">
        <v>484</v>
      </c>
      <c r="C204" s="2" t="str">
        <f ca="1">IFERROR(__xludf.DUMMYFUNCTION("googletranslate(C204,""en"",""ne"")"),"आठबिस नगरपालिका")</f>
        <v>आठबिस नगरपालिका</v>
      </c>
      <c r="D204" s="3" t="str">
        <f ca="1">IFERROR(__xludf.DUMMYFUNCTION("googletranslate(D204,""en"",""ne"")"),"मेयर")</f>
        <v>मेयर</v>
      </c>
      <c r="E204" s="2" t="s">
        <v>18</v>
      </c>
      <c r="F204" s="2" t="s">
        <v>485</v>
      </c>
      <c r="G204" s="2" t="s">
        <v>8</v>
      </c>
      <c r="H204" s="2" t="s">
        <v>86</v>
      </c>
      <c r="I204" s="2" t="s">
        <v>486</v>
      </c>
    </row>
    <row r="205" spans="1:9" ht="15.75" customHeight="1">
      <c r="A205" s="2" t="s">
        <v>483</v>
      </c>
      <c r="B205" s="2" t="s">
        <v>484</v>
      </c>
      <c r="C205" s="2" t="str">
        <f ca="1">IFERROR(__xludf.DUMMYFUNCTION("googletranslate(C205,""en"",""ne"")"),"गुराँस गाउँपालिका")</f>
        <v>गुराँस गाउँपालिका</v>
      </c>
      <c r="D205" s="3" t="str">
        <f ca="1">IFERROR(__xludf.DUMMYFUNCTION("googletranslate(D205,""en"",""ne"")"),"अध्यक्ष")</f>
        <v>अध्यक्ष</v>
      </c>
      <c r="E205" s="2" t="s">
        <v>18</v>
      </c>
      <c r="F205" s="2" t="s">
        <v>487</v>
      </c>
      <c r="G205" s="2" t="s">
        <v>8</v>
      </c>
      <c r="H205" s="2" t="s">
        <v>23</v>
      </c>
      <c r="I205" s="2" t="s">
        <v>488</v>
      </c>
    </row>
    <row r="206" spans="1:9" ht="15.75" customHeight="1">
      <c r="A206" s="2" t="s">
        <v>483</v>
      </c>
      <c r="B206" s="2" t="s">
        <v>484</v>
      </c>
      <c r="C206" s="2" t="str">
        <f ca="1">IFERROR(__xludf.DUMMYFUNCTION("googletranslate(C206,""en"",""ne"")"),"चामुण्डा विन्द्रासैनी नगरपालिका")</f>
        <v>चामुण्डा विन्द्रासैनी नगरपालिका</v>
      </c>
      <c r="D206" s="3" t="str">
        <f ca="1">IFERROR(__xludf.DUMMYFUNCTION("googletranslate(D206,""en"",""ne"")"),"मेयर")</f>
        <v>मेयर</v>
      </c>
      <c r="E206" s="2" t="s">
        <v>11</v>
      </c>
      <c r="F206" s="2" t="s">
        <v>489</v>
      </c>
      <c r="G206" s="2" t="s">
        <v>8</v>
      </c>
      <c r="H206" s="2" t="s">
        <v>73</v>
      </c>
      <c r="I206" s="2" t="s">
        <v>490</v>
      </c>
    </row>
    <row r="207" spans="1:9" ht="15.75" customHeight="1">
      <c r="A207" s="2" t="s">
        <v>483</v>
      </c>
      <c r="B207" s="2" t="s">
        <v>484</v>
      </c>
      <c r="C207" s="2" t="str">
        <f ca="1">IFERROR(__xludf.DUMMYFUNCTION("googletranslate(C207,""en"",""ne"")"),"ठाँटीकाँध गाउँपालिका")</f>
        <v>ठाँटीकाँध गाउँपालिका</v>
      </c>
      <c r="D207" s="3" t="str">
        <f ca="1">IFERROR(__xludf.DUMMYFUNCTION("googletranslate(D207,""en"",""ne"")"),"अध्यक्ष")</f>
        <v>अध्यक्ष</v>
      </c>
      <c r="E207" s="2" t="s">
        <v>11</v>
      </c>
      <c r="F207" s="2" t="s">
        <v>491</v>
      </c>
      <c r="G207" s="2" t="s">
        <v>8</v>
      </c>
      <c r="H207" s="2" t="s">
        <v>172</v>
      </c>
      <c r="I207" s="2" t="s">
        <v>492</v>
      </c>
    </row>
    <row r="208" spans="1:9" ht="15.75" customHeight="1">
      <c r="A208" s="2" t="s">
        <v>483</v>
      </c>
      <c r="B208" s="2" t="s">
        <v>484</v>
      </c>
      <c r="C208" s="2" t="str">
        <f ca="1">IFERROR(__xludf.DUMMYFUNCTION("googletranslate(C208,""en"",""ne"")"),"डुङ्गेश्वर गाउँपालिका")</f>
        <v>डुङ्गेश्वर गाउँपालिका</v>
      </c>
      <c r="D208" s="3" t="str">
        <f ca="1">IFERROR(__xludf.DUMMYFUNCTION("googletranslate(D208,""en"",""ne"")"),"अध्यक्ष")</f>
        <v>अध्यक्ष</v>
      </c>
      <c r="E208" s="2" t="s">
        <v>18</v>
      </c>
      <c r="F208" s="2" t="s">
        <v>493</v>
      </c>
      <c r="G208" s="2" t="s">
        <v>8</v>
      </c>
      <c r="H208" s="2" t="s">
        <v>98</v>
      </c>
      <c r="I208" s="2" t="s">
        <v>494</v>
      </c>
    </row>
    <row r="209" spans="1:9" ht="15.75" customHeight="1">
      <c r="A209" s="2" t="s">
        <v>483</v>
      </c>
      <c r="B209" s="2" t="s">
        <v>484</v>
      </c>
      <c r="C209" s="2" t="str">
        <f ca="1">IFERROR(__xludf.DUMMYFUNCTION("googletranslate(C209,""en"",""ne"")"),"दुल्लु नगरपालिका")</f>
        <v>दुल्लु नगरपालिका</v>
      </c>
      <c r="D209" s="3" t="str">
        <f ca="1">IFERROR(__xludf.DUMMYFUNCTION("googletranslate(D209,""en"",""ne"")"),"मेयर")</f>
        <v>मेयर</v>
      </c>
      <c r="E209" s="2" t="s">
        <v>11</v>
      </c>
      <c r="F209" s="2" t="s">
        <v>495</v>
      </c>
      <c r="G209" s="2" t="s">
        <v>8</v>
      </c>
      <c r="H209" s="2" t="s">
        <v>58</v>
      </c>
      <c r="I209" s="2" t="s">
        <v>496</v>
      </c>
    </row>
    <row r="210" spans="1:9" ht="15.75" customHeight="1">
      <c r="A210" s="2" t="s">
        <v>483</v>
      </c>
      <c r="B210" s="2" t="s">
        <v>484</v>
      </c>
      <c r="C210" s="2" t="str">
        <f ca="1">IFERROR(__xludf.DUMMYFUNCTION("googletranslate(C210,""en"",""ne"")"),"नारायण नगरपालिका")</f>
        <v>नारायण नगरपालिका</v>
      </c>
      <c r="D210" s="3" t="str">
        <f ca="1">IFERROR(__xludf.DUMMYFUNCTION("googletranslate(D210,""en"",""ne"")"),"मेयर")</f>
        <v>मेयर</v>
      </c>
      <c r="E210" s="2" t="s">
        <v>18</v>
      </c>
      <c r="F210" s="2" t="s">
        <v>497</v>
      </c>
      <c r="G210" s="2" t="s">
        <v>8</v>
      </c>
      <c r="H210" s="2" t="s">
        <v>67</v>
      </c>
      <c r="I210" s="2" t="s">
        <v>498</v>
      </c>
    </row>
    <row r="211" spans="1:9" ht="15.75" customHeight="1">
      <c r="A211" s="2" t="s">
        <v>483</v>
      </c>
      <c r="B211" s="2" t="s">
        <v>484</v>
      </c>
      <c r="C211" s="2" t="str">
        <f ca="1">IFERROR(__xludf.DUMMYFUNCTION("googletranslate(C211,""en"",""ne"")"),"नमुले गाउँपालिका")</f>
        <v>नमुले गाउँपालिका</v>
      </c>
      <c r="D211" s="3" t="str">
        <f ca="1">IFERROR(__xludf.DUMMYFUNCTION("googletranslate(D211,""en"",""ne"")"),"अध्यक्ष")</f>
        <v>अध्यक्ष</v>
      </c>
      <c r="E211" s="2" t="s">
        <v>30</v>
      </c>
      <c r="F211" s="2" t="s">
        <v>499</v>
      </c>
      <c r="G211" s="2" t="s">
        <v>8</v>
      </c>
      <c r="H211" s="2" t="s">
        <v>13</v>
      </c>
      <c r="I211" s="2" t="s">
        <v>500</v>
      </c>
    </row>
    <row r="212" spans="1:9" ht="15.75" customHeight="1">
      <c r="A212" s="2" t="s">
        <v>483</v>
      </c>
      <c r="B212" s="2" t="s">
        <v>484</v>
      </c>
      <c r="C212" s="2" t="str">
        <f ca="1">IFERROR(__xludf.DUMMYFUNCTION("googletranslate(C212,""en"",""ne"")"),"भगवतीमा गाउँपालिका")</f>
        <v>भगवतीमा गाउँपालिका</v>
      </c>
      <c r="D212" s="3" t="str">
        <f ca="1">IFERROR(__xludf.DUMMYFUNCTION("googletranslate(D212,""en"",""ne"")"),"अध्यक्ष")</f>
        <v>अध्यक्ष</v>
      </c>
      <c r="E212" s="2" t="s">
        <v>30</v>
      </c>
      <c r="F212" s="2" t="s">
        <v>501</v>
      </c>
      <c r="G212" s="2" t="s">
        <v>8</v>
      </c>
      <c r="H212" s="2" t="s">
        <v>67</v>
      </c>
      <c r="I212" s="2" t="s">
        <v>502</v>
      </c>
    </row>
    <row r="213" spans="1:9" ht="15.75" customHeight="1">
      <c r="A213" s="2" t="s">
        <v>483</v>
      </c>
      <c r="B213" s="2" t="s">
        <v>484</v>
      </c>
      <c r="C213" s="2" t="str">
        <f ca="1">IFERROR(__xludf.DUMMYFUNCTION("googletranslate(C213,""en"",""ne"")"),"भैरवी गाउँपालिका")</f>
        <v>भैरवी गाउँपालिका</v>
      </c>
      <c r="D213" s="3" t="str">
        <f ca="1">IFERROR(__xludf.DUMMYFUNCTION("googletranslate(D213,""en"",""ne"")"),"अध्यक्ष")</f>
        <v>अध्यक्ष</v>
      </c>
      <c r="E213" s="2" t="s">
        <v>11</v>
      </c>
      <c r="F213" s="2" t="s">
        <v>503</v>
      </c>
      <c r="G213" s="2" t="s">
        <v>32</v>
      </c>
      <c r="H213" s="2" t="s">
        <v>50</v>
      </c>
      <c r="I213" s="2" t="s">
        <v>419</v>
      </c>
    </row>
    <row r="214" spans="1:9" ht="15.75" customHeight="1">
      <c r="A214" s="2" t="s">
        <v>483</v>
      </c>
      <c r="B214" s="2" t="s">
        <v>484</v>
      </c>
      <c r="C214" s="2" t="str">
        <f ca="1">IFERROR(__xludf.DUMMYFUNCTION("googletranslate(C214,""en"",""ne"")"),"महाबु गाउँपालिका")</f>
        <v>महाबु गाउँपालिका</v>
      </c>
      <c r="D214" s="3" t="str">
        <f ca="1">IFERROR(__xludf.DUMMYFUNCTION("googletranslate(D214,""en"",""ne"")"),"अध्यक्ष")</f>
        <v>अध्यक्ष</v>
      </c>
      <c r="E214" s="2" t="s">
        <v>11</v>
      </c>
      <c r="F214" s="2" t="s">
        <v>504</v>
      </c>
      <c r="G214" s="2" t="s">
        <v>8</v>
      </c>
      <c r="H214" s="2" t="s">
        <v>505</v>
      </c>
      <c r="I214" s="2" t="s">
        <v>506</v>
      </c>
    </row>
    <row r="215" spans="1:9" ht="15.75" customHeight="1">
      <c r="A215" s="2" t="s">
        <v>483</v>
      </c>
      <c r="B215" s="2" t="s">
        <v>507</v>
      </c>
      <c r="C215" s="2" t="str">
        <f ca="1">IFERROR(__xludf.DUMMYFUNCTION("googletranslate(C215,""en"",""ne"")"),"काईके गाउँपालिका")</f>
        <v>काईके गाउँपालिका</v>
      </c>
      <c r="D215" s="3" t="str">
        <f ca="1">IFERROR(__xludf.DUMMYFUNCTION("googletranslate(D215,""en"",""ne"")"),"अध्यक्ष")</f>
        <v>अध्यक्ष</v>
      </c>
      <c r="E215" s="2" t="s">
        <v>39</v>
      </c>
      <c r="F215" s="2" t="s">
        <v>508</v>
      </c>
      <c r="G215" s="2" t="s">
        <v>8</v>
      </c>
      <c r="H215" s="2" t="s">
        <v>41</v>
      </c>
      <c r="I215" s="2" t="s">
        <v>509</v>
      </c>
    </row>
    <row r="216" spans="1:9" ht="15.75" customHeight="1">
      <c r="A216" s="2" t="s">
        <v>483</v>
      </c>
      <c r="B216" s="2" t="s">
        <v>507</v>
      </c>
      <c r="C216" s="2" t="str">
        <f ca="1">IFERROR(__xludf.DUMMYFUNCTION("googletranslate(C216,""en"",""ne"")"),"छार्का ताङसोङ गाउँपालिका")</f>
        <v>छार्का ताङसोङ गाउँपालिका</v>
      </c>
      <c r="D216" s="3" t="str">
        <f ca="1">IFERROR(__xludf.DUMMYFUNCTION("googletranslate(D216,""en"",""ne"")"),"अध्यक्ष")</f>
        <v>अध्यक्ष</v>
      </c>
      <c r="E216" s="2" t="s">
        <v>39</v>
      </c>
      <c r="F216" s="2" t="s">
        <v>510</v>
      </c>
      <c r="G216" s="2" t="s">
        <v>8</v>
      </c>
      <c r="H216" s="2" t="s">
        <v>16</v>
      </c>
      <c r="I216" s="2" t="s">
        <v>509</v>
      </c>
    </row>
    <row r="217" spans="1:9" ht="15.75" customHeight="1">
      <c r="A217" s="2" t="s">
        <v>483</v>
      </c>
      <c r="B217" s="2" t="s">
        <v>507</v>
      </c>
      <c r="C217" s="2" t="str">
        <f ca="1">IFERROR(__xludf.DUMMYFUNCTION("googletranslate(C217,""en"",""ne"")"),"जगदुल्ला गाउँपालिका")</f>
        <v>जगदुल्ला गाउँपालिका</v>
      </c>
      <c r="D217" s="3" t="str">
        <f ca="1">IFERROR(__xludf.DUMMYFUNCTION("googletranslate(D217,""en"",""ne"")"),"अध्यक्ष")</f>
        <v>अध्यक्ष</v>
      </c>
      <c r="E217" s="2" t="s">
        <v>30</v>
      </c>
      <c r="F217" s="2" t="s">
        <v>511</v>
      </c>
      <c r="G217" s="2" t="s">
        <v>8</v>
      </c>
      <c r="H217" s="2" t="s">
        <v>13</v>
      </c>
      <c r="I217" s="2" t="s">
        <v>512</v>
      </c>
    </row>
    <row r="218" spans="1:9" ht="15.75" customHeight="1">
      <c r="A218" s="2" t="s">
        <v>483</v>
      </c>
      <c r="B218" s="2" t="s">
        <v>507</v>
      </c>
      <c r="C218" s="2" t="str">
        <f ca="1">IFERROR(__xludf.DUMMYFUNCTION("googletranslate(C218,""en"",""ne"")"),"ठूली भेरी नगरपालिका")</f>
        <v>ठूली भेरी नगरपालिका</v>
      </c>
      <c r="D218" s="3" t="str">
        <f ca="1">IFERROR(__xludf.DUMMYFUNCTION("googletranslate(D218,""en"",""ne"")"),"मेयर")</f>
        <v>मेयर</v>
      </c>
      <c r="E218" s="2" t="s">
        <v>11</v>
      </c>
      <c r="F218" s="2" t="s">
        <v>513</v>
      </c>
      <c r="G218" s="2" t="s">
        <v>8</v>
      </c>
      <c r="H218" s="2" t="s">
        <v>41</v>
      </c>
      <c r="I218" s="2" t="s">
        <v>514</v>
      </c>
    </row>
    <row r="219" spans="1:9" ht="15.75" customHeight="1">
      <c r="A219" s="2" t="s">
        <v>483</v>
      </c>
      <c r="B219" s="2" t="s">
        <v>507</v>
      </c>
      <c r="C219" s="2" t="str">
        <f ca="1">IFERROR(__xludf.DUMMYFUNCTION("googletranslate(C219,""en"",""ne"")"),"डोल्पो बुद्ध गाउँपालिका")</f>
        <v>डोल्पो बुद्ध गाउँपालिका</v>
      </c>
      <c r="D219" s="3" t="str">
        <f ca="1">IFERROR(__xludf.DUMMYFUNCTION("googletranslate(D219,""en"",""ne"")"),"अध्यक्ष")</f>
        <v>अध्यक्ष</v>
      </c>
      <c r="E219" s="2" t="s">
        <v>105</v>
      </c>
      <c r="F219" s="2" t="s">
        <v>515</v>
      </c>
      <c r="G219" s="2" t="s">
        <v>8</v>
      </c>
      <c r="H219" s="2" t="s">
        <v>86</v>
      </c>
      <c r="I219" s="2" t="s">
        <v>516</v>
      </c>
    </row>
    <row r="220" spans="1:9" ht="15.75" customHeight="1">
      <c r="A220" s="2" t="s">
        <v>483</v>
      </c>
      <c r="B220" s="2" t="s">
        <v>507</v>
      </c>
      <c r="C220" s="2" t="str">
        <f ca="1">IFERROR(__xludf.DUMMYFUNCTION("googletranslate(C220,""en"",""ne"")"),"त्रिपुरासुन्दरी नगरपालिका")</f>
        <v>त्रिपुरासुन्दरी नगरपालिका</v>
      </c>
      <c r="D220" s="3" t="str">
        <f ca="1">IFERROR(__xludf.DUMMYFUNCTION("googletranslate(D220,""en"",""ne"")"),"मेयर")</f>
        <v>मेयर</v>
      </c>
      <c r="E220" s="2" t="s">
        <v>18</v>
      </c>
      <c r="F220" s="2" t="s">
        <v>517</v>
      </c>
      <c r="G220" s="2" t="s">
        <v>8</v>
      </c>
      <c r="H220" s="2" t="s">
        <v>61</v>
      </c>
      <c r="I220" s="2" t="s">
        <v>518</v>
      </c>
    </row>
    <row r="221" spans="1:9" ht="15.75" customHeight="1">
      <c r="A221" s="2" t="s">
        <v>483</v>
      </c>
      <c r="B221" s="2" t="s">
        <v>507</v>
      </c>
      <c r="C221" s="2" t="str">
        <f ca="1">IFERROR(__xludf.DUMMYFUNCTION("googletranslate(C221,""en"",""ne"")"),"मुड्केचुला गाउँपालिका")</f>
        <v>मुड्केचुला गाउँपालिका</v>
      </c>
      <c r="D221" s="3" t="str">
        <f ca="1">IFERROR(__xludf.DUMMYFUNCTION("googletranslate(D221,""en"",""ne"")"),"अध्यक्ष")</f>
        <v>अध्यक्ष</v>
      </c>
      <c r="E221" s="2" t="s">
        <v>30</v>
      </c>
      <c r="F221" s="2" t="s">
        <v>519</v>
      </c>
      <c r="G221" s="2" t="s">
        <v>8</v>
      </c>
      <c r="H221" s="2" t="s">
        <v>73</v>
      </c>
      <c r="I221" s="2" t="s">
        <v>520</v>
      </c>
    </row>
    <row r="222" spans="1:9" ht="15.75" customHeight="1">
      <c r="A222" s="2" t="s">
        <v>483</v>
      </c>
      <c r="B222" s="2" t="s">
        <v>507</v>
      </c>
      <c r="C222" s="2" t="str">
        <f ca="1">IFERROR(__xludf.DUMMYFUNCTION("googletranslate(C222,""en"",""ne"")"),"शेक्सुन्ड गाउँपालिका")</f>
        <v>शेक्सुन्ड गाउँपालिका</v>
      </c>
      <c r="D222" s="3" t="str">
        <f ca="1">IFERROR(__xludf.DUMMYFUNCTION("googletranslate(D222,""en"",""ne"")"),"अध्यक्ष")</f>
        <v>अध्यक्ष</v>
      </c>
      <c r="E222" s="2" t="s">
        <v>18</v>
      </c>
      <c r="F222" s="2" t="s">
        <v>521</v>
      </c>
      <c r="G222" s="2" t="s">
        <v>8</v>
      </c>
      <c r="H222" s="2" t="s">
        <v>151</v>
      </c>
      <c r="I222" s="2" t="s">
        <v>509</v>
      </c>
    </row>
    <row r="223" spans="1:9" ht="15.75" customHeight="1">
      <c r="A223" s="2" t="s">
        <v>483</v>
      </c>
      <c r="B223" s="2" t="s">
        <v>522</v>
      </c>
      <c r="C223" s="2" t="str">
        <f ca="1">IFERROR(__xludf.DUMMYFUNCTION("googletranslate(C223,""en"",""ne"")"),"अदानचुली गाउँपालिका")</f>
        <v>अदानचुली गाउँपालिका</v>
      </c>
      <c r="D223" s="3" t="str">
        <f ca="1">IFERROR(__xludf.DUMMYFUNCTION("googletranslate(D223,""en"",""ne"")"),"अध्यक्ष")</f>
        <v>अध्यक्ष</v>
      </c>
      <c r="E223" s="2" t="s">
        <v>11</v>
      </c>
      <c r="F223" s="2" t="s">
        <v>523</v>
      </c>
      <c r="G223" s="2" t="s">
        <v>8</v>
      </c>
      <c r="H223" s="2" t="s">
        <v>58</v>
      </c>
      <c r="I223" s="2" t="s">
        <v>524</v>
      </c>
    </row>
    <row r="224" spans="1:9" ht="15.75" customHeight="1">
      <c r="A224" s="2" t="s">
        <v>483</v>
      </c>
      <c r="B224" s="2" t="s">
        <v>522</v>
      </c>
      <c r="C224" s="2" t="str">
        <f ca="1">IFERROR(__xludf.DUMMYFUNCTION("googletranslate(C224,""en"",""ne"")"),"खरपुनाथ गाउँपालिका")</f>
        <v>खरपुनाथ गाउँपालिका</v>
      </c>
      <c r="D224" s="3" t="str">
        <f ca="1">IFERROR(__xludf.DUMMYFUNCTION("googletranslate(D224,""en"",""ne"")"),"अध्यक्ष")</f>
        <v>अध्यक्ष</v>
      </c>
      <c r="E224" s="2" t="s">
        <v>11</v>
      </c>
      <c r="F224" s="2" t="s">
        <v>525</v>
      </c>
      <c r="G224" s="2" t="s">
        <v>8</v>
      </c>
      <c r="H224" s="2" t="s">
        <v>91</v>
      </c>
      <c r="I224" s="2" t="s">
        <v>526</v>
      </c>
    </row>
    <row r="225" spans="1:9" ht="15.75" customHeight="1">
      <c r="A225" s="2" t="s">
        <v>483</v>
      </c>
      <c r="B225" s="2" t="s">
        <v>522</v>
      </c>
      <c r="C225" s="2" t="str">
        <f ca="1">IFERROR(__xludf.DUMMYFUNCTION("googletranslate(C225,""en"",""ne"")"),"चंखेली गाउँपालिका")</f>
        <v>चंखेली गाउँपालिका</v>
      </c>
      <c r="D225" s="3" t="str">
        <f ca="1">IFERROR(__xludf.DUMMYFUNCTION("googletranslate(D225,""en"",""ne"")"),"अध्यक्ष")</f>
        <v>अध्यक्ष</v>
      </c>
      <c r="E225" s="2" t="s">
        <v>105</v>
      </c>
      <c r="F225" s="2" t="s">
        <v>527</v>
      </c>
      <c r="G225" s="2" t="s">
        <v>8</v>
      </c>
      <c r="H225" s="2" t="s">
        <v>58</v>
      </c>
      <c r="I225" s="2" t="s">
        <v>528</v>
      </c>
    </row>
    <row r="226" spans="1:9" ht="15.75" customHeight="1">
      <c r="A226" s="2" t="s">
        <v>483</v>
      </c>
      <c r="B226" s="2" t="s">
        <v>522</v>
      </c>
      <c r="C226" s="2" t="str">
        <f ca="1">IFERROR(__xludf.DUMMYFUNCTION("googletranslate(C226,""en"",""ne"")"),"ताँजाकोट गाउँपालिका")</f>
        <v>ताँजाकोट गाउँपालिका</v>
      </c>
      <c r="D226" s="3" t="str">
        <f ca="1">IFERROR(__xludf.DUMMYFUNCTION("googletranslate(D226,""en"",""ne"")"),"अध्यक्ष")</f>
        <v>अध्यक्ष</v>
      </c>
      <c r="E226" s="2" t="s">
        <v>30</v>
      </c>
      <c r="F226" s="2" t="s">
        <v>529</v>
      </c>
      <c r="G226" s="2" t="s">
        <v>8</v>
      </c>
      <c r="H226" s="2" t="s">
        <v>16</v>
      </c>
      <c r="I226" s="2" t="s">
        <v>526</v>
      </c>
    </row>
    <row r="227" spans="1:9" ht="15.75" customHeight="1">
      <c r="A227" s="2" t="s">
        <v>483</v>
      </c>
      <c r="B227" s="2" t="s">
        <v>522</v>
      </c>
      <c r="C227" s="2" t="str">
        <f ca="1">IFERROR(__xludf.DUMMYFUNCTION("googletranslate(C227,""en"",""ne"")"),"नाम्खा गाउँपालिका")</f>
        <v>नाम्खा गाउँपालिका</v>
      </c>
      <c r="D227" s="3" t="str">
        <f ca="1">IFERROR(__xludf.DUMMYFUNCTION("googletranslate(D227,""en"",""ne"")"),"अध्यक्ष")</f>
        <v>अध्यक्ष</v>
      </c>
      <c r="E227" s="2" t="s">
        <v>30</v>
      </c>
      <c r="F227" s="2" t="s">
        <v>530</v>
      </c>
      <c r="G227" s="2" t="s">
        <v>8</v>
      </c>
      <c r="H227" s="2" t="s">
        <v>200</v>
      </c>
      <c r="I227" s="2" t="s">
        <v>531</v>
      </c>
    </row>
    <row r="228" spans="1:9" ht="15.75" customHeight="1">
      <c r="A228" s="2" t="s">
        <v>483</v>
      </c>
      <c r="B228" s="2" t="s">
        <v>522</v>
      </c>
      <c r="C228" s="2" t="str">
        <f ca="1">IFERROR(__xludf.DUMMYFUNCTION("googletranslate(C228,""en"",""ne"")"),"सर्केगाड गाउँपालिका")</f>
        <v>सर्केगाड गाउँपालिका</v>
      </c>
      <c r="D228" s="3" t="str">
        <f ca="1">IFERROR(__xludf.DUMMYFUNCTION("googletranslate(D228,""en"",""ne"")"),"अध्यक्ष")</f>
        <v>अध्यक्ष</v>
      </c>
      <c r="E228" s="2" t="s">
        <v>11</v>
      </c>
      <c r="F228" s="2" t="s">
        <v>532</v>
      </c>
      <c r="G228" s="2" t="s">
        <v>8</v>
      </c>
      <c r="H228" s="2" t="s">
        <v>159</v>
      </c>
      <c r="I228" s="2" t="s">
        <v>533</v>
      </c>
    </row>
    <row r="229" spans="1:9" ht="15.75" customHeight="1">
      <c r="A229" s="2" t="s">
        <v>483</v>
      </c>
      <c r="B229" s="2" t="s">
        <v>522</v>
      </c>
      <c r="C229" s="2" t="str">
        <f ca="1">IFERROR(__xludf.DUMMYFUNCTION("googletranslate(C229,""en"",""ne"")"),"सिमकोट गाउँपालिका")</f>
        <v>सिमकोट गाउँपालिका</v>
      </c>
      <c r="D229" s="3" t="str">
        <f ca="1">IFERROR(__xludf.DUMMYFUNCTION("googletranslate(D229,""en"",""ne"")"),"अध्यक्ष")</f>
        <v>अध्यक्ष</v>
      </c>
      <c r="E229" s="2" t="s">
        <v>30</v>
      </c>
      <c r="F229" s="2" t="s">
        <v>534</v>
      </c>
      <c r="G229" s="2" t="s">
        <v>8</v>
      </c>
      <c r="H229" s="2" t="s">
        <v>73</v>
      </c>
      <c r="I229" s="2" t="s">
        <v>535</v>
      </c>
    </row>
    <row r="230" spans="1:9" ht="15.75" customHeight="1">
      <c r="A230" s="2" t="s">
        <v>483</v>
      </c>
      <c r="B230" s="2" t="s">
        <v>536</v>
      </c>
      <c r="C230" s="2" t="str">
        <f ca="1">IFERROR(__xludf.DUMMYFUNCTION("googletranslate(C230,""en"",""ne"")"),"कुसेपाल गाउँपालिका")</f>
        <v>कुसेपाल गाउँपालिका</v>
      </c>
      <c r="D230" s="3" t="str">
        <f ca="1">IFERROR(__xludf.DUMMYFUNCTION("googletranslate(D230,""en"",""ne"")"),"अध्यक्ष")</f>
        <v>अध्यक्ष</v>
      </c>
      <c r="E230" s="2" t="s">
        <v>11</v>
      </c>
      <c r="F230" s="2" t="s">
        <v>537</v>
      </c>
      <c r="G230" s="2" t="s">
        <v>8</v>
      </c>
      <c r="H230" s="2" t="s">
        <v>190</v>
      </c>
      <c r="I230" s="2" t="s">
        <v>538</v>
      </c>
    </row>
    <row r="231" spans="1:9" ht="15.75" customHeight="1">
      <c r="A231" s="2" t="s">
        <v>483</v>
      </c>
      <c r="B231" s="2" t="s">
        <v>536</v>
      </c>
      <c r="C231" s="2" t="str">
        <f ca="1">IFERROR(__xludf.DUMMYFUNCTION("googletranslate(C231,""en"",""ne"")"),"छेडागाड नगरपालिका")</f>
        <v>छेडागाड नगरपालिका</v>
      </c>
      <c r="D231" s="3" t="str">
        <f ca="1">IFERROR(__xludf.DUMMYFUNCTION("googletranslate(D231,""en"",""ne"")"),"मेयर")</f>
        <v>मेयर</v>
      </c>
      <c r="E231" s="2" t="s">
        <v>11</v>
      </c>
      <c r="F231" s="2" t="s">
        <v>539</v>
      </c>
      <c r="G231" s="2" t="s">
        <v>8</v>
      </c>
      <c r="H231" s="2" t="s">
        <v>64</v>
      </c>
      <c r="I231" s="2" t="s">
        <v>540</v>
      </c>
    </row>
    <row r="232" spans="1:9" ht="15.75" customHeight="1">
      <c r="A232" s="2" t="s">
        <v>483</v>
      </c>
      <c r="B232" s="2" t="s">
        <v>536</v>
      </c>
      <c r="C232" s="2" t="str">
        <f ca="1">IFERROR(__xludf.DUMMYFUNCTION("googletranslate(C232,""en"",""ne"")"),"जुनिचाँदे गाउँपालिका")</f>
        <v>जुनिचाँदे गाउँपालिका</v>
      </c>
      <c r="D232" s="3" t="str">
        <f ca="1">IFERROR(__xludf.DUMMYFUNCTION("googletranslate(D232,""en"",""ne"")"),"अध्यक्ष")</f>
        <v>अध्यक्ष</v>
      </c>
      <c r="E232" s="2" t="s">
        <v>18</v>
      </c>
      <c r="F232" s="2" t="s">
        <v>541</v>
      </c>
      <c r="G232" s="2" t="s">
        <v>8</v>
      </c>
      <c r="H232" s="2" t="s">
        <v>91</v>
      </c>
      <c r="I232" s="2" t="s">
        <v>542</v>
      </c>
    </row>
    <row r="233" spans="1:9" ht="15.75" customHeight="1">
      <c r="A233" s="2" t="s">
        <v>483</v>
      </c>
      <c r="B233" s="2" t="s">
        <v>536</v>
      </c>
      <c r="C233" s="2" t="str">
        <f ca="1">IFERROR(__xludf.DUMMYFUNCTION("googletranslate(C233,""en"",""ne"")"),"नलगाड नगरपालिका")</f>
        <v>नलगाड नगरपालिका</v>
      </c>
      <c r="D233" s="3" t="str">
        <f ca="1">IFERROR(__xludf.DUMMYFUNCTION("googletranslate(D233,""en"",""ne"")"),"मेयर")</f>
        <v>मेयर</v>
      </c>
      <c r="E233" s="2" t="s">
        <v>30</v>
      </c>
      <c r="F233" s="2" t="s">
        <v>543</v>
      </c>
      <c r="G233" s="2" t="s">
        <v>8</v>
      </c>
      <c r="H233" s="2" t="s">
        <v>64</v>
      </c>
      <c r="I233" s="2" t="s">
        <v>544</v>
      </c>
    </row>
    <row r="234" spans="1:9" ht="15.75" customHeight="1">
      <c r="A234" s="2" t="s">
        <v>483</v>
      </c>
      <c r="B234" s="2" t="s">
        <v>536</v>
      </c>
      <c r="C234" s="2" t="str">
        <f ca="1">IFERROR(__xludf.DUMMYFUNCTION("googletranslate(C234,""en"",""ne"")"),"कोट गाउँपालिका बारे")</f>
        <v>कोट गाउँपालिका बारे</v>
      </c>
      <c r="D234" s="3" t="str">
        <f ca="1">IFERROR(__xludf.DUMMYFUNCTION("googletranslate(D234,""en"",""ne"")"),"अध्यक्ष")</f>
        <v>अध्यक्ष</v>
      </c>
      <c r="E234" s="2" t="s">
        <v>18</v>
      </c>
      <c r="F234" s="2" t="s">
        <v>545</v>
      </c>
      <c r="G234" s="2" t="s">
        <v>8</v>
      </c>
      <c r="H234" s="2" t="s">
        <v>50</v>
      </c>
      <c r="I234" s="2" t="s">
        <v>546</v>
      </c>
    </row>
    <row r="235" spans="1:9" ht="15.75" customHeight="1">
      <c r="A235" s="2" t="s">
        <v>483</v>
      </c>
      <c r="B235" s="2" t="s">
        <v>536</v>
      </c>
      <c r="C235" s="2" t="str">
        <f ca="1">IFERROR(__xludf.DUMMYFUNCTION("googletranslate(C235,""en"",""ne"")"),"भेरी नगरपालिका")</f>
        <v>भेरी नगरपालिका</v>
      </c>
      <c r="D235" s="3" t="str">
        <f ca="1">IFERROR(__xludf.DUMMYFUNCTION("googletranslate(D235,""en"",""ne"")"),"मेयर")</f>
        <v>मेयर</v>
      </c>
      <c r="E235" s="2" t="s">
        <v>18</v>
      </c>
      <c r="F235" s="2" t="s">
        <v>547</v>
      </c>
      <c r="G235" s="2" t="s">
        <v>8</v>
      </c>
      <c r="H235" s="2" t="s">
        <v>190</v>
      </c>
      <c r="I235" s="2" t="s">
        <v>548</v>
      </c>
    </row>
    <row r="236" spans="1:9" ht="15.75" customHeight="1">
      <c r="A236" s="2" t="s">
        <v>483</v>
      </c>
      <c r="B236" s="2" t="s">
        <v>536</v>
      </c>
      <c r="C236" s="2" t="str">
        <f ca="1">IFERROR(__xludf.DUMMYFUNCTION("googletranslate(C236,""en"",""ne"")"),"शिवालय गाउँपालिका")</f>
        <v>शिवालय गाउँपालिका</v>
      </c>
      <c r="D236" s="3" t="str">
        <f ca="1">IFERROR(__xludf.DUMMYFUNCTION("googletranslate(D236,""en"",""ne"")"),"अध्यक्ष")</f>
        <v>अध्यक्ष</v>
      </c>
      <c r="E236" s="2" t="s">
        <v>11</v>
      </c>
      <c r="F236" s="2" t="s">
        <v>549</v>
      </c>
      <c r="G236" s="2" t="s">
        <v>8</v>
      </c>
      <c r="H236" s="2" t="s">
        <v>67</v>
      </c>
      <c r="I236" s="2" t="s">
        <v>550</v>
      </c>
    </row>
    <row r="237" spans="1:9" ht="15.75" customHeight="1">
      <c r="A237" s="2" t="s">
        <v>483</v>
      </c>
      <c r="B237" s="2" t="s">
        <v>551</v>
      </c>
      <c r="C237" s="2" t="str">
        <f ca="1">IFERROR(__xludf.DUMMYFUNCTION("googletranslate(C237,""en"",""ne"")"),"कनकासुन्दरी गाउँपालिका")</f>
        <v>कनकासुन्दरी गाउँपालिका</v>
      </c>
      <c r="D237" s="3" t="str">
        <f ca="1">IFERROR(__xludf.DUMMYFUNCTION("googletranslate(D237,""en"",""ne"")"),"अध्यक्ष")</f>
        <v>अध्यक्ष</v>
      </c>
      <c r="E237" s="2" t="s">
        <v>11</v>
      </c>
      <c r="F237" s="2" t="s">
        <v>552</v>
      </c>
      <c r="G237" s="2" t="s">
        <v>8</v>
      </c>
      <c r="H237" s="2" t="s">
        <v>26</v>
      </c>
      <c r="I237" s="2" t="s">
        <v>553</v>
      </c>
    </row>
    <row r="238" spans="1:9" ht="15.75" customHeight="1">
      <c r="A238" s="2" t="s">
        <v>483</v>
      </c>
      <c r="B238" s="2" t="s">
        <v>551</v>
      </c>
      <c r="C238" s="2" t="str">
        <f ca="1">IFERROR(__xludf.DUMMYFUNCTION("googletranslate(C238,""en"",""ne"")"),"गुठीचौर गाउँपालिका")</f>
        <v>गुठीचौर गाउँपालिका</v>
      </c>
      <c r="D238" s="3" t="str">
        <f ca="1">IFERROR(__xludf.DUMMYFUNCTION("googletranslate(D238,""en"",""ne"")"),"अध्यक्ष")</f>
        <v>अध्यक्ष</v>
      </c>
      <c r="E238" s="2" t="s">
        <v>11</v>
      </c>
      <c r="F238" s="2" t="s">
        <v>554</v>
      </c>
      <c r="G238" s="2" t="s">
        <v>8</v>
      </c>
      <c r="H238" s="2" t="s">
        <v>293</v>
      </c>
      <c r="I238" s="2" t="s">
        <v>555</v>
      </c>
    </row>
    <row r="239" spans="1:9" ht="15.75" customHeight="1">
      <c r="A239" s="2" t="s">
        <v>483</v>
      </c>
      <c r="B239" s="2" t="s">
        <v>551</v>
      </c>
      <c r="C239" s="2" t="str">
        <f ca="1">IFERROR(__xludf.DUMMYFUNCTION("googletranslate(C239,""en"",""ne"")"),"चन्दननाथ नगरपालिका")</f>
        <v>चन्दननाथ नगरपालिका</v>
      </c>
      <c r="D239" s="3" t="str">
        <f ca="1">IFERROR(__xludf.DUMMYFUNCTION("googletranslate(D239,""en"",""ne"")"),"मेयर")</f>
        <v>मेयर</v>
      </c>
      <c r="E239" s="2" t="s">
        <v>105</v>
      </c>
      <c r="F239" s="2" t="s">
        <v>556</v>
      </c>
      <c r="G239" s="2" t="s">
        <v>8</v>
      </c>
      <c r="H239" s="2" t="s">
        <v>45</v>
      </c>
      <c r="I239" s="2" t="s">
        <v>557</v>
      </c>
    </row>
    <row r="240" spans="1:9" ht="15.75" customHeight="1">
      <c r="A240" s="2" t="s">
        <v>483</v>
      </c>
      <c r="B240" s="2" t="s">
        <v>551</v>
      </c>
      <c r="C240" s="2" t="str">
        <f ca="1">IFERROR(__xludf.DUMMYFUNCTION("googletranslate(C240,""en"",""ne"")"),"तापानी गाउँपालिका")</f>
        <v>तापानी गाउँपालिका</v>
      </c>
      <c r="D240" s="3" t="str">
        <f ca="1">IFERROR(__xludf.DUMMYFUNCTION("googletranslate(D240,""en"",""ne"")"),"अध्यक्ष")</f>
        <v>अध्यक्ष</v>
      </c>
      <c r="E240" s="2" t="s">
        <v>11</v>
      </c>
      <c r="F240" s="2" t="s">
        <v>558</v>
      </c>
      <c r="G240" s="2" t="s">
        <v>8</v>
      </c>
      <c r="H240" s="2" t="s">
        <v>64</v>
      </c>
      <c r="I240" s="2" t="s">
        <v>559</v>
      </c>
    </row>
    <row r="241" spans="1:9" ht="15.75" customHeight="1">
      <c r="A241" s="2" t="s">
        <v>483</v>
      </c>
      <c r="B241" s="2" t="s">
        <v>551</v>
      </c>
      <c r="C241" s="2" t="str">
        <f ca="1">IFERROR(__xludf.DUMMYFUNCTION("googletranslate(C241,""en"",""ne"")"),"महिला गाउँपालिका")</f>
        <v>महिला गाउँपालिका</v>
      </c>
      <c r="D241" s="3" t="str">
        <f ca="1">IFERROR(__xludf.DUMMYFUNCTION("googletranslate(D241,""en"",""ne"")"),"अध्यक्ष")</f>
        <v>अध्यक्ष</v>
      </c>
      <c r="E241" s="2" t="s">
        <v>30</v>
      </c>
      <c r="F241" s="2" t="s">
        <v>560</v>
      </c>
      <c r="G241" s="2" t="s">
        <v>8</v>
      </c>
      <c r="H241" s="2" t="s">
        <v>140</v>
      </c>
      <c r="I241" s="2" t="s">
        <v>561</v>
      </c>
    </row>
    <row r="242" spans="1:9" ht="15.75" customHeight="1">
      <c r="A242" s="2" t="s">
        <v>483</v>
      </c>
      <c r="B242" s="2" t="s">
        <v>551</v>
      </c>
      <c r="C242" s="2" t="str">
        <f ca="1">IFERROR(__xludf.DUMMYFUNCTION("googletranslate(C242,""en"",""ne"")"),"पातारासी गाउँपालिका")</f>
        <v>पातारासी गाउँपालिका</v>
      </c>
      <c r="D242" s="3" t="str">
        <f ca="1">IFERROR(__xludf.DUMMYFUNCTION("googletranslate(D242,""en"",""ne"")"),"अध्यक्ष")</f>
        <v>अध्यक्ष</v>
      </c>
      <c r="E242" s="2" t="s">
        <v>11</v>
      </c>
      <c r="F242" s="2" t="s">
        <v>562</v>
      </c>
      <c r="G242" s="2" t="s">
        <v>8</v>
      </c>
      <c r="H242" s="2" t="s">
        <v>33</v>
      </c>
      <c r="I242" s="2" t="s">
        <v>563</v>
      </c>
    </row>
    <row r="243" spans="1:9" ht="15.75" customHeight="1">
      <c r="A243" s="2" t="s">
        <v>483</v>
      </c>
      <c r="B243" s="2" t="s">
        <v>551</v>
      </c>
      <c r="C243" s="2" t="str">
        <f ca="1">IFERROR(__xludf.DUMMYFUNCTION("googletranslate(C243,""en"",""ne"")"),"सिन्जापालिका गाउँपालिका")</f>
        <v>सिन्जापालिका गाउँपालिका</v>
      </c>
      <c r="D243" s="3" t="str">
        <f ca="1">IFERROR(__xludf.DUMMYFUNCTION("googletranslate(D243,""en"",""ne"")"),"अध्यक्ष")</f>
        <v>अध्यक्ष</v>
      </c>
      <c r="E243" s="2" t="s">
        <v>30</v>
      </c>
      <c r="F243" s="2" t="s">
        <v>564</v>
      </c>
      <c r="G243" s="2" t="s">
        <v>8</v>
      </c>
      <c r="H243" s="2" t="s">
        <v>45</v>
      </c>
      <c r="I243" s="2" t="s">
        <v>565</v>
      </c>
    </row>
    <row r="244" spans="1:9" ht="15.75" customHeight="1">
      <c r="A244" s="2" t="s">
        <v>483</v>
      </c>
      <c r="B244" s="2" t="s">
        <v>551</v>
      </c>
      <c r="C244" s="2" t="str">
        <f ca="1">IFERROR(__xludf.DUMMYFUNCTION("googletranslate(C244,""en"",""ne"")"),"हिमापाल गाउँपालिका")</f>
        <v>हिमापाल गाउँपालिका</v>
      </c>
      <c r="D244" s="3" t="str">
        <f ca="1">IFERROR(__xludf.DUMMYFUNCTION("googletranslate(D244,""en"",""ne"")"),"अध्यक्ष")</f>
        <v>अध्यक्ष</v>
      </c>
      <c r="E244" s="2" t="s">
        <v>11</v>
      </c>
      <c r="F244" s="2" t="s">
        <v>566</v>
      </c>
      <c r="G244" s="2" t="s">
        <v>8</v>
      </c>
      <c r="H244" s="2" t="s">
        <v>267</v>
      </c>
      <c r="I244" s="2" t="s">
        <v>567</v>
      </c>
    </row>
    <row r="245" spans="1:9" ht="15.75" customHeight="1">
      <c r="A245" s="2" t="s">
        <v>483</v>
      </c>
      <c r="B245" s="2" t="s">
        <v>568</v>
      </c>
      <c r="C245" s="2" t="str">
        <f ca="1">IFERROR(__xludf.DUMMYFUNCTION("googletranslate(C245,""en"",""ne"")"),"खाँडाचक्र नगरपालिका")</f>
        <v>खाँडाचक्र नगरपालिका</v>
      </c>
      <c r="D245" s="3" t="str">
        <f ca="1">IFERROR(__xludf.DUMMYFUNCTION("googletranslate(D245,""en"",""ne"")"),"मेयर")</f>
        <v>मेयर</v>
      </c>
      <c r="E245" s="2" t="s">
        <v>105</v>
      </c>
      <c r="F245" s="2" t="s">
        <v>569</v>
      </c>
      <c r="G245" s="2" t="s">
        <v>8</v>
      </c>
      <c r="H245" s="2" t="s">
        <v>172</v>
      </c>
      <c r="I245" s="2" t="s">
        <v>570</v>
      </c>
    </row>
    <row r="246" spans="1:9" ht="15.75" customHeight="1">
      <c r="A246" s="2" t="s">
        <v>483</v>
      </c>
      <c r="B246" s="2" t="s">
        <v>568</v>
      </c>
      <c r="C246" s="2" t="str">
        <f ca="1">IFERROR(__xludf.DUMMYFUNCTION("googletranslate(C246,""en"",""ne"")"),"तिगुफा नगरपालिका")</f>
        <v>तिगुफा नगरपालिका</v>
      </c>
      <c r="D246" s="3" t="str">
        <f ca="1">IFERROR(__xludf.DUMMYFUNCTION("googletranslate(D246,""en"",""ne"")"),"मेयर")</f>
        <v>मेयर</v>
      </c>
      <c r="E246" s="2" t="s">
        <v>11</v>
      </c>
      <c r="F246" s="2" t="s">
        <v>571</v>
      </c>
      <c r="G246" s="2" t="s">
        <v>8</v>
      </c>
      <c r="H246" s="2" t="s">
        <v>322</v>
      </c>
      <c r="I246" s="2" t="s">
        <v>572</v>
      </c>
    </row>
    <row r="247" spans="1:9" ht="15.75" customHeight="1">
      <c r="A247" s="2" t="s">
        <v>483</v>
      </c>
      <c r="B247" s="2" t="s">
        <v>568</v>
      </c>
      <c r="C247" s="2" t="str">
        <f ca="1">IFERROR(__xludf.DUMMYFUNCTION("googletranslate(C247,""en"",""ne"")"),"नररिनाथ गाउँपालिका")</f>
        <v>नररिनाथ गाउँपालिका</v>
      </c>
      <c r="D247" s="3" t="str">
        <f ca="1">IFERROR(__xludf.DUMMYFUNCTION("googletranslate(D247,""en"",""ne"")"),"अध्यक्ष")</f>
        <v>अध्यक्ष</v>
      </c>
      <c r="E247" s="2" t="s">
        <v>11</v>
      </c>
      <c r="F247" s="2" t="s">
        <v>573</v>
      </c>
      <c r="G247" s="2" t="s">
        <v>8</v>
      </c>
      <c r="H247" s="2" t="s">
        <v>73</v>
      </c>
      <c r="I247" s="2" t="s">
        <v>574</v>
      </c>
    </row>
    <row r="248" spans="1:9" ht="15.75" customHeight="1">
      <c r="A248" s="2" t="s">
        <v>483</v>
      </c>
      <c r="B248" s="2" t="s">
        <v>568</v>
      </c>
      <c r="C248" s="2" t="str">
        <f ca="1">IFERROR(__xludf.DUMMYFUNCTION("googletranslate(C248,""en"",""ne"")"),"पचालझरना गाउँपालिका")</f>
        <v>पचालझरना गाउँपालिका</v>
      </c>
      <c r="D248" s="3" t="str">
        <f ca="1">IFERROR(__xludf.DUMMYFUNCTION("googletranslate(D248,""en"",""ne"")"),"अध्यक्ष")</f>
        <v>अध्यक्ष</v>
      </c>
      <c r="E248" s="2" t="s">
        <v>30</v>
      </c>
      <c r="F248" s="2" t="s">
        <v>575</v>
      </c>
      <c r="G248" s="2" t="s">
        <v>8</v>
      </c>
      <c r="H248" s="2" t="s">
        <v>58</v>
      </c>
      <c r="I248" s="2" t="s">
        <v>576</v>
      </c>
    </row>
    <row r="249" spans="1:9" ht="15.75" customHeight="1">
      <c r="A249" s="2" t="s">
        <v>483</v>
      </c>
      <c r="B249" s="2" t="s">
        <v>568</v>
      </c>
      <c r="C249" s="2" t="str">
        <f ca="1">IFERROR(__xludf.DUMMYFUNCTION("googletranslate(C249,""en"",""ne"")"),"पलाता गाउँपालिका")</f>
        <v>पलाता गाउँपालिका</v>
      </c>
      <c r="D249" s="3" t="str">
        <f ca="1">IFERROR(__xludf.DUMMYFUNCTION("googletranslate(D249,""en"",""ne"")"),"अध्यक्ष")</f>
        <v>अध्यक्ष</v>
      </c>
      <c r="E249" s="2" t="s">
        <v>30</v>
      </c>
      <c r="F249" s="2" t="s">
        <v>577</v>
      </c>
      <c r="G249" s="2" t="s">
        <v>8</v>
      </c>
      <c r="H249" s="2" t="s">
        <v>73</v>
      </c>
      <c r="I249" s="2" t="s">
        <v>578</v>
      </c>
    </row>
    <row r="250" spans="1:9" ht="15.75" customHeight="1">
      <c r="A250" s="2" t="s">
        <v>483</v>
      </c>
      <c r="B250" s="2" t="s">
        <v>568</v>
      </c>
      <c r="C250" s="2" t="str">
        <f ca="1">IFERROR(__xludf.DUMMYFUNCTION("googletranslate(C250,""en"",""ne"")"),"महावैपालिका गाउँपालिका")</f>
        <v>महावैपालिका गाउँपालिका</v>
      </c>
      <c r="D250" s="3" t="str">
        <f ca="1">IFERROR(__xludf.DUMMYFUNCTION("googletranslate(D250,""en"",""ne"")"),"अध्यक्ष")</f>
        <v>अध्यक्ष</v>
      </c>
      <c r="E250" s="2" t="s">
        <v>30</v>
      </c>
      <c r="F250" s="2" t="s">
        <v>579</v>
      </c>
      <c r="G250" s="2" t="s">
        <v>8</v>
      </c>
      <c r="H250" s="2" t="s">
        <v>200</v>
      </c>
      <c r="I250" s="2" t="s">
        <v>580</v>
      </c>
    </row>
    <row r="251" spans="1:9" ht="15.75" customHeight="1">
      <c r="A251" s="2" t="s">
        <v>483</v>
      </c>
      <c r="B251" s="2" t="s">
        <v>568</v>
      </c>
      <c r="C251" s="2" t="str">
        <f ca="1">IFERROR(__xludf.DUMMYFUNCTION("googletranslate(C251,""en"",""ne"")"),"रास्कोट नगरपालिका")</f>
        <v>रास्कोट नगरपालिका</v>
      </c>
      <c r="D251" s="3" t="str">
        <f ca="1">IFERROR(__xludf.DUMMYFUNCTION("googletranslate(D251,""en"",""ne"")"),"मेयर")</f>
        <v>मेयर</v>
      </c>
      <c r="E251" s="2" t="s">
        <v>30</v>
      </c>
      <c r="F251" s="2" t="s">
        <v>581</v>
      </c>
      <c r="G251" s="2" t="s">
        <v>8</v>
      </c>
      <c r="H251" s="2" t="s">
        <v>73</v>
      </c>
      <c r="I251" s="2" t="s">
        <v>582</v>
      </c>
    </row>
    <row r="252" spans="1:9" ht="15.75" customHeight="1">
      <c r="A252" s="2" t="s">
        <v>483</v>
      </c>
      <c r="B252" s="2" t="s">
        <v>568</v>
      </c>
      <c r="C252" s="2" t="str">
        <f ca="1">IFERROR(__xludf.DUMMYFUNCTION("googletranslate(C252,""en"",""ne"")"),"शुभ कालीका गाउँपालिका")</f>
        <v>शुभ कालीका गाउँपालिका</v>
      </c>
      <c r="D252" s="3" t="str">
        <f ca="1">IFERROR(__xludf.DUMMYFUNCTION("googletranslate(D252,""en"",""ne"")"),"अध्यक्ष")</f>
        <v>अध्यक्ष</v>
      </c>
      <c r="E252" s="2" t="s">
        <v>30</v>
      </c>
      <c r="F252" s="2" t="s">
        <v>583</v>
      </c>
      <c r="G252" s="2" t="s">
        <v>8</v>
      </c>
      <c r="H252" s="2" t="s">
        <v>50</v>
      </c>
      <c r="I252" s="2" t="s">
        <v>584</v>
      </c>
    </row>
    <row r="253" spans="1:9" ht="15.75" customHeight="1">
      <c r="A253" s="2" t="s">
        <v>483</v>
      </c>
      <c r="B253" s="2" t="s">
        <v>568</v>
      </c>
      <c r="C253" s="2" t="str">
        <f ca="1">IFERROR(__xludf.DUMMYFUNCTION("googletranslate(C253,""en"",""ne"")"),"सानी त्रिवेणी गाउँपालिका")</f>
        <v>सानी त्रिवेणी गाउँपालिका</v>
      </c>
      <c r="D253" s="3" t="str">
        <f ca="1">IFERROR(__xludf.DUMMYFUNCTION("googletranslate(D253,""en"",""ne"")"),"अध्यक्ष")</f>
        <v>अध्यक्ष</v>
      </c>
      <c r="E253" s="2" t="s">
        <v>105</v>
      </c>
      <c r="F253" s="2" t="s">
        <v>585</v>
      </c>
      <c r="G253" s="2" t="s">
        <v>8</v>
      </c>
      <c r="H253" s="2" t="s">
        <v>16</v>
      </c>
      <c r="I253" s="2" t="s">
        <v>586</v>
      </c>
    </row>
    <row r="254" spans="1:9" ht="15.75" customHeight="1">
      <c r="A254" s="2" t="s">
        <v>483</v>
      </c>
      <c r="B254" s="2" t="s">
        <v>587</v>
      </c>
      <c r="C254" s="2" t="str">
        <f ca="1">IFERROR(__xludf.DUMMYFUNCTION("googletranslate(C254,""en"",""ne"")"),"मुगुम कर्मारोङ गाउँपालिका")</f>
        <v>मुगुम कर्मारोङ गाउँपालिका</v>
      </c>
      <c r="D254" s="3" t="str">
        <f ca="1">IFERROR(__xludf.DUMMYFUNCTION("googletranslate(D254,""en"",""ne"")"),"अध्यक्ष")</f>
        <v>अध्यक्ष</v>
      </c>
      <c r="E254" s="2" t="s">
        <v>11</v>
      </c>
      <c r="F254" s="2" t="s">
        <v>588</v>
      </c>
      <c r="G254" s="2" t="s">
        <v>8</v>
      </c>
      <c r="H254" s="2" t="s">
        <v>121</v>
      </c>
      <c r="I254" s="2" t="s">
        <v>589</v>
      </c>
    </row>
    <row r="255" spans="1:9" ht="15.75" customHeight="1">
      <c r="A255" s="2" t="s">
        <v>483</v>
      </c>
      <c r="B255" s="2" t="s">
        <v>587</v>
      </c>
      <c r="C255" s="2" t="str">
        <f ca="1">IFERROR(__xludf.DUMMYFUNCTION("googletranslate(C255,""en"",""ne"")"),"खत्याड गाउँपालिका")</f>
        <v>खत्याड गाउँपालिका</v>
      </c>
      <c r="D255" s="3" t="str">
        <f ca="1">IFERROR(__xludf.DUMMYFUNCTION("googletranslate(D255,""en"",""ne"")"),"अध्यक्ष")</f>
        <v>अध्यक्ष</v>
      </c>
      <c r="E255" s="2" t="s">
        <v>30</v>
      </c>
      <c r="F255" s="2" t="s">
        <v>590</v>
      </c>
      <c r="G255" s="2" t="s">
        <v>8</v>
      </c>
      <c r="H255" s="2" t="s">
        <v>172</v>
      </c>
      <c r="I255" s="2" t="s">
        <v>591</v>
      </c>
    </row>
    <row r="256" spans="1:9" ht="15.75" customHeight="1">
      <c r="A256" s="2" t="s">
        <v>483</v>
      </c>
      <c r="B256" s="2" t="s">
        <v>587</v>
      </c>
      <c r="C256" s="2" t="str">
        <f ca="1">IFERROR(__xludf.DUMMYFUNCTION("googletranslate(C256,""en"",""ne"")"),"छायाँनाथ रारा नगरपालिका")</f>
        <v>छायाँनाथ रारा नगरपालिका</v>
      </c>
      <c r="D256" s="3" t="str">
        <f ca="1">IFERROR(__xludf.DUMMYFUNCTION("googletranslate(D256,""en"",""ne"")"),"मेयर")</f>
        <v>मेयर</v>
      </c>
      <c r="E256" s="2" t="s">
        <v>11</v>
      </c>
      <c r="F256" s="2" t="s">
        <v>592</v>
      </c>
      <c r="G256" s="2" t="s">
        <v>8</v>
      </c>
      <c r="H256" s="2" t="s">
        <v>83</v>
      </c>
      <c r="I256" s="2" t="s">
        <v>593</v>
      </c>
    </row>
    <row r="257" spans="1:9" ht="15.75" customHeight="1">
      <c r="A257" s="2" t="s">
        <v>483</v>
      </c>
      <c r="B257" s="2" t="s">
        <v>587</v>
      </c>
      <c r="C257" s="2" t="str">
        <f ca="1">IFERROR(__xludf.DUMMYFUNCTION("googletranslate(C257,""en"",""ne"")"),"सोरुपालिका गाउँपालिका")</f>
        <v>सोरुपालिका गाउँपालिका</v>
      </c>
      <c r="D257" s="3" t="str">
        <f ca="1">IFERROR(__xludf.DUMMYFUNCTION("googletranslate(D257,""en"",""ne"")"),"अध्यक्ष")</f>
        <v>अध्यक्ष</v>
      </c>
      <c r="E257" s="2" t="s">
        <v>39</v>
      </c>
      <c r="F257" s="2" t="s">
        <v>594</v>
      </c>
      <c r="G257" s="2" t="s">
        <v>8</v>
      </c>
      <c r="H257" s="2" t="s">
        <v>26</v>
      </c>
      <c r="I257" s="2" t="s">
        <v>595</v>
      </c>
    </row>
    <row r="258" spans="1:9" ht="15.75" customHeight="1">
      <c r="A258" s="2" t="s">
        <v>483</v>
      </c>
      <c r="B258" s="2" t="s">
        <v>596</v>
      </c>
      <c r="C258" s="2" t="str">
        <f ca="1">IFERROR(__xludf.DUMMYFUNCTION("googletranslate(C258,""en"",""ne"")"),"आठबिसकोट नगरपालिका")</f>
        <v>आठबिसकोट नगरपालिका</v>
      </c>
      <c r="D258" s="3" t="str">
        <f ca="1">IFERROR(__xludf.DUMMYFUNCTION("googletranslate(D258,""en"",""ne"")"),"मेयर")</f>
        <v>मेयर</v>
      </c>
      <c r="E258" s="2" t="s">
        <v>30</v>
      </c>
      <c r="F258" s="2" t="s">
        <v>597</v>
      </c>
      <c r="G258" s="2" t="s">
        <v>8</v>
      </c>
      <c r="H258" s="2" t="s">
        <v>107</v>
      </c>
      <c r="I258" s="2" t="s">
        <v>598</v>
      </c>
    </row>
    <row r="259" spans="1:9" ht="15.75" customHeight="1">
      <c r="A259" s="2" t="s">
        <v>483</v>
      </c>
      <c r="B259" s="2" t="s">
        <v>596</v>
      </c>
      <c r="C259" s="2" t="str">
        <f ca="1">IFERROR(__xludf.DUMMYFUNCTION("googletranslate(C259,""en"",""ne"")"),"चौरजहारी नगरपालिका")</f>
        <v>चौरजहारी नगरपालिका</v>
      </c>
      <c r="D259" s="3" t="str">
        <f ca="1">IFERROR(__xludf.DUMMYFUNCTION("googletranslate(D259,""en"",""ne"")"),"मेयर")</f>
        <v>मेयर</v>
      </c>
      <c r="E259" s="2" t="s">
        <v>30</v>
      </c>
      <c r="F259" s="2" t="s">
        <v>599</v>
      </c>
      <c r="G259" s="2" t="s">
        <v>8</v>
      </c>
      <c r="H259" s="2" t="s">
        <v>50</v>
      </c>
      <c r="I259" s="2" t="s">
        <v>600</v>
      </c>
    </row>
    <row r="260" spans="1:9" ht="15.75" customHeight="1">
      <c r="A260" s="2" t="s">
        <v>483</v>
      </c>
      <c r="B260" s="2" t="s">
        <v>596</v>
      </c>
      <c r="C260" s="2" t="str">
        <f ca="1">IFERROR(__xludf.DUMMYFUNCTION("googletranslate(C260,""en"",""ne"")"),"त्रिवेणी गाउँपालिका")</f>
        <v>त्रिवेणी गाउँपालिका</v>
      </c>
      <c r="D260" s="3" t="str">
        <f ca="1">IFERROR(__xludf.DUMMYFUNCTION("googletranslate(D260,""en"",""ne"")"),"अध्यक्ष")</f>
        <v>अध्यक्ष</v>
      </c>
      <c r="E260" s="2" t="s">
        <v>30</v>
      </c>
      <c r="F260" s="2" t="s">
        <v>601</v>
      </c>
      <c r="G260" s="2" t="s">
        <v>8</v>
      </c>
      <c r="H260" s="2" t="s">
        <v>55</v>
      </c>
      <c r="I260" s="2" t="s">
        <v>602</v>
      </c>
    </row>
    <row r="261" spans="1:9" ht="15.75" customHeight="1">
      <c r="A261" s="2" t="s">
        <v>483</v>
      </c>
      <c r="B261" s="2" t="s">
        <v>596</v>
      </c>
      <c r="C261" s="2" t="str">
        <f ca="1">IFERROR(__xludf.DUMMYFUNCTION("googletranslate(C261,""en"",""ne"")"),"बाँफिकोट गाउँपालिका")</f>
        <v>बाँफिकोट गाउँपालिका</v>
      </c>
      <c r="D261" s="3" t="str">
        <f ca="1">IFERROR(__xludf.DUMMYFUNCTION("googletranslate(D261,""en"",""ne"")"),"अध्यक्ष")</f>
        <v>अध्यक्ष</v>
      </c>
      <c r="E261" s="2" t="s">
        <v>11</v>
      </c>
      <c r="F261" s="2" t="s">
        <v>603</v>
      </c>
      <c r="G261" s="2" t="s">
        <v>8</v>
      </c>
      <c r="H261" s="2" t="s">
        <v>50</v>
      </c>
      <c r="I261" s="2" t="s">
        <v>604</v>
      </c>
    </row>
    <row r="262" spans="1:9" ht="15.75" customHeight="1">
      <c r="A262" s="2" t="s">
        <v>483</v>
      </c>
      <c r="B262" s="2" t="s">
        <v>596</v>
      </c>
      <c r="C262" s="2" t="str">
        <f ca="1">IFERROR(__xludf.DUMMYFUNCTION("googletranslate(C262,""en"",""ne"")"),"मुसिकोट नगरपालिका")</f>
        <v>मुसिकोट नगरपालिका</v>
      </c>
      <c r="D262" s="3" t="str">
        <f ca="1">IFERROR(__xludf.DUMMYFUNCTION("googletranslate(D262,""en"",""ne"")"),"मेयर")</f>
        <v>मेयर</v>
      </c>
      <c r="E262" s="2" t="s">
        <v>11</v>
      </c>
      <c r="F262" s="2" t="s">
        <v>605</v>
      </c>
      <c r="G262" s="2" t="s">
        <v>8</v>
      </c>
      <c r="H262" s="2" t="s">
        <v>23</v>
      </c>
      <c r="I262" s="2" t="s">
        <v>606</v>
      </c>
    </row>
    <row r="263" spans="1:9" ht="15.75" customHeight="1">
      <c r="A263" s="2" t="s">
        <v>483</v>
      </c>
      <c r="B263" s="2" t="s">
        <v>607</v>
      </c>
      <c r="C263" s="2" t="str">
        <f ca="1">IFERROR(__xludf.DUMMYFUNCTION("googletranslate(C263,""en"",""ne"")"),"कपुरकोट गाउँपालिका")</f>
        <v>कपुरकोट गाउँपालिका</v>
      </c>
      <c r="D263" s="3" t="str">
        <f ca="1">IFERROR(__xludf.DUMMYFUNCTION("googletranslate(D263,""en"",""ne"")"),"अध्यक्ष")</f>
        <v>अध्यक्ष</v>
      </c>
      <c r="E263" s="2" t="s">
        <v>39</v>
      </c>
      <c r="F263" s="2" t="s">
        <v>608</v>
      </c>
      <c r="G263" s="2" t="s">
        <v>8</v>
      </c>
      <c r="H263" s="2" t="s">
        <v>70</v>
      </c>
      <c r="I263" s="2" t="s">
        <v>609</v>
      </c>
    </row>
    <row r="264" spans="1:9" ht="15.75" customHeight="1">
      <c r="A264" s="2" t="s">
        <v>483</v>
      </c>
      <c r="B264" s="2" t="s">
        <v>607</v>
      </c>
      <c r="C264" s="2" t="str">
        <f ca="1">IFERROR(__xludf.DUMMYFUNCTION("googletranslate(C264,""en"",""ne"")"),"कालीमाटी गाउँपालिका")</f>
        <v>कालीमाटी गाउँपालिका</v>
      </c>
      <c r="D264" s="3" t="str">
        <f ca="1">IFERROR(__xludf.DUMMYFUNCTION("googletranslate(D264,""en"",""ne"")"),"अध्यक्ष")</f>
        <v>अध्यक्ष</v>
      </c>
      <c r="E264" s="2" t="s">
        <v>18</v>
      </c>
      <c r="F264" s="2" t="s">
        <v>610</v>
      </c>
      <c r="G264" s="2" t="s">
        <v>8</v>
      </c>
      <c r="H264" s="2" t="s">
        <v>70</v>
      </c>
      <c r="I264" s="2" t="s">
        <v>611</v>
      </c>
    </row>
    <row r="265" spans="1:9" ht="15.75" customHeight="1">
      <c r="A265" s="2" t="s">
        <v>483</v>
      </c>
      <c r="B265" s="2" t="s">
        <v>607</v>
      </c>
      <c r="C265" s="2" t="str">
        <f ca="1">IFERROR(__xludf.DUMMYFUNCTION("googletranslate(C265,""en"",""ne"")"),"कुमाख गाउँपालिका")</f>
        <v>कुमाख गाउँपालिका</v>
      </c>
      <c r="D265" s="3" t="str">
        <f ca="1">IFERROR(__xludf.DUMMYFUNCTION("googletranslate(D265,""en"",""ne"")"),"अध्यक्ष")</f>
        <v>अध्यक्ष</v>
      </c>
      <c r="E265" s="2" t="s">
        <v>11</v>
      </c>
      <c r="F265" s="2" t="s">
        <v>612</v>
      </c>
      <c r="G265" s="2" t="s">
        <v>8</v>
      </c>
      <c r="H265" s="2" t="s">
        <v>121</v>
      </c>
      <c r="I265" s="2" t="s">
        <v>397</v>
      </c>
    </row>
    <row r="266" spans="1:9" ht="15.75" customHeight="1">
      <c r="A266" s="2" t="s">
        <v>483</v>
      </c>
      <c r="B266" s="2" t="s">
        <v>607</v>
      </c>
      <c r="C266" s="2" t="str">
        <f ca="1">IFERROR(__xludf.DUMMYFUNCTION("googletranslate(C266,""en"",""ne"")"),"छत्रेश्वरी गाउँपालिका")</f>
        <v>छत्रेश्वरी गाउँपालिका</v>
      </c>
      <c r="D266" s="3" t="str">
        <f ca="1">IFERROR(__xludf.DUMMYFUNCTION("googletranslate(D266,""en"",""ne"")"),"अध्यक्ष")</f>
        <v>अध्यक्ष</v>
      </c>
      <c r="E266" s="2" t="s">
        <v>18</v>
      </c>
      <c r="F266" s="2" t="s">
        <v>613</v>
      </c>
      <c r="G266" s="2" t="s">
        <v>8</v>
      </c>
      <c r="H266" s="2" t="s">
        <v>16</v>
      </c>
      <c r="I266" s="2" t="s">
        <v>614</v>
      </c>
    </row>
    <row r="267" spans="1:9" ht="15.75" customHeight="1">
      <c r="A267" s="2" t="s">
        <v>483</v>
      </c>
      <c r="B267" s="2" t="s">
        <v>607</v>
      </c>
      <c r="C267" s="2" t="str">
        <f ca="1">IFERROR(__xludf.DUMMYFUNCTION("googletranslate(C267,""en"",""ne"")"),"त्रिवेणी गाउँपालिका")</f>
        <v>त्रिवेणी गाउँपालिका</v>
      </c>
      <c r="D267" s="3" t="str">
        <f ca="1">IFERROR(__xludf.DUMMYFUNCTION("googletranslate(D267,""en"",""ne"")"),"अध्यक्ष")</f>
        <v>अध्यक्ष</v>
      </c>
      <c r="E267" s="2" t="s">
        <v>11</v>
      </c>
      <c r="F267" s="2" t="s">
        <v>615</v>
      </c>
      <c r="G267" s="2" t="s">
        <v>8</v>
      </c>
      <c r="H267" s="2" t="s">
        <v>26</v>
      </c>
      <c r="I267" s="2" t="s">
        <v>616</v>
      </c>
    </row>
    <row r="268" spans="1:9" ht="15.75" customHeight="1">
      <c r="A268" s="2" t="s">
        <v>483</v>
      </c>
      <c r="B268" s="2" t="s">
        <v>607</v>
      </c>
      <c r="C268" s="2" t="str">
        <f ca="1">IFERROR(__xludf.DUMMYFUNCTION("googletranslate(C268,""en"",""ne"")"),"दार्मा गाउँपालिका")</f>
        <v>दार्मा गाउँपालिका</v>
      </c>
      <c r="D268" s="3" t="str">
        <f ca="1">IFERROR(__xludf.DUMMYFUNCTION("googletranslate(D268,""en"",""ne"")"),"अध्यक्ष")</f>
        <v>अध्यक्ष</v>
      </c>
      <c r="E268" s="2" t="s">
        <v>30</v>
      </c>
      <c r="F268" s="2" t="s">
        <v>617</v>
      </c>
      <c r="G268" s="2" t="s">
        <v>8</v>
      </c>
      <c r="H268" s="2" t="s">
        <v>16</v>
      </c>
      <c r="I268" s="2" t="s">
        <v>618</v>
      </c>
    </row>
    <row r="269" spans="1:9" ht="15.75" customHeight="1">
      <c r="A269" s="2" t="s">
        <v>483</v>
      </c>
      <c r="B269" s="2" t="s">
        <v>607</v>
      </c>
      <c r="C269" s="2" t="str">
        <f ca="1">IFERROR(__xludf.DUMMYFUNCTION("googletranslate(C269,""en"",""ne"")"),"बङ्गाड कुपिण्डे नगरपालिका")</f>
        <v>बङ्गाड कुपिण्डे नगरपालिका</v>
      </c>
      <c r="D269" s="3" t="str">
        <f ca="1">IFERROR(__xludf.DUMMYFUNCTION("googletranslate(D269,""en"",""ne"")"),"मेयर")</f>
        <v>मेयर</v>
      </c>
      <c r="E269" s="2" t="s">
        <v>30</v>
      </c>
      <c r="F269" s="2" t="s">
        <v>619</v>
      </c>
      <c r="G269" s="2" t="s">
        <v>8</v>
      </c>
      <c r="H269" s="2" t="s">
        <v>91</v>
      </c>
      <c r="I269" s="2" t="s">
        <v>620</v>
      </c>
    </row>
    <row r="270" spans="1:9" ht="15.75" customHeight="1">
      <c r="A270" s="2" t="s">
        <v>483</v>
      </c>
      <c r="B270" s="2" t="s">
        <v>607</v>
      </c>
      <c r="C270" s="2" t="str">
        <f ca="1">IFERROR(__xludf.DUMMYFUNCTION("googletranslate(C270,""en"",""ne"")"),"बागचौर नगरपालिका")</f>
        <v>बागचौर नगरपालिका</v>
      </c>
      <c r="D270" s="3" t="str">
        <f ca="1">IFERROR(__xludf.DUMMYFUNCTION("googletranslate(D270,""en"",""ne"")"),"मेयर")</f>
        <v>मेयर</v>
      </c>
      <c r="E270" s="2" t="s">
        <v>11</v>
      </c>
      <c r="F270" s="2" t="s">
        <v>621</v>
      </c>
      <c r="G270" s="2" t="s">
        <v>8</v>
      </c>
      <c r="H270" s="2" t="s">
        <v>73</v>
      </c>
      <c r="I270" s="2" t="s">
        <v>622</v>
      </c>
    </row>
    <row r="271" spans="1:9" ht="15.75" customHeight="1">
      <c r="A271" s="2" t="s">
        <v>483</v>
      </c>
      <c r="B271" s="2" t="s">
        <v>607</v>
      </c>
      <c r="C271" s="2" t="str">
        <f ca="1">IFERROR(__xludf.DUMMYFUNCTION("googletranslate(C271,""en"",""ne"")"),"शारदा नगरपालिका")</f>
        <v>शारदा नगरपालिका</v>
      </c>
      <c r="D271" s="3" t="str">
        <f ca="1">IFERROR(__xludf.DUMMYFUNCTION("googletranslate(D271,""en"",""ne"")"),"मेयर")</f>
        <v>मेयर</v>
      </c>
      <c r="E271" s="2" t="s">
        <v>11</v>
      </c>
      <c r="F271" s="2" t="s">
        <v>623</v>
      </c>
      <c r="G271" s="2" t="s">
        <v>8</v>
      </c>
      <c r="H271" s="2" t="s">
        <v>41</v>
      </c>
      <c r="I271" s="2" t="s">
        <v>624</v>
      </c>
    </row>
    <row r="272" spans="1:9" ht="15.75" customHeight="1">
      <c r="A272" s="2" t="s">
        <v>483</v>
      </c>
      <c r="B272" s="2" t="s">
        <v>607</v>
      </c>
      <c r="C272" s="2" t="str">
        <f ca="1">IFERROR(__xludf.DUMMYFUNCTION("googletranslate(C272,""en"",""ne"")"),"सिद्ध कुमाख गाउँपालिका")</f>
        <v>सिद्ध कुमाख गाउँपालिका</v>
      </c>
      <c r="D272" s="3" t="str">
        <f ca="1">IFERROR(__xludf.DUMMYFUNCTION("googletranslate(D272,""en"",""ne"")"),"अध्यक्ष")</f>
        <v>अध्यक्ष</v>
      </c>
      <c r="E272" s="2" t="s">
        <v>11</v>
      </c>
      <c r="F272" s="2" t="s">
        <v>625</v>
      </c>
      <c r="G272" s="2" t="s">
        <v>8</v>
      </c>
      <c r="H272" s="2" t="s">
        <v>200</v>
      </c>
      <c r="I272" s="2" t="s">
        <v>626</v>
      </c>
    </row>
    <row r="273" spans="1:9" ht="15.75" customHeight="1">
      <c r="A273" s="2" t="s">
        <v>483</v>
      </c>
      <c r="B273" s="2" t="s">
        <v>627</v>
      </c>
      <c r="C273" s="2" t="str">
        <f ca="1">IFERROR(__xludf.DUMMYFUNCTION("googletranslate(C273,""en"",""ne"")"),"गुर्भाकोट नगरपालिका")</f>
        <v>गुर्भाकोट नगरपालिका</v>
      </c>
      <c r="D273" s="3" t="str">
        <f ca="1">IFERROR(__xludf.DUMMYFUNCTION("googletranslate(D273,""en"",""ne"")"),"मेयर")</f>
        <v>मेयर</v>
      </c>
      <c r="E273" s="2" t="s">
        <v>11</v>
      </c>
      <c r="F273" s="2" t="s">
        <v>628</v>
      </c>
      <c r="G273" s="2" t="s">
        <v>8</v>
      </c>
      <c r="H273" s="2" t="s">
        <v>50</v>
      </c>
      <c r="I273" s="2" t="s">
        <v>629</v>
      </c>
    </row>
    <row r="274" spans="1:9" ht="15.75" customHeight="1">
      <c r="A274" s="2" t="s">
        <v>483</v>
      </c>
      <c r="B274" s="2" t="s">
        <v>627</v>
      </c>
      <c r="C274" s="2" t="str">
        <f ca="1">IFERROR(__xludf.DUMMYFUNCTION("googletranslate(C274,""en"",""ne"")"),"चिङ्गाड गाउँपालिका")</f>
        <v>चिङ्गाड गाउँपालिका</v>
      </c>
      <c r="D274" s="3" t="str">
        <f ca="1">IFERROR(__xludf.DUMMYFUNCTION("googletranslate(D274,""en"",""ne"")"),"अध्यक्ष")</f>
        <v>अध्यक्ष</v>
      </c>
      <c r="E274" s="2" t="s">
        <v>18</v>
      </c>
      <c r="F274" s="2" t="s">
        <v>630</v>
      </c>
      <c r="G274" s="2" t="s">
        <v>8</v>
      </c>
      <c r="H274" s="2" t="s">
        <v>91</v>
      </c>
      <c r="I274" s="2" t="s">
        <v>631</v>
      </c>
    </row>
    <row r="275" spans="1:9" ht="15.75" customHeight="1">
      <c r="A275" s="2" t="s">
        <v>483</v>
      </c>
      <c r="B275" s="2" t="s">
        <v>627</v>
      </c>
      <c r="C275" s="2" t="str">
        <f ca="1">IFERROR(__xludf.DUMMYFUNCTION("googletranslate(C275,""en"",""ne"")"),"चौकुने गाउँपालिका")</f>
        <v>चौकुने गाउँपालिका</v>
      </c>
      <c r="D275" s="3" t="str">
        <f ca="1">IFERROR(__xludf.DUMMYFUNCTION("googletranslate(D275,""en"",""ne"")"),"अध्यक्ष")</f>
        <v>अध्यक्ष</v>
      </c>
      <c r="E275" s="2" t="s">
        <v>30</v>
      </c>
      <c r="F275" s="2" t="s">
        <v>632</v>
      </c>
      <c r="G275" s="2" t="s">
        <v>8</v>
      </c>
      <c r="H275" s="2" t="s">
        <v>190</v>
      </c>
      <c r="I275" s="2" t="s">
        <v>633</v>
      </c>
    </row>
    <row r="276" spans="1:9" ht="15.75" customHeight="1">
      <c r="A276" s="2" t="s">
        <v>483</v>
      </c>
      <c r="B276" s="2" t="s">
        <v>627</v>
      </c>
      <c r="C276" s="2" t="str">
        <f ca="1">IFERROR(__xludf.DUMMYFUNCTION("googletranslate(C276,""en"",""ne"")"),"पञ्चपुरी नगरपालिका")</f>
        <v>पञ्चपुरी नगरपालिका</v>
      </c>
      <c r="D276" s="3" t="str">
        <f ca="1">IFERROR(__xludf.DUMMYFUNCTION("googletranslate(D276,""en"",""ne"")"),"मेयर")</f>
        <v>मेयर</v>
      </c>
      <c r="E276" s="2" t="s">
        <v>11</v>
      </c>
      <c r="F276" s="2" t="s">
        <v>634</v>
      </c>
      <c r="G276" s="2" t="s">
        <v>8</v>
      </c>
      <c r="H276" s="2" t="s">
        <v>172</v>
      </c>
      <c r="I276" s="2" t="s">
        <v>635</v>
      </c>
    </row>
    <row r="277" spans="1:9" ht="15.75" customHeight="1">
      <c r="A277" s="2" t="s">
        <v>483</v>
      </c>
      <c r="B277" s="2" t="s">
        <v>627</v>
      </c>
      <c r="C277" s="2" t="str">
        <f ca="1">IFERROR(__xludf.DUMMYFUNCTION("googletranslate(C277,""en"",""ne"")"),"बराहताल गाउँपालिका")</f>
        <v>बराहताल गाउँपालिका</v>
      </c>
      <c r="D277" s="3" t="str">
        <f ca="1">IFERROR(__xludf.DUMMYFUNCTION("googletranslate(D277,""en"",""ne"")"),"अध्यक्ष")</f>
        <v>अध्यक्ष</v>
      </c>
      <c r="E277" s="2" t="s">
        <v>11</v>
      </c>
      <c r="F277" s="2" t="s">
        <v>636</v>
      </c>
      <c r="G277" s="2" t="s">
        <v>8</v>
      </c>
      <c r="H277" s="2" t="s">
        <v>293</v>
      </c>
      <c r="I277" s="2" t="s">
        <v>637</v>
      </c>
    </row>
    <row r="278" spans="1:9" ht="15.75" customHeight="1">
      <c r="A278" s="2" t="s">
        <v>483</v>
      </c>
      <c r="B278" s="2" t="s">
        <v>627</v>
      </c>
      <c r="C278" s="2" t="str">
        <f ca="1">IFERROR(__xludf.DUMMYFUNCTION("googletranslate(C278,""en"",""ne"")"),"वीरेन्द्रनगर नगरपालिका")</f>
        <v>वीरेन्द्रनगर नगरपालिका</v>
      </c>
      <c r="D278" s="3" t="str">
        <f ca="1">IFERROR(__xludf.DUMMYFUNCTION("googletranslate(D278,""en"",""ne"")"),"मेयर")</f>
        <v>मेयर</v>
      </c>
      <c r="E278" s="2" t="s">
        <v>18</v>
      </c>
      <c r="F278" s="2" t="s">
        <v>638</v>
      </c>
      <c r="G278" s="2" t="s">
        <v>32</v>
      </c>
      <c r="H278" s="2" t="s">
        <v>159</v>
      </c>
      <c r="I278" s="2" t="s">
        <v>639</v>
      </c>
    </row>
    <row r="279" spans="1:9" ht="15.75" customHeight="1">
      <c r="A279" s="2" t="s">
        <v>483</v>
      </c>
      <c r="B279" s="2" t="s">
        <v>627</v>
      </c>
      <c r="C279" s="2" t="str">
        <f ca="1">IFERROR(__xludf.DUMMYFUNCTION("googletranslate(C279,""en"",""ne"")"),"भेरीगंगा नगरपालिका")</f>
        <v>भेरीगंगा नगरपालिका</v>
      </c>
      <c r="D279" s="3" t="str">
        <f ca="1">IFERROR(__xludf.DUMMYFUNCTION("googletranslate(D279,""en"",""ne"")"),"मेयर")</f>
        <v>मेयर</v>
      </c>
      <c r="E279" s="2" t="s">
        <v>18</v>
      </c>
      <c r="F279" s="2" t="s">
        <v>640</v>
      </c>
      <c r="G279" s="2" t="s">
        <v>8</v>
      </c>
      <c r="H279" s="2" t="s">
        <v>67</v>
      </c>
      <c r="I279" s="2" t="s">
        <v>641</v>
      </c>
    </row>
    <row r="280" spans="1:9" ht="15.75" customHeight="1">
      <c r="A280" s="2" t="s">
        <v>483</v>
      </c>
      <c r="B280" s="2" t="s">
        <v>627</v>
      </c>
      <c r="C280" s="2" t="str">
        <f ca="1">IFERROR(__xludf.DUMMYFUNCTION("googletranslate(C280,""en"",""ne"")"),"लेकबेशी नगरपालिका")</f>
        <v>लेकबेशी नगरपालिका</v>
      </c>
      <c r="D280" s="3" t="str">
        <f ca="1">IFERROR(__xludf.DUMMYFUNCTION("googletranslate(D280,""en"",""ne"")"),"मेयर")</f>
        <v>मेयर</v>
      </c>
      <c r="E280" s="2" t="s">
        <v>11</v>
      </c>
      <c r="F280" s="2" t="s">
        <v>642</v>
      </c>
      <c r="G280" s="2" t="s">
        <v>8</v>
      </c>
      <c r="H280" s="2" t="s">
        <v>16</v>
      </c>
      <c r="I280" s="2" t="s">
        <v>225</v>
      </c>
    </row>
    <row r="281" spans="1:9" ht="15.75" customHeight="1">
      <c r="A281" s="2" t="s">
        <v>483</v>
      </c>
      <c r="B281" s="2" t="s">
        <v>627</v>
      </c>
      <c r="C281" s="2" t="str">
        <f ca="1">IFERROR(__xludf.DUMMYFUNCTION("googletranslate(C281,""en"",""ne"")"),"सिम्ता गाउँपालिका")</f>
        <v>सिम्ता गाउँपालिका</v>
      </c>
      <c r="D281" s="3" t="str">
        <f ca="1">IFERROR(__xludf.DUMMYFUNCTION("googletranslate(D281,""en"",""ne"")"),"अध्यक्ष")</f>
        <v>अध्यक्ष</v>
      </c>
      <c r="E281" s="2" t="s">
        <v>18</v>
      </c>
      <c r="F281" s="2" t="s">
        <v>643</v>
      </c>
      <c r="G281" s="2" t="s">
        <v>8</v>
      </c>
      <c r="H281" s="2" t="s">
        <v>26</v>
      </c>
      <c r="I281" s="2" t="s">
        <v>644</v>
      </c>
    </row>
    <row r="282" spans="1:9" ht="15.75" customHeight="1">
      <c r="A282" s="2" t="s">
        <v>645</v>
      </c>
      <c r="B282" s="2" t="s">
        <v>646</v>
      </c>
      <c r="C282" s="2" t="str">
        <f ca="1">IFERROR(__xludf.DUMMYFUNCTION("googletranslate(C282,""en"",""ne"")"),"भोजपुर नगरपालिका")</f>
        <v>भोजपुर नगरपालिका</v>
      </c>
      <c r="D282" s="3" t="str">
        <f ca="1">IFERROR(__xludf.DUMMYFUNCTION("googletranslate(D282,""en"",""ne"")"),"मेयर")</f>
        <v>मेयर</v>
      </c>
      <c r="E282" s="2" t="s">
        <v>11</v>
      </c>
      <c r="F282" s="2" t="s">
        <v>647</v>
      </c>
      <c r="G282" s="2" t="s">
        <v>8</v>
      </c>
      <c r="H282" s="2" t="s">
        <v>159</v>
      </c>
      <c r="I282" s="2" t="s">
        <v>648</v>
      </c>
    </row>
    <row r="283" spans="1:9" ht="15.75" customHeight="1">
      <c r="A283" s="2" t="s">
        <v>645</v>
      </c>
      <c r="B283" s="2" t="s">
        <v>646</v>
      </c>
      <c r="C283" s="2" t="str">
        <f ca="1">IFERROR(__xludf.DUMMYFUNCTION("googletranslate(C283,""en"",""ne"")"),"अरुणपालिका गाउँपालिका")</f>
        <v>अरुणपालिका गाउँपालिका</v>
      </c>
      <c r="D283" s="3" t="str">
        <f ca="1">IFERROR(__xludf.DUMMYFUNCTION("googletranslate(D283,""en"",""ne"")"),"अध्यक्ष")</f>
        <v>अध्यक्ष</v>
      </c>
      <c r="E283" s="2" t="s">
        <v>11</v>
      </c>
      <c r="F283" s="2" t="s">
        <v>649</v>
      </c>
      <c r="G283" s="2" t="s">
        <v>8</v>
      </c>
      <c r="H283" s="2" t="s">
        <v>140</v>
      </c>
      <c r="I283" s="2" t="s">
        <v>650</v>
      </c>
    </row>
    <row r="284" spans="1:9" ht="15.75" customHeight="1">
      <c r="A284" s="2" t="s">
        <v>645</v>
      </c>
      <c r="B284" s="2" t="s">
        <v>646</v>
      </c>
      <c r="C284" s="2" t="str">
        <f ca="1">IFERROR(__xludf.DUMMYFUNCTION("googletranslate(C284,""en"",""ne"")"),"आमचोक गाउँपालिका")</f>
        <v>आमचोक गाउँपालिका</v>
      </c>
      <c r="D284" s="3" t="str">
        <f ca="1">IFERROR(__xludf.DUMMYFUNCTION("googletranslate(D284,""en"",""ne"")"),"अध्यक्ष")</f>
        <v>अध्यक्ष</v>
      </c>
      <c r="E284" s="2" t="s">
        <v>30</v>
      </c>
      <c r="F284" s="2" t="s">
        <v>651</v>
      </c>
      <c r="G284" s="2" t="s">
        <v>8</v>
      </c>
      <c r="H284" s="2" t="s">
        <v>190</v>
      </c>
      <c r="I284" s="2" t="s">
        <v>652</v>
      </c>
    </row>
    <row r="285" spans="1:9" ht="15.75" customHeight="1">
      <c r="A285" s="2" t="s">
        <v>645</v>
      </c>
      <c r="B285" s="2" t="s">
        <v>646</v>
      </c>
      <c r="C285" s="2" t="str">
        <f ca="1">IFERROR(__xludf.DUMMYFUNCTION("googletranslate(C285,""en"",""ne"")"),"टेम्केमैयुङ गाउँपालिका")</f>
        <v>टेम्केमैयुङ गाउँपालिका</v>
      </c>
      <c r="D285" s="3" t="str">
        <f ca="1">IFERROR(__xludf.DUMMYFUNCTION("googletranslate(D285,""en"",""ne"")"),"अध्यक्ष")</f>
        <v>अध्यक्ष</v>
      </c>
      <c r="E285" s="2" t="s">
        <v>11</v>
      </c>
      <c r="F285" s="2" t="s">
        <v>653</v>
      </c>
      <c r="G285" s="2" t="s">
        <v>8</v>
      </c>
      <c r="H285" s="2" t="s">
        <v>73</v>
      </c>
      <c r="I285" s="2" t="s">
        <v>654</v>
      </c>
    </row>
    <row r="286" spans="1:9" ht="15.75" customHeight="1">
      <c r="A286" s="2" t="s">
        <v>645</v>
      </c>
      <c r="B286" s="2" t="s">
        <v>646</v>
      </c>
      <c r="C286" s="2" t="str">
        <f ca="1">IFERROR(__xludf.DUMMYFUNCTION("googletranslate(C286,""en"",""ne"")"),"पौवादुङमा गाउँपालिका")</f>
        <v>पौवादुङमा गाउँपालिका</v>
      </c>
      <c r="D286" s="3" t="str">
        <f ca="1">IFERROR(__xludf.DUMMYFUNCTION("googletranslate(D286,""en"",""ne"")"),"अध्यक्ष")</f>
        <v>अध्यक्ष</v>
      </c>
      <c r="E286" s="2" t="s">
        <v>18</v>
      </c>
      <c r="F286" s="2" t="s">
        <v>655</v>
      </c>
      <c r="G286" s="2" t="s">
        <v>8</v>
      </c>
      <c r="H286" s="2" t="s">
        <v>200</v>
      </c>
      <c r="I286" s="2" t="s">
        <v>656</v>
      </c>
    </row>
    <row r="287" spans="1:9" ht="15.75" customHeight="1">
      <c r="A287" s="2" t="s">
        <v>645</v>
      </c>
      <c r="B287" s="2" t="s">
        <v>646</v>
      </c>
      <c r="C287" s="2" t="str">
        <f ca="1">IFERROR(__xludf.DUMMYFUNCTION("googletranslate(C287,""en"",""ne"")"),"रामप्रसाद राई गाउँपालिका")</f>
        <v>रामप्रसाद राई गाउँपालिका</v>
      </c>
      <c r="D287" s="3" t="str">
        <f ca="1">IFERROR(__xludf.DUMMYFUNCTION("googletranslate(D287,""en"",""ne"")"),"अध्यक्ष")</f>
        <v>अध्यक्ष</v>
      </c>
      <c r="E287" s="2" t="s">
        <v>30</v>
      </c>
      <c r="F287" s="2" t="s">
        <v>657</v>
      </c>
      <c r="G287" s="2" t="s">
        <v>8</v>
      </c>
      <c r="H287" s="2" t="s">
        <v>50</v>
      </c>
      <c r="I287" s="2" t="s">
        <v>658</v>
      </c>
    </row>
    <row r="288" spans="1:9" ht="15.75" customHeight="1">
      <c r="A288" s="2" t="s">
        <v>645</v>
      </c>
      <c r="B288" s="2" t="s">
        <v>646</v>
      </c>
      <c r="C288" s="2" t="str">
        <f ca="1">IFERROR(__xludf.DUMMYFUNCTION("googletranslate(C288,""en"",""ne"")"),"षदानन्द नगरपालिका")</f>
        <v>षदानन्द नगरपालिका</v>
      </c>
      <c r="D288" s="3" t="str">
        <f ca="1">IFERROR(__xludf.DUMMYFUNCTION("googletranslate(D288,""en"",""ne"")"),"मेयर")</f>
        <v>मेयर</v>
      </c>
      <c r="E288" s="2" t="s">
        <v>18</v>
      </c>
      <c r="F288" s="2" t="s">
        <v>659</v>
      </c>
      <c r="G288" s="2" t="s">
        <v>8</v>
      </c>
      <c r="H288" s="2" t="s">
        <v>64</v>
      </c>
      <c r="I288" s="2" t="s">
        <v>660</v>
      </c>
    </row>
    <row r="289" spans="1:9" ht="15.75" customHeight="1">
      <c r="A289" s="2" t="s">
        <v>645</v>
      </c>
      <c r="B289" s="2" t="s">
        <v>646</v>
      </c>
      <c r="C289" s="2" t="str">
        <f ca="1">IFERROR(__xludf.DUMMYFUNCTION("googletranslate(C289,""en"",""ne"")"),"साल्पासिलिछो गाउँपालिका")</f>
        <v>साल्पासिलिछो गाउँपालिका</v>
      </c>
      <c r="D289" s="3" t="str">
        <f ca="1">IFERROR(__xludf.DUMMYFUNCTION("googletranslate(D289,""en"",""ne"")"),"अध्यक्ष")</f>
        <v>अध्यक्ष</v>
      </c>
      <c r="E289" s="2" t="s">
        <v>105</v>
      </c>
      <c r="F289" s="2" t="s">
        <v>661</v>
      </c>
      <c r="G289" s="2" t="s">
        <v>8</v>
      </c>
      <c r="H289" s="2" t="s">
        <v>159</v>
      </c>
      <c r="I289" s="2" t="s">
        <v>662</v>
      </c>
    </row>
    <row r="290" spans="1:9" ht="15.75" customHeight="1">
      <c r="A290" s="2" t="s">
        <v>645</v>
      </c>
      <c r="B290" s="2" t="s">
        <v>646</v>
      </c>
      <c r="C290" s="2" t="str">
        <f ca="1">IFERROR(__xludf.DUMMYFUNCTION("googletranslate(C290,""en"",""ne"")"),"हतुवागढी गाउँपालिका")</f>
        <v>हतुवागढी गाउँपालिका</v>
      </c>
      <c r="D290" s="3" t="str">
        <f ca="1">IFERROR(__xludf.DUMMYFUNCTION("googletranslate(D290,""en"",""ne"")"),"अध्यक्ष")</f>
        <v>अध्यक्ष</v>
      </c>
      <c r="E290" s="2" t="s">
        <v>18</v>
      </c>
      <c r="F290" s="2" t="s">
        <v>663</v>
      </c>
      <c r="G290" s="2" t="s">
        <v>8</v>
      </c>
      <c r="H290" s="2" t="s">
        <v>172</v>
      </c>
      <c r="I290" s="2" t="s">
        <v>664</v>
      </c>
    </row>
    <row r="291" spans="1:9" ht="15.75" customHeight="1">
      <c r="A291" s="2" t="s">
        <v>645</v>
      </c>
      <c r="B291" s="2" t="s">
        <v>665</v>
      </c>
      <c r="C291" s="2" t="str">
        <f ca="1">IFERROR(__xludf.DUMMYFUNCTION("googletranslate(C291,""en"",""ne"")"),"धनकुटा नगरपालिका")</f>
        <v>धनकुटा नगरपालिका</v>
      </c>
      <c r="D291" s="3" t="str">
        <f ca="1">IFERROR(__xludf.DUMMYFUNCTION("googletranslate(D291,""en"",""ne"")"),"मेयर")</f>
        <v>मेयर</v>
      </c>
      <c r="E291" s="2" t="s">
        <v>18</v>
      </c>
      <c r="F291" s="2" t="s">
        <v>666</v>
      </c>
      <c r="G291" s="2" t="s">
        <v>8</v>
      </c>
      <c r="H291" s="2" t="s">
        <v>67</v>
      </c>
      <c r="I291" s="2" t="s">
        <v>667</v>
      </c>
    </row>
    <row r="292" spans="1:9" ht="15.75" customHeight="1">
      <c r="A292" s="2" t="s">
        <v>645</v>
      </c>
      <c r="B292" s="2" t="s">
        <v>665</v>
      </c>
      <c r="C292" s="2" t="str">
        <f ca="1">IFERROR(__xludf.DUMMYFUNCTION("googletranslate(C292,""en"",""ne"")"),"चौविसे गाउँपालिका")</f>
        <v>चौविसे गाउँपालिका</v>
      </c>
      <c r="D292" s="3" t="str">
        <f ca="1">IFERROR(__xludf.DUMMYFUNCTION("googletranslate(D292,""en"",""ne"")"),"अध्यक्ष")</f>
        <v>अध्यक्ष</v>
      </c>
      <c r="E292" s="2" t="s">
        <v>18</v>
      </c>
      <c r="F292" s="2" t="s">
        <v>668</v>
      </c>
      <c r="G292" s="2" t="s">
        <v>8</v>
      </c>
      <c r="H292" s="2" t="s">
        <v>70</v>
      </c>
      <c r="I292" s="2" t="s">
        <v>669</v>
      </c>
    </row>
    <row r="293" spans="1:9" ht="15.75" customHeight="1">
      <c r="A293" s="2" t="s">
        <v>645</v>
      </c>
      <c r="B293" s="2" t="s">
        <v>665</v>
      </c>
      <c r="C293" s="2" t="str">
        <f ca="1">IFERROR(__xludf.DUMMYFUNCTION("googletranslate(C293,""en"",""ne"")"),"छथर जोरपा गाउँपालिका")</f>
        <v>छथर जोरपा गाउँपालिका</v>
      </c>
      <c r="D293" s="3" t="str">
        <f ca="1">IFERROR(__xludf.DUMMYFUNCTION("googletranslate(D293,""en"",""ne"")"),"अध्यक्ष")</f>
        <v>अध्यक्ष</v>
      </c>
      <c r="E293" s="2" t="s">
        <v>11</v>
      </c>
      <c r="F293" s="2" t="s">
        <v>670</v>
      </c>
      <c r="G293" s="2" t="s">
        <v>8</v>
      </c>
      <c r="H293" s="2" t="s">
        <v>13</v>
      </c>
      <c r="I293" s="2" t="s">
        <v>671</v>
      </c>
    </row>
    <row r="294" spans="1:9" ht="15.75" customHeight="1">
      <c r="A294" s="2" t="s">
        <v>645</v>
      </c>
      <c r="B294" s="2" t="s">
        <v>665</v>
      </c>
      <c r="C294" s="2" t="str">
        <f ca="1">IFERROR(__xludf.DUMMYFUNCTION("googletranslate(C294,""en"",""ne"")"),"पाख्रिवास नगरपालिका")</f>
        <v>पाख्रिवास नगरपालिका</v>
      </c>
      <c r="D294" s="3" t="str">
        <f ca="1">IFERROR(__xludf.DUMMYFUNCTION("googletranslate(D294,""en"",""ne"")"),"मेयर")</f>
        <v>मेयर</v>
      </c>
      <c r="E294" s="2" t="s">
        <v>11</v>
      </c>
      <c r="F294" s="2" t="s">
        <v>672</v>
      </c>
      <c r="G294" s="2" t="s">
        <v>8</v>
      </c>
      <c r="H294" s="2" t="s">
        <v>98</v>
      </c>
      <c r="I294" s="2" t="s">
        <v>673</v>
      </c>
    </row>
    <row r="295" spans="1:9" ht="15.75" customHeight="1">
      <c r="A295" s="2" t="s">
        <v>645</v>
      </c>
      <c r="B295" s="2" t="s">
        <v>665</v>
      </c>
      <c r="C295" s="2" t="str">
        <f ca="1">IFERROR(__xludf.DUMMYFUNCTION("googletranslate(C295,""en"",""ne"")"),"महालक्ष्मी नगरपालिका")</f>
        <v>महालक्ष्मी नगरपालिका</v>
      </c>
      <c r="D295" s="3" t="str">
        <f ca="1">IFERROR(__xludf.DUMMYFUNCTION("googletranslate(D295,""en"",""ne"")"),"मेयर")</f>
        <v>मेयर</v>
      </c>
      <c r="E295" s="2" t="s">
        <v>11</v>
      </c>
      <c r="F295" s="2" t="s">
        <v>674</v>
      </c>
      <c r="G295" s="2" t="s">
        <v>8</v>
      </c>
      <c r="H295" s="2" t="s">
        <v>33</v>
      </c>
      <c r="I295" s="2" t="s">
        <v>675</v>
      </c>
    </row>
    <row r="296" spans="1:9" ht="15.75" customHeight="1">
      <c r="A296" s="2" t="s">
        <v>645</v>
      </c>
      <c r="B296" s="2" t="s">
        <v>665</v>
      </c>
      <c r="C296" s="2" t="str">
        <f ca="1">IFERROR(__xludf.DUMMYFUNCTION("googletranslate(C296,""en"",""ne"")"),"सहिदभूमि गाउँपालिका")</f>
        <v>सहिदभूमि गाउँपालिका</v>
      </c>
      <c r="D296" s="3" t="str">
        <f ca="1">IFERROR(__xludf.DUMMYFUNCTION("googletranslate(D296,""en"",""ne"")"),"अध्यक्ष")</f>
        <v>अध्यक्ष</v>
      </c>
      <c r="E296" s="2" t="s">
        <v>18</v>
      </c>
      <c r="F296" s="2" t="s">
        <v>676</v>
      </c>
      <c r="G296" s="2" t="s">
        <v>8</v>
      </c>
      <c r="H296" s="2" t="s">
        <v>13</v>
      </c>
      <c r="I296" s="2" t="s">
        <v>677</v>
      </c>
    </row>
    <row r="297" spans="1:9" ht="15.75" customHeight="1">
      <c r="A297" s="2" t="s">
        <v>645</v>
      </c>
      <c r="B297" s="2" t="s">
        <v>665</v>
      </c>
      <c r="C297" s="2" t="str">
        <f ca="1">IFERROR(__xludf.DUMMYFUNCTION("googletranslate(C297,""en"",""ne"")"),"सागुरीगढी गाउँपालिका")</f>
        <v>सागुरीगढी गाउँपालिका</v>
      </c>
      <c r="D297" s="3" t="str">
        <f ca="1">IFERROR(__xludf.DUMMYFUNCTION("googletranslate(D297,""en"",""ne"")"),"अध्यक्ष")</f>
        <v>अध्यक्ष</v>
      </c>
      <c r="E297" s="2" t="s">
        <v>11</v>
      </c>
      <c r="F297" s="2" t="s">
        <v>678</v>
      </c>
      <c r="G297" s="2" t="s">
        <v>8</v>
      </c>
      <c r="H297" s="2" t="s">
        <v>190</v>
      </c>
      <c r="I297" s="2" t="s">
        <v>679</v>
      </c>
    </row>
    <row r="298" spans="1:9" ht="15.75" customHeight="1">
      <c r="A298" s="2" t="s">
        <v>645</v>
      </c>
      <c r="B298" s="2" t="s">
        <v>680</v>
      </c>
      <c r="C298" s="2" t="str">
        <f ca="1">IFERROR(__xludf.DUMMYFUNCTION("googletranslate(C298,""en"",""ne"")"),"चुलाचुली गाउँपालिका")</f>
        <v>चुलाचुली गाउँपालिका</v>
      </c>
      <c r="D298" s="3" t="str">
        <f ca="1">IFERROR(__xludf.DUMMYFUNCTION("googletranslate(D298,""en"",""ne"")"),"अध्यक्ष")</f>
        <v>अध्यक्ष</v>
      </c>
      <c r="E298" s="2" t="s">
        <v>11</v>
      </c>
      <c r="F298" s="2" t="s">
        <v>681</v>
      </c>
      <c r="G298" s="2" t="s">
        <v>8</v>
      </c>
      <c r="H298" s="2" t="s">
        <v>13</v>
      </c>
      <c r="I298" s="2" t="s">
        <v>682</v>
      </c>
    </row>
    <row r="299" spans="1:9" ht="15.75" customHeight="1">
      <c r="A299" s="2" t="s">
        <v>645</v>
      </c>
      <c r="B299" s="2" t="s">
        <v>680</v>
      </c>
      <c r="C299" s="2" t="str">
        <f ca="1">IFERROR(__xludf.DUMMYFUNCTION("googletranslate(C299,""en"",""ne"")"),"देउमाई नगरपालिका")</f>
        <v>देउमाई नगरपालिका</v>
      </c>
      <c r="D299" s="3" t="str">
        <f ca="1">IFERROR(__xludf.DUMMYFUNCTION("googletranslate(D299,""en"",""ne"")"),"मेयर")</f>
        <v>मेयर</v>
      </c>
      <c r="E299" s="2" t="s">
        <v>18</v>
      </c>
      <c r="F299" s="2" t="s">
        <v>683</v>
      </c>
      <c r="G299" s="2" t="s">
        <v>8</v>
      </c>
      <c r="H299" s="2" t="s">
        <v>61</v>
      </c>
      <c r="I299" s="2" t="s">
        <v>684</v>
      </c>
    </row>
    <row r="300" spans="1:9" ht="15.75" customHeight="1">
      <c r="A300" s="2" t="s">
        <v>645</v>
      </c>
      <c r="B300" s="2" t="s">
        <v>680</v>
      </c>
      <c r="C300" s="2" t="str">
        <f ca="1">IFERROR(__xludf.DUMMYFUNCTION("googletranslate(C300,""en"",""ne"")"),"इलाम नगरपालिका")</f>
        <v>इलाम नगरपालिका</v>
      </c>
      <c r="D300" s="3" t="str">
        <f ca="1">IFERROR(__xludf.DUMMYFUNCTION("googletranslate(D300,""en"",""ne"")"),"मेयर")</f>
        <v>मेयर</v>
      </c>
      <c r="E300" s="2" t="s">
        <v>11</v>
      </c>
      <c r="F300" s="2" t="s">
        <v>685</v>
      </c>
      <c r="G300" s="2" t="s">
        <v>8</v>
      </c>
      <c r="H300" s="2" t="s">
        <v>114</v>
      </c>
      <c r="I300" s="2" t="s">
        <v>686</v>
      </c>
    </row>
    <row r="301" spans="1:9" ht="15.75" customHeight="1">
      <c r="A301" s="2" t="s">
        <v>645</v>
      </c>
      <c r="B301" s="2" t="s">
        <v>680</v>
      </c>
      <c r="C301" s="2" t="str">
        <f ca="1">IFERROR(__xludf.DUMMYFUNCTION("googletranslate(C301,""en"",""ne"")"),"माई नगरपालिका")</f>
        <v>माई नगरपालिका</v>
      </c>
      <c r="D301" s="3" t="str">
        <f ca="1">IFERROR(__xludf.DUMMYFUNCTION("googletranslate(D301,""en"",""ne"")"),"मेयर")</f>
        <v>मेयर</v>
      </c>
      <c r="E301" s="2" t="s">
        <v>18</v>
      </c>
      <c r="F301" s="2" t="s">
        <v>687</v>
      </c>
      <c r="G301" s="2" t="s">
        <v>8</v>
      </c>
      <c r="H301" s="2" t="s">
        <v>151</v>
      </c>
      <c r="I301" s="2" t="s">
        <v>688</v>
      </c>
    </row>
    <row r="302" spans="1:9" ht="15.75" customHeight="1">
      <c r="A302" s="2" t="s">
        <v>645</v>
      </c>
      <c r="B302" s="2" t="s">
        <v>680</v>
      </c>
      <c r="C302" s="2" t="str">
        <f ca="1">IFERROR(__xludf.DUMMYFUNCTION("googletranslate(C302,""en"",""ne"")"),"मङ्सेबुङ गाउँपालिका")</f>
        <v>मङ्सेबुङ गाउँपालिका</v>
      </c>
      <c r="D302" s="3" t="str">
        <f ca="1">IFERROR(__xludf.DUMMYFUNCTION("googletranslate(D302,""en"",""ne"")"),"अध्यक्ष")</f>
        <v>अध्यक्ष</v>
      </c>
      <c r="E302" s="2" t="s">
        <v>18</v>
      </c>
      <c r="F302" s="2" t="s">
        <v>689</v>
      </c>
      <c r="G302" s="2" t="s">
        <v>8</v>
      </c>
      <c r="H302" s="2" t="s">
        <v>13</v>
      </c>
      <c r="I302" s="2" t="s">
        <v>690</v>
      </c>
    </row>
    <row r="303" spans="1:9" ht="15.75" customHeight="1">
      <c r="A303" s="2" t="s">
        <v>645</v>
      </c>
      <c r="B303" s="2" t="s">
        <v>680</v>
      </c>
      <c r="C303" s="2" t="str">
        <f ca="1">IFERROR(__xludf.DUMMYFUNCTION("googletranslate(C303,""en"",""ne"")"),"रोङ गाउँपालिका")</f>
        <v>रोङ गाउँपालिका</v>
      </c>
      <c r="D303" s="3" t="str">
        <f ca="1">IFERROR(__xludf.DUMMYFUNCTION("googletranslate(D303,""en"",""ne"")"),"अध्यक्ष")</f>
        <v>अध्यक्ष</v>
      </c>
      <c r="E303" s="2" t="s">
        <v>11</v>
      </c>
      <c r="F303" s="2" t="s">
        <v>691</v>
      </c>
      <c r="G303" s="2" t="s">
        <v>8</v>
      </c>
      <c r="H303" s="2" t="s">
        <v>41</v>
      </c>
      <c r="I303" s="2" t="s">
        <v>692</v>
      </c>
    </row>
    <row r="304" spans="1:9" ht="15.75" customHeight="1">
      <c r="A304" s="2" t="s">
        <v>645</v>
      </c>
      <c r="B304" s="2" t="s">
        <v>680</v>
      </c>
      <c r="C304" s="2" t="str">
        <f ca="1">IFERROR(__xludf.DUMMYFUNCTION("googletranslate(C304,""en"",""ne"")"),"सन्दकपुर गाउँपालिका")</f>
        <v>सन्दकपुर गाउँपालिका</v>
      </c>
      <c r="D304" s="3" t="str">
        <f ca="1">IFERROR(__xludf.DUMMYFUNCTION("googletranslate(D304,""en"",""ne"")"),"अध्यक्ष")</f>
        <v>अध्यक्ष</v>
      </c>
      <c r="E304" s="2" t="s">
        <v>11</v>
      </c>
      <c r="F304" s="2" t="s">
        <v>693</v>
      </c>
      <c r="G304" s="2" t="s">
        <v>8</v>
      </c>
      <c r="H304" s="2" t="s">
        <v>694</v>
      </c>
      <c r="I304" s="2" t="s">
        <v>695</v>
      </c>
    </row>
    <row r="305" spans="1:9" ht="15.75" customHeight="1">
      <c r="A305" s="2" t="s">
        <v>645</v>
      </c>
      <c r="B305" s="2" t="s">
        <v>680</v>
      </c>
      <c r="C305" s="2" t="str">
        <f ca="1">IFERROR(__xludf.DUMMYFUNCTION("googletranslate(C305,""en"",""ne"")"),"सूर्योदय नगरपालिका")</f>
        <v>सूर्योदय नगरपालिका</v>
      </c>
      <c r="D305" s="3" t="str">
        <f ca="1">IFERROR(__xludf.DUMMYFUNCTION("googletranslate(D305,""en"",""ne"")"),"मेयर")</f>
        <v>मेयर</v>
      </c>
      <c r="E305" s="2" t="s">
        <v>39</v>
      </c>
      <c r="F305" s="2" t="s">
        <v>696</v>
      </c>
      <c r="G305" s="2" t="s">
        <v>8</v>
      </c>
      <c r="H305" s="2" t="s">
        <v>26</v>
      </c>
      <c r="I305" s="2" t="s">
        <v>697</v>
      </c>
    </row>
    <row r="306" spans="1:9" ht="15.75" customHeight="1">
      <c r="A306" s="2" t="s">
        <v>645</v>
      </c>
      <c r="B306" s="2" t="s">
        <v>680</v>
      </c>
      <c r="C306" s="2" t="str">
        <f ca="1">IFERROR(__xludf.DUMMYFUNCTION("googletranslate(C306,""en"",""ne"")"),"फाकफोकथुम गाउँपालिका")</f>
        <v>फाकफोकथुम गाउँपालिका</v>
      </c>
      <c r="D306" s="3" t="str">
        <f ca="1">IFERROR(__xludf.DUMMYFUNCTION("googletranslate(D306,""en"",""ne"")"),"अध्यक्ष")</f>
        <v>अध्यक्ष</v>
      </c>
      <c r="E306" s="2" t="s">
        <v>18</v>
      </c>
      <c r="F306" s="2" t="s">
        <v>698</v>
      </c>
      <c r="G306" s="2" t="s">
        <v>8</v>
      </c>
      <c r="H306" s="2" t="s">
        <v>58</v>
      </c>
      <c r="I306" s="2" t="s">
        <v>699</v>
      </c>
    </row>
    <row r="307" spans="1:9" ht="15.75" customHeight="1">
      <c r="A307" s="2" t="s">
        <v>645</v>
      </c>
      <c r="B307" s="2" t="s">
        <v>680</v>
      </c>
      <c r="C307" s="2" t="str">
        <f ca="1">IFERROR(__xludf.DUMMYFUNCTION("googletranslate(C307,""en"",""ne"")"),"माईजोगमाई गाउँपालिका")</f>
        <v>माईजोगमाई गाउँपालिका</v>
      </c>
      <c r="D307" s="3" t="str">
        <f ca="1">IFERROR(__xludf.DUMMYFUNCTION("googletranslate(D307,""en"",""ne"")"),"अध्यक्ष")</f>
        <v>अध्यक्ष</v>
      </c>
      <c r="E307" s="2" t="s">
        <v>18</v>
      </c>
      <c r="F307" s="2" t="s">
        <v>700</v>
      </c>
      <c r="G307" s="2" t="s">
        <v>8</v>
      </c>
      <c r="H307" s="2" t="s">
        <v>64</v>
      </c>
      <c r="I307" s="2" t="s">
        <v>701</v>
      </c>
    </row>
    <row r="308" spans="1:9" ht="15.75" customHeight="1">
      <c r="A308" s="2" t="s">
        <v>645</v>
      </c>
      <c r="B308" s="2" t="s">
        <v>702</v>
      </c>
      <c r="C308" s="2" t="str">
        <f ca="1">IFERROR(__xludf.DUMMYFUNCTION("googletranslate(C308,""en"",""ne"")"),"अर्जुनधारा नगरपालिका")</f>
        <v>अर्जुनधारा नगरपालिका</v>
      </c>
      <c r="D308" s="3" t="str">
        <f ca="1">IFERROR(__xludf.DUMMYFUNCTION("googletranslate(D308,""en"",""ne"")"),"मेयर")</f>
        <v>मेयर</v>
      </c>
      <c r="E308" s="2" t="s">
        <v>18</v>
      </c>
      <c r="F308" s="2" t="s">
        <v>703</v>
      </c>
      <c r="G308" s="2" t="s">
        <v>8</v>
      </c>
      <c r="H308" s="2" t="s">
        <v>50</v>
      </c>
      <c r="I308" s="2" t="s">
        <v>704</v>
      </c>
    </row>
    <row r="309" spans="1:9" ht="15.75" customHeight="1">
      <c r="A309" s="2" t="s">
        <v>645</v>
      </c>
      <c r="B309" s="2" t="s">
        <v>702</v>
      </c>
      <c r="C309" s="2" t="str">
        <f ca="1">IFERROR(__xludf.DUMMYFUNCTION("googletranslate(C309,""en"",""ne"")"),"दमक नगरपालिका")</f>
        <v>दमक नगरपालिका</v>
      </c>
      <c r="D309" s="3" t="str">
        <f ca="1">IFERROR(__xludf.DUMMYFUNCTION("googletranslate(D309,""en"",""ne"")"),"मेयर")</f>
        <v>मेयर</v>
      </c>
      <c r="E309" s="2" t="s">
        <v>127</v>
      </c>
      <c r="F309" s="2" t="s">
        <v>705</v>
      </c>
      <c r="G309" s="2" t="s">
        <v>8</v>
      </c>
      <c r="H309" s="2" t="s">
        <v>258</v>
      </c>
      <c r="I309" s="2" t="s">
        <v>706</v>
      </c>
    </row>
    <row r="310" spans="1:9" ht="15.75" customHeight="1">
      <c r="A310" s="2" t="s">
        <v>645</v>
      </c>
      <c r="B310" s="2" t="s">
        <v>702</v>
      </c>
      <c r="C310" s="2" t="str">
        <f ca="1">IFERROR(__xludf.DUMMYFUNCTION("googletranslate(C310,""en"",""ne"")"),"गौरादह नगरपालिका")</f>
        <v>गौरादह नगरपालिका</v>
      </c>
      <c r="D310" s="3" t="str">
        <f ca="1">IFERROR(__xludf.DUMMYFUNCTION("googletranslate(D310,""en"",""ne"")"),"मेयर")</f>
        <v>मेयर</v>
      </c>
      <c r="E310" s="2" t="s">
        <v>18</v>
      </c>
      <c r="F310" s="2" t="s">
        <v>707</v>
      </c>
      <c r="G310" s="2" t="s">
        <v>8</v>
      </c>
      <c r="H310" s="2" t="s">
        <v>708</v>
      </c>
      <c r="I310" s="2" t="s">
        <v>709</v>
      </c>
    </row>
    <row r="311" spans="1:9" ht="15.75" customHeight="1">
      <c r="A311" s="2" t="s">
        <v>645</v>
      </c>
      <c r="B311" s="2" t="s">
        <v>702</v>
      </c>
      <c r="C311" s="2" t="str">
        <f ca="1">IFERROR(__xludf.DUMMYFUNCTION("googletranslate(C311,""en"",""ne"")"),"गौरीगञ्ज गाउँपालिका")</f>
        <v>गौरीगञ्ज गाउँपालिका</v>
      </c>
      <c r="D311" s="3" t="str">
        <f ca="1">IFERROR(__xludf.DUMMYFUNCTION("googletranslate(D311,""en"",""ne"")"),"अध्यक्ष")</f>
        <v>अध्यक्ष</v>
      </c>
      <c r="E311" s="2" t="s">
        <v>11</v>
      </c>
      <c r="F311" s="2" t="s">
        <v>710</v>
      </c>
      <c r="G311" s="2" t="s">
        <v>32</v>
      </c>
      <c r="H311" s="2" t="s">
        <v>33</v>
      </c>
      <c r="I311" s="2" t="s">
        <v>711</v>
      </c>
    </row>
    <row r="312" spans="1:9" ht="15.75" customHeight="1">
      <c r="A312" s="2" t="s">
        <v>645</v>
      </c>
      <c r="B312" s="2" t="s">
        <v>702</v>
      </c>
      <c r="C312" s="2" t="str">
        <f ca="1">IFERROR(__xludf.DUMMYFUNCTION("googletranslate(C312,""en"",""ne"")"),"झापा गाउँपालिका")</f>
        <v>झापा गाउँपालिका</v>
      </c>
      <c r="D312" s="3" t="str">
        <f ca="1">IFERROR(__xludf.DUMMYFUNCTION("googletranslate(D312,""en"",""ne"")"),"अध्यक्ष")</f>
        <v>अध्यक्ष</v>
      </c>
      <c r="E312" s="2" t="s">
        <v>11</v>
      </c>
      <c r="F312" s="2" t="s">
        <v>712</v>
      </c>
      <c r="G312" s="2" t="s">
        <v>8</v>
      </c>
      <c r="H312" s="2" t="s">
        <v>67</v>
      </c>
      <c r="I312" s="2" t="s">
        <v>713</v>
      </c>
    </row>
    <row r="313" spans="1:9" ht="15.75" customHeight="1">
      <c r="A313" s="2" t="s">
        <v>645</v>
      </c>
      <c r="B313" s="2" t="s">
        <v>702</v>
      </c>
      <c r="C313" s="2" t="str">
        <f ca="1">IFERROR(__xludf.DUMMYFUNCTION("googletranslate(C313,""en"",""ne"")"),"कमल गाउँपालिका")</f>
        <v>कमल गाउँपालिका</v>
      </c>
      <c r="D313" s="3" t="str">
        <f ca="1">IFERROR(__xludf.DUMMYFUNCTION("googletranslate(D313,""en"",""ne"")"),"अध्यक्ष")</f>
        <v>अध्यक्ष</v>
      </c>
      <c r="E313" s="2" t="s">
        <v>11</v>
      </c>
      <c r="F313" s="2" t="s">
        <v>714</v>
      </c>
      <c r="G313" s="2" t="s">
        <v>8</v>
      </c>
      <c r="H313" s="2" t="s">
        <v>50</v>
      </c>
      <c r="I313" s="2" t="s">
        <v>715</v>
      </c>
    </row>
    <row r="314" spans="1:9" ht="15.75" customHeight="1">
      <c r="A314" s="2" t="s">
        <v>645</v>
      </c>
      <c r="B314" s="2" t="s">
        <v>702</v>
      </c>
      <c r="C314" s="2" t="str">
        <f ca="1">IFERROR(__xludf.DUMMYFUNCTION("googletranslate(C314,""en"",""ne"")"),"कनकाई नगरपालिका")</f>
        <v>कनकाई नगरपालिका</v>
      </c>
      <c r="D314" s="3" t="str">
        <f ca="1">IFERROR(__xludf.DUMMYFUNCTION("googletranslate(D314,""en"",""ne"")"),"मेयर")</f>
        <v>मेयर</v>
      </c>
      <c r="E314" s="2" t="s">
        <v>18</v>
      </c>
      <c r="F314" s="2" t="s">
        <v>716</v>
      </c>
      <c r="G314" s="2" t="s">
        <v>8</v>
      </c>
      <c r="H314" s="2" t="s">
        <v>9</v>
      </c>
      <c r="I314" s="2" t="s">
        <v>717</v>
      </c>
    </row>
    <row r="315" spans="1:9" ht="15.75" customHeight="1">
      <c r="A315" s="2" t="s">
        <v>645</v>
      </c>
      <c r="B315" s="2" t="s">
        <v>702</v>
      </c>
      <c r="C315" s="2" t="str">
        <f ca="1">IFERROR(__xludf.DUMMYFUNCTION("googletranslate(C315,""en"",""ne"")"),"कचनकवल गाउँपालिका")</f>
        <v>कचनकवल गाउँपालिका</v>
      </c>
      <c r="D315" s="3" t="str">
        <f ca="1">IFERROR(__xludf.DUMMYFUNCTION("googletranslate(D315,""en"",""ne"")"),"अध्यक्ष")</f>
        <v>अध्यक्ष</v>
      </c>
      <c r="E315" s="2" t="s">
        <v>11</v>
      </c>
      <c r="F315" s="2" t="s">
        <v>718</v>
      </c>
      <c r="G315" s="2" t="s">
        <v>8</v>
      </c>
      <c r="H315" s="2" t="s">
        <v>91</v>
      </c>
      <c r="I315" s="2" t="s">
        <v>719</v>
      </c>
    </row>
    <row r="316" spans="1:9" ht="15.75" customHeight="1">
      <c r="A316" s="2" t="s">
        <v>645</v>
      </c>
      <c r="B316" s="2" t="s">
        <v>702</v>
      </c>
      <c r="C316" s="2" t="str">
        <f ca="1">IFERROR(__xludf.DUMMYFUNCTION("googletranslate(C316,""en"",""ne"")"),"बहरदशी गाउँपालिका")</f>
        <v>बहरदशी गाउँपालिका</v>
      </c>
      <c r="D316" s="3" t="str">
        <f ca="1">IFERROR(__xludf.DUMMYFUNCTION("googletranslate(D316,""en"",""ne"")"),"अध्यक्ष")</f>
        <v>अध्यक्ष</v>
      </c>
      <c r="E316" s="2" t="s">
        <v>18</v>
      </c>
      <c r="F316" s="2" t="s">
        <v>720</v>
      </c>
      <c r="G316" s="2" t="s">
        <v>8</v>
      </c>
      <c r="H316" s="2" t="s">
        <v>58</v>
      </c>
      <c r="I316" s="2" t="s">
        <v>721</v>
      </c>
    </row>
    <row r="317" spans="1:9" ht="15.75" customHeight="1">
      <c r="A317" s="2" t="s">
        <v>645</v>
      </c>
      <c r="B317" s="2" t="s">
        <v>702</v>
      </c>
      <c r="C317" s="2" t="str">
        <f ca="1">IFERROR(__xludf.DUMMYFUNCTION("googletranslate(C317,""en"",""ne"")"),"बुद्धशान्ति गाउँपालिका")</f>
        <v>बुद्धशान्ति गाउँपालिका</v>
      </c>
      <c r="D317" s="3" t="str">
        <f ca="1">IFERROR(__xludf.DUMMYFUNCTION("googletranslate(D317,""en"",""ne"")"),"अध्यक्ष")</f>
        <v>अध्यक्ष</v>
      </c>
      <c r="E317" s="2" t="s">
        <v>11</v>
      </c>
      <c r="F317" s="2" t="s">
        <v>722</v>
      </c>
      <c r="G317" s="2" t="s">
        <v>8</v>
      </c>
      <c r="H317" s="2" t="s">
        <v>70</v>
      </c>
      <c r="I317" s="2" t="s">
        <v>723</v>
      </c>
    </row>
    <row r="318" spans="1:9" ht="15.75" customHeight="1">
      <c r="A318" s="2" t="s">
        <v>645</v>
      </c>
      <c r="B318" s="2" t="s">
        <v>702</v>
      </c>
      <c r="C318" s="2" t="str">
        <f ca="1">IFERROR(__xludf.DUMMYFUNCTION("googletranslate(C318,""en"",""ne"")"),"भद्रपुर नगरपालिका")</f>
        <v>भद्रपुर नगरपालिका</v>
      </c>
      <c r="D318" s="3" t="str">
        <f ca="1">IFERROR(__xludf.DUMMYFUNCTION("googletranslate(D318,""en"",""ne"")"),"मेयर")</f>
        <v>मेयर</v>
      </c>
      <c r="E318" s="2" t="s">
        <v>11</v>
      </c>
      <c r="F318" s="2" t="s">
        <v>724</v>
      </c>
      <c r="G318" s="2" t="s">
        <v>8</v>
      </c>
      <c r="H318" s="2" t="s">
        <v>50</v>
      </c>
      <c r="I318" s="2" t="s">
        <v>725</v>
      </c>
    </row>
    <row r="319" spans="1:9" ht="15.75" customHeight="1">
      <c r="A319" s="2" t="s">
        <v>645</v>
      </c>
      <c r="B319" s="2" t="s">
        <v>702</v>
      </c>
      <c r="C319" s="2" t="str">
        <f ca="1">IFERROR(__xludf.DUMMYFUNCTION("googletranslate(C319,""en"",""ne"")"),"मेची नगर नगरपालिका")</f>
        <v>मेची नगर नगरपालिका</v>
      </c>
      <c r="D319" s="3" t="str">
        <f ca="1">IFERROR(__xludf.DUMMYFUNCTION("googletranslate(D319,""en"",""ne"")"),"मेयर")</f>
        <v>मेयर</v>
      </c>
      <c r="E319" s="2" t="s">
        <v>18</v>
      </c>
      <c r="F319" s="2" t="s">
        <v>726</v>
      </c>
      <c r="G319" s="2" t="s">
        <v>8</v>
      </c>
      <c r="H319" s="2" t="s">
        <v>114</v>
      </c>
      <c r="I319" s="2" t="s">
        <v>727</v>
      </c>
    </row>
    <row r="320" spans="1:9" ht="15.75" customHeight="1">
      <c r="A320" s="2" t="s">
        <v>645</v>
      </c>
      <c r="B320" s="2" t="s">
        <v>702</v>
      </c>
      <c r="C320" s="2" t="str">
        <f ca="1">IFERROR(__xludf.DUMMYFUNCTION("googletranslate(C320,""en"",""ne"")"),"विर्तामोड नगरपालिका")</f>
        <v>विर्तामोड नगरपालिका</v>
      </c>
      <c r="D320" s="3" t="str">
        <f ca="1">IFERROR(__xludf.DUMMYFUNCTION("googletranslate(D320,""en"",""ne"")"),"मेयर")</f>
        <v>मेयर</v>
      </c>
      <c r="E320" s="2" t="s">
        <v>18</v>
      </c>
      <c r="F320" s="2" t="s">
        <v>728</v>
      </c>
      <c r="G320" s="2" t="s">
        <v>32</v>
      </c>
      <c r="H320" s="2" t="s">
        <v>26</v>
      </c>
      <c r="I320" s="2" t="s">
        <v>729</v>
      </c>
    </row>
    <row r="321" spans="1:9" ht="15.75" customHeight="1">
      <c r="A321" s="2" t="s">
        <v>645</v>
      </c>
      <c r="B321" s="2" t="s">
        <v>702</v>
      </c>
      <c r="C321" s="2" t="str">
        <f ca="1">IFERROR(__xludf.DUMMYFUNCTION("googletranslate(C321,""en"",""ne"")"),"शिवसताक्षी नगरपालिका")</f>
        <v>शिवसताक्षी नगरपालिका</v>
      </c>
      <c r="D321" s="3" t="str">
        <f ca="1">IFERROR(__xludf.DUMMYFUNCTION("googletranslate(D321,""en"",""ne"")"),"मेयर")</f>
        <v>मेयर</v>
      </c>
      <c r="E321" s="2" t="s">
        <v>18</v>
      </c>
      <c r="F321" s="2" t="s">
        <v>730</v>
      </c>
      <c r="G321" s="2" t="s">
        <v>8</v>
      </c>
      <c r="H321" s="2" t="s">
        <v>33</v>
      </c>
      <c r="I321" s="2" t="s">
        <v>731</v>
      </c>
    </row>
    <row r="322" spans="1:9" ht="15.75" customHeight="1">
      <c r="A322" s="2" t="s">
        <v>645</v>
      </c>
      <c r="B322" s="2" t="s">
        <v>702</v>
      </c>
      <c r="C322" s="2" t="str">
        <f ca="1">IFERROR(__xludf.DUMMYFUNCTION("googletranslate(C322,""en"",""ne"")"),"हल्दी गाउँपालिका")</f>
        <v>हल्दी गाउँपालिका</v>
      </c>
      <c r="D322" s="3" t="str">
        <f ca="1">IFERROR(__xludf.DUMMYFUNCTION("googletranslate(D322,""en"",""ne"")"),"अध्यक्ष")</f>
        <v>अध्यक्ष</v>
      </c>
      <c r="E322" s="2" t="s">
        <v>127</v>
      </c>
      <c r="F322" s="2" t="s">
        <v>732</v>
      </c>
      <c r="G322" s="2" t="s">
        <v>8</v>
      </c>
      <c r="H322" s="2" t="s">
        <v>23</v>
      </c>
      <c r="I322" s="2" t="s">
        <v>733</v>
      </c>
    </row>
    <row r="323" spans="1:9" ht="15.75" customHeight="1">
      <c r="A323" s="2" t="s">
        <v>645</v>
      </c>
      <c r="B323" s="2" t="s">
        <v>734</v>
      </c>
      <c r="C323" s="2" t="str">
        <f ca="1">IFERROR(__xludf.DUMMYFUNCTION("googletranslate(C323,""en"",""ne"")"),"जस्तोलुख गाउँपालिका")</f>
        <v>जस्तोलुख गाउँपालिका</v>
      </c>
      <c r="D323" s="3" t="str">
        <f ca="1">IFERROR(__xludf.DUMMYFUNCTION("googletranslate(D323,""en"",""ne"")"),"अध्यक्ष")</f>
        <v>अध्यक्ष</v>
      </c>
      <c r="E323" s="2" t="s">
        <v>18</v>
      </c>
      <c r="F323" s="2" t="s">
        <v>735</v>
      </c>
      <c r="G323" s="2" t="s">
        <v>8</v>
      </c>
      <c r="H323" s="2" t="s">
        <v>13</v>
      </c>
      <c r="I323" s="2" t="s">
        <v>736</v>
      </c>
    </row>
    <row r="324" spans="1:9" ht="15.75" customHeight="1">
      <c r="A324" s="2" t="s">
        <v>645</v>
      </c>
      <c r="B324" s="2" t="s">
        <v>734</v>
      </c>
      <c r="C324" s="2" t="str">
        <f ca="1">IFERROR(__xludf.DUMMYFUNCTION("googletranslate(C324,""en"",""ne"")"),"केपिलासगढी गाउँपालिका")</f>
        <v>केपिलासगढी गाउँपालिका</v>
      </c>
      <c r="D324" s="3" t="str">
        <f ca="1">IFERROR(__xludf.DUMMYFUNCTION("googletranslate(D324,""en"",""ne"")"),"अध्यक्ष")</f>
        <v>अध्यक्ष</v>
      </c>
      <c r="E324" s="2" t="s">
        <v>11</v>
      </c>
      <c r="F324" s="2" t="s">
        <v>737</v>
      </c>
      <c r="G324" s="2" t="s">
        <v>8</v>
      </c>
      <c r="H324" s="2" t="s">
        <v>151</v>
      </c>
      <c r="I324" s="2" t="s">
        <v>738</v>
      </c>
    </row>
    <row r="325" spans="1:9" ht="15.75" customHeight="1">
      <c r="A325" s="2" t="s">
        <v>645</v>
      </c>
      <c r="B325" s="2" t="s">
        <v>734</v>
      </c>
      <c r="C325" s="2" t="str">
        <f ca="1">IFERROR(__xludf.DUMMYFUNCTION("googletranslate(C325,""en"",""ne"")"),"खोटेहाङ गाउँपालिका")</f>
        <v>खोटेहाङ गाउँपालिका</v>
      </c>
      <c r="D325" s="3" t="str">
        <f ca="1">IFERROR(__xludf.DUMMYFUNCTION("googletranslate(D325,""en"",""ne"")"),"अध्यक्ष")</f>
        <v>अध्यक्ष</v>
      </c>
      <c r="E325" s="2" t="s">
        <v>30</v>
      </c>
      <c r="F325" s="2" t="s">
        <v>739</v>
      </c>
      <c r="G325" s="2" t="s">
        <v>8</v>
      </c>
      <c r="H325" s="2" t="s">
        <v>67</v>
      </c>
      <c r="I325" s="2" t="s">
        <v>227</v>
      </c>
    </row>
    <row r="326" spans="1:9" ht="15.75" customHeight="1">
      <c r="A326" s="2" t="s">
        <v>645</v>
      </c>
      <c r="B326" s="2" t="s">
        <v>734</v>
      </c>
      <c r="C326" s="2" t="str">
        <f ca="1">IFERROR(__xludf.DUMMYFUNCTION("googletranslate(C326,""en"",""ne"")"),"जन्तेढुङ्गा गाउँपालिका")</f>
        <v>जन्तेढुङ्गा गाउँपालिका</v>
      </c>
      <c r="D326" s="3" t="str">
        <f ca="1">IFERROR(__xludf.DUMMYFUNCTION("googletranslate(D326,""en"",""ne"")"),"अध्यक्ष")</f>
        <v>अध्यक्ष</v>
      </c>
      <c r="E326" s="2" t="s">
        <v>30</v>
      </c>
      <c r="F326" s="2" t="s">
        <v>740</v>
      </c>
      <c r="G326" s="2" t="s">
        <v>32</v>
      </c>
      <c r="H326" s="2" t="s">
        <v>26</v>
      </c>
      <c r="I326" s="2" t="s">
        <v>741</v>
      </c>
    </row>
    <row r="327" spans="1:9" ht="15.75" customHeight="1">
      <c r="A327" s="2" t="s">
        <v>645</v>
      </c>
      <c r="B327" s="2" t="s">
        <v>734</v>
      </c>
      <c r="C327" s="2" t="str">
        <f ca="1">IFERROR(__xludf.DUMMYFUNCTION("googletranslate(C327,""en"",""ne"")"),"दिक्तेल रुपाकोट मजुवागढी नगरपालिका")</f>
        <v>दिक्तेल रुपाकोट मजुवागढी नगरपालिका</v>
      </c>
      <c r="D327" s="3" t="str">
        <f ca="1">IFERROR(__xludf.DUMMYFUNCTION("googletranslate(D327,""en"",""ne"")"),"मेयर")</f>
        <v>मेयर</v>
      </c>
      <c r="E327" s="2" t="s">
        <v>11</v>
      </c>
      <c r="F327" s="2" t="s">
        <v>742</v>
      </c>
      <c r="G327" s="2" t="s">
        <v>8</v>
      </c>
      <c r="H327" s="2" t="s">
        <v>70</v>
      </c>
      <c r="I327" s="2" t="s">
        <v>743</v>
      </c>
    </row>
    <row r="328" spans="1:9" ht="15.75" customHeight="1">
      <c r="A328" s="2" t="s">
        <v>645</v>
      </c>
      <c r="B328" s="2" t="s">
        <v>734</v>
      </c>
      <c r="C328" s="2" t="str">
        <f ca="1">IFERROR(__xludf.DUMMYFUNCTION("googletranslate(C328,""en"",""ne"")"),"दिप्रुङ चुइचुम्मा गाउँपालिका")</f>
        <v>दिप्रुङ चुइचुम्मा गाउँपालिका</v>
      </c>
      <c r="D328" s="3" t="str">
        <f ca="1">IFERROR(__xludf.DUMMYFUNCTION("googletranslate(D328,""en"",""ne"")"),"अध्यक्ष")</f>
        <v>अध्यक्ष</v>
      </c>
      <c r="E328" s="2" t="s">
        <v>18</v>
      </c>
      <c r="F328" s="2" t="s">
        <v>744</v>
      </c>
      <c r="G328" s="2" t="s">
        <v>8</v>
      </c>
      <c r="H328" s="2" t="s">
        <v>41</v>
      </c>
      <c r="I328" s="2" t="s">
        <v>745</v>
      </c>
    </row>
    <row r="329" spans="1:9" ht="15.75" customHeight="1">
      <c r="A329" s="2" t="s">
        <v>645</v>
      </c>
      <c r="B329" s="2" t="s">
        <v>734</v>
      </c>
      <c r="C329" s="2" t="str">
        <f ca="1">IFERROR(__xludf.DUMMYFUNCTION("googletranslate(C329,""en"",""ne"")"),"बराहपोखरी गाउँपालिका")</f>
        <v>बराहपोखरी गाउँपालिका</v>
      </c>
      <c r="D329" s="3" t="str">
        <f ca="1">IFERROR(__xludf.DUMMYFUNCTION("googletranslate(D329,""en"",""ne"")"),"अध्यक्ष")</f>
        <v>अध्यक्ष</v>
      </c>
      <c r="E329" s="2" t="s">
        <v>11</v>
      </c>
      <c r="F329" s="2" t="s">
        <v>746</v>
      </c>
      <c r="G329" s="2" t="s">
        <v>8</v>
      </c>
      <c r="H329" s="2" t="s">
        <v>13</v>
      </c>
      <c r="I329" s="2" t="s">
        <v>747</v>
      </c>
    </row>
    <row r="330" spans="1:9" ht="15.75" customHeight="1">
      <c r="A330" s="2" t="s">
        <v>645</v>
      </c>
      <c r="B330" s="2" t="s">
        <v>734</v>
      </c>
      <c r="C330" s="2" t="str">
        <f ca="1">IFERROR(__xludf.DUMMYFUNCTION("googletranslate(C330,""en"",""ne"")"),"राव बेसी गाउँपालिका")</f>
        <v>राव बेसी गाउँपालिका</v>
      </c>
      <c r="D330" s="3" t="str">
        <f ca="1">IFERROR(__xludf.DUMMYFUNCTION("googletranslate(D330,""en"",""ne"")"),"अध्यक्ष")</f>
        <v>अध्यक्ष</v>
      </c>
      <c r="E330" s="2" t="s">
        <v>11</v>
      </c>
      <c r="F330" s="2" t="s">
        <v>748</v>
      </c>
      <c r="G330" s="2" t="s">
        <v>8</v>
      </c>
      <c r="H330" s="2" t="s">
        <v>479</v>
      </c>
      <c r="I330" s="2" t="s">
        <v>749</v>
      </c>
    </row>
    <row r="331" spans="1:9" ht="15.75" customHeight="1">
      <c r="A331" s="2" t="s">
        <v>645</v>
      </c>
      <c r="B331" s="2" t="s">
        <v>734</v>
      </c>
      <c r="C331" s="2" t="str">
        <f ca="1">IFERROR(__xludf.DUMMYFUNCTION("googletranslate(C331,""en"",""ne"")"),"साकेला गाउँपालिका")</f>
        <v>साकेला गाउँपालिका</v>
      </c>
      <c r="D331" s="3" t="str">
        <f ca="1">IFERROR(__xludf.DUMMYFUNCTION("googletranslate(D331,""en"",""ne"")"),"अध्यक्ष")</f>
        <v>अध्यक्ष</v>
      </c>
      <c r="E331" s="2" t="s">
        <v>11</v>
      </c>
      <c r="F331" s="2" t="s">
        <v>750</v>
      </c>
      <c r="G331" s="2" t="s">
        <v>8</v>
      </c>
      <c r="H331" s="2" t="s">
        <v>16</v>
      </c>
      <c r="I331" s="2" t="s">
        <v>751</v>
      </c>
    </row>
    <row r="332" spans="1:9" ht="15.75" customHeight="1">
      <c r="A332" s="2" t="s">
        <v>645</v>
      </c>
      <c r="B332" s="2" t="s">
        <v>734</v>
      </c>
      <c r="C332" s="2" t="str">
        <f ca="1">IFERROR(__xludf.DUMMYFUNCTION("googletranslate(C332,""en"",""ne"")"),"हलेसी तुवाचुङ नगरपालिका")</f>
        <v>हलेसी तुवाचुङ नगरपालिका</v>
      </c>
      <c r="D332" s="3" t="str">
        <f ca="1">IFERROR(__xludf.DUMMYFUNCTION("googletranslate(D332,""en"",""ne"")"),"मेयर")</f>
        <v>मेयर</v>
      </c>
      <c r="E332" s="2" t="s">
        <v>11</v>
      </c>
      <c r="F332" s="2" t="s">
        <v>752</v>
      </c>
      <c r="G332" s="2" t="s">
        <v>32</v>
      </c>
      <c r="H332" s="2" t="s">
        <v>190</v>
      </c>
      <c r="I332" s="2" t="s">
        <v>753</v>
      </c>
    </row>
    <row r="333" spans="1:9" ht="15.75" customHeight="1">
      <c r="A333" s="2" t="s">
        <v>645</v>
      </c>
      <c r="B333" s="2" t="s">
        <v>754</v>
      </c>
      <c r="C333" s="2" t="str">
        <f ca="1">IFERROR(__xludf.DUMMYFUNCTION("googletranslate(C333,""en"",""ne"")"),"मिक्लाजुङ गाउँपालिका")</f>
        <v>मिक्लाजुङ गाउँपालिका</v>
      </c>
      <c r="D333" s="3" t="str">
        <f ca="1">IFERROR(__xludf.DUMMYFUNCTION("googletranslate(D333,""en"",""ne"")"),"अध्यक्ष")</f>
        <v>अध्यक्ष</v>
      </c>
      <c r="E333" s="2" t="s">
        <v>11</v>
      </c>
      <c r="F333" s="2" t="s">
        <v>755</v>
      </c>
      <c r="G333" s="2" t="s">
        <v>8</v>
      </c>
      <c r="H333" s="2" t="s">
        <v>58</v>
      </c>
      <c r="I333" s="2" t="s">
        <v>756</v>
      </c>
    </row>
    <row r="334" spans="1:9" ht="15.75" customHeight="1">
      <c r="A334" s="2" t="s">
        <v>645</v>
      </c>
      <c r="B334" s="2" t="s">
        <v>754</v>
      </c>
      <c r="C334" s="2" t="str">
        <f ca="1">IFERROR(__xludf.DUMMYFUNCTION("googletranslate(C334,""en"",""ne"")"),"उर्लाबारी नगरपालिका")</f>
        <v>उर्लाबारी नगरपालिका</v>
      </c>
      <c r="D334" s="3" t="str">
        <f ca="1">IFERROR(__xludf.DUMMYFUNCTION("googletranslate(D334,""en"",""ne"")"),"मेयर")</f>
        <v>मेयर</v>
      </c>
      <c r="E334" s="2" t="s">
        <v>18</v>
      </c>
      <c r="F334" s="2" t="s">
        <v>757</v>
      </c>
      <c r="G334" s="2" t="s">
        <v>8</v>
      </c>
      <c r="H334" s="2" t="s">
        <v>758</v>
      </c>
      <c r="I334" s="2" t="s">
        <v>759</v>
      </c>
    </row>
    <row r="335" spans="1:9" ht="15.75" customHeight="1">
      <c r="A335" s="2" t="s">
        <v>645</v>
      </c>
      <c r="B335" s="2" t="s">
        <v>754</v>
      </c>
      <c r="C335" s="2" t="str">
        <f ca="1">IFERROR(__xludf.DUMMYFUNCTION("googletranslate(C335,""en"",""ne"")"),"कटहरीपाल गाउँिका")</f>
        <v>कटहरीपाल गाउँिका</v>
      </c>
      <c r="D335" s="3" t="str">
        <f ca="1">IFERROR(__xludf.DUMMYFUNCTION("googletranslate(D335,""en"",""ne"")"),"अध्यक्ष")</f>
        <v>अध्यक्ष</v>
      </c>
      <c r="E335" s="2" t="s">
        <v>11</v>
      </c>
      <c r="F335" s="2" t="s">
        <v>760</v>
      </c>
      <c r="G335" s="2" t="s">
        <v>8</v>
      </c>
      <c r="H335" s="2" t="s">
        <v>45</v>
      </c>
      <c r="I335" s="2" t="s">
        <v>761</v>
      </c>
    </row>
    <row r="336" spans="1:9" ht="15.75" customHeight="1">
      <c r="A336" s="2" t="s">
        <v>645</v>
      </c>
      <c r="B336" s="2" t="s">
        <v>754</v>
      </c>
      <c r="C336" s="2" t="str">
        <f ca="1">IFERROR(__xludf.DUMMYFUNCTION("googletranslate(C336,""en"",""ne"")"),"कानेपोखरी गाउँपालिका")</f>
        <v>कानेपोखरी गाउँपालिका</v>
      </c>
      <c r="D336" s="3" t="str">
        <f ca="1">IFERROR(__xludf.DUMMYFUNCTION("googletranslate(D336,""en"",""ne"")"),"अध्यक्ष")</f>
        <v>अध्यक्ष</v>
      </c>
      <c r="E336" s="2" t="s">
        <v>18</v>
      </c>
      <c r="F336" s="2" t="s">
        <v>762</v>
      </c>
      <c r="G336" s="2" t="s">
        <v>32</v>
      </c>
      <c r="H336" s="2" t="s">
        <v>64</v>
      </c>
      <c r="I336" s="2" t="s">
        <v>763</v>
      </c>
    </row>
    <row r="337" spans="1:9" ht="15.75" customHeight="1">
      <c r="A337" s="2" t="s">
        <v>645</v>
      </c>
      <c r="B337" s="2" t="s">
        <v>754</v>
      </c>
      <c r="C337" s="2" t="str">
        <f ca="1">IFERROR(__xludf.DUMMYFUNCTION("googletranslate(C337,""en"",""ne"")"),"केरावारी गाउँपालिका")</f>
        <v>केरावारी गाउँपालिका</v>
      </c>
      <c r="D337" s="3" t="str">
        <f ca="1">IFERROR(__xludf.DUMMYFUNCTION("googletranslate(D337,""en"",""ne"")"),"अध्यक्ष")</f>
        <v>अध्यक्ष</v>
      </c>
      <c r="E337" s="2" t="s">
        <v>18</v>
      </c>
      <c r="F337" s="2" t="s">
        <v>764</v>
      </c>
      <c r="G337" s="2" t="s">
        <v>8</v>
      </c>
      <c r="H337" s="2" t="s">
        <v>200</v>
      </c>
      <c r="I337" s="2" t="s">
        <v>765</v>
      </c>
    </row>
    <row r="338" spans="1:9" ht="15.75" customHeight="1">
      <c r="A338" s="2" t="s">
        <v>645</v>
      </c>
      <c r="B338" s="2" t="s">
        <v>754</v>
      </c>
      <c r="C338" s="2" t="str">
        <f ca="1">IFERROR(__xludf.DUMMYFUNCTION("googletranslate(C338,""en"",""ne"")"),"ग्रामथानपालिका गाउँपालिका")</f>
        <v>ग्रामथानपालिका गाउँपालिका</v>
      </c>
      <c r="D338" s="3" t="str">
        <f ca="1">IFERROR(__xludf.DUMMYFUNCTION("googletranslate(D338,""en"",""ne"")"),"अध्यक्ष")</f>
        <v>अध्यक्ष</v>
      </c>
      <c r="E338" s="2" t="s">
        <v>11</v>
      </c>
      <c r="F338" s="2" t="s">
        <v>766</v>
      </c>
      <c r="G338" s="2" t="s">
        <v>8</v>
      </c>
      <c r="H338" s="2" t="s">
        <v>91</v>
      </c>
      <c r="I338" s="2" t="s">
        <v>767</v>
      </c>
    </row>
    <row r="339" spans="1:9" ht="15.75" customHeight="1">
      <c r="A339" s="2" t="s">
        <v>645</v>
      </c>
      <c r="B339" s="2" t="s">
        <v>754</v>
      </c>
      <c r="C339" s="2" t="str">
        <f ca="1">IFERROR(__xludf.DUMMYFUNCTION("googletranslate(C339,""en"",""ne"")"),"जहदा गाउँपालिका")</f>
        <v>जहदा गाउँपालिका</v>
      </c>
      <c r="D339" s="3" t="str">
        <f ca="1">IFERROR(__xludf.DUMMYFUNCTION("googletranslate(D339,""en"",""ne"")"),"अध्यक्ष")</f>
        <v>अध्यक्ष</v>
      </c>
      <c r="E339" s="2" t="s">
        <v>11</v>
      </c>
      <c r="F339" s="2" t="s">
        <v>768</v>
      </c>
      <c r="G339" s="2" t="s">
        <v>8</v>
      </c>
      <c r="H339" s="2" t="s">
        <v>50</v>
      </c>
      <c r="I339" s="2" t="s">
        <v>769</v>
      </c>
    </row>
    <row r="340" spans="1:9" ht="15.75" customHeight="1">
      <c r="A340" s="2" t="s">
        <v>645</v>
      </c>
      <c r="B340" s="2" t="s">
        <v>754</v>
      </c>
      <c r="C340" s="2" t="str">
        <f ca="1">IFERROR(__xludf.DUMMYFUNCTION("googletranslate(C340,""en"",""ne"")"),"धनपालथान गाउँपालिका")</f>
        <v>धनपालथान गाउँपालिका</v>
      </c>
      <c r="D340" s="3" t="str">
        <f ca="1">IFERROR(__xludf.DUMMYFUNCTION("googletranslate(D340,""en"",""ne"")"),"अध्यक्ष")</f>
        <v>अध्यक्ष</v>
      </c>
      <c r="E340" s="2" t="s">
        <v>11</v>
      </c>
      <c r="F340" s="2" t="s">
        <v>770</v>
      </c>
      <c r="G340" s="2" t="s">
        <v>8</v>
      </c>
      <c r="H340" s="2" t="s">
        <v>73</v>
      </c>
      <c r="I340" s="2" t="s">
        <v>771</v>
      </c>
    </row>
    <row r="341" spans="1:9" ht="15.75" customHeight="1">
      <c r="A341" s="2" t="s">
        <v>645</v>
      </c>
      <c r="B341" s="2" t="s">
        <v>754</v>
      </c>
      <c r="C341" s="2" t="str">
        <f ca="1">IFERROR(__xludf.DUMMYFUNCTION("googletranslate(C341,""en"",""ne"")"),"पथरी शनिश्चरे नगरपालिका")</f>
        <v>पथरी शनिश्चरे नगरपालिका</v>
      </c>
      <c r="D341" s="3" t="str">
        <f ca="1">IFERROR(__xludf.DUMMYFUNCTION("googletranslate(D341,""en"",""ne"")"),"मेयर")</f>
        <v>मेयर</v>
      </c>
      <c r="E341" s="2" t="s">
        <v>18</v>
      </c>
      <c r="F341" s="2" t="s">
        <v>772</v>
      </c>
      <c r="G341" s="2" t="s">
        <v>8</v>
      </c>
      <c r="H341" s="2" t="s">
        <v>91</v>
      </c>
      <c r="I341" s="2" t="s">
        <v>773</v>
      </c>
    </row>
    <row r="342" spans="1:9" ht="15.75" customHeight="1">
      <c r="A342" s="2" t="s">
        <v>645</v>
      </c>
      <c r="B342" s="2" t="s">
        <v>754</v>
      </c>
      <c r="C342" s="2" t="str">
        <f ca="1">IFERROR(__xludf.DUMMYFUNCTION("googletranslate(C342,""en"",""ne"")"),"बुढीगंगा गाउँपालिका")</f>
        <v>बुढीगंगा गाउँपालिका</v>
      </c>
      <c r="D342" s="3" t="str">
        <f ca="1">IFERROR(__xludf.DUMMYFUNCTION("googletranslate(D342,""en"",""ne"")"),"अध्यक्ष")</f>
        <v>अध्यक्ष</v>
      </c>
      <c r="E342" s="2" t="s">
        <v>11</v>
      </c>
      <c r="F342" s="2" t="s">
        <v>774</v>
      </c>
      <c r="G342" s="2" t="s">
        <v>8</v>
      </c>
      <c r="H342" s="2" t="s">
        <v>64</v>
      </c>
      <c r="I342" s="2" t="s">
        <v>775</v>
      </c>
    </row>
    <row r="343" spans="1:9" ht="15.75" customHeight="1">
      <c r="A343" s="2" t="s">
        <v>645</v>
      </c>
      <c r="B343" s="2" t="s">
        <v>754</v>
      </c>
      <c r="C343" s="2" t="str">
        <f ca="1">IFERROR(__xludf.DUMMYFUNCTION("googletranslate(C343,""en"",""ne"")"),"बेलवारी नगरपालिका")</f>
        <v>बेलवारी नगरपालिका</v>
      </c>
      <c r="D343" s="3" t="str">
        <f ca="1">IFERROR(__xludf.DUMMYFUNCTION("googletranslate(D343,""en"",""ne"")"),"मेयर")</f>
        <v>मेयर</v>
      </c>
      <c r="E343" s="2" t="s">
        <v>18</v>
      </c>
      <c r="F343" s="2" t="s">
        <v>776</v>
      </c>
      <c r="G343" s="2" t="s">
        <v>8</v>
      </c>
      <c r="H343" s="2" t="s">
        <v>9</v>
      </c>
      <c r="I343" s="2" t="s">
        <v>777</v>
      </c>
    </row>
    <row r="344" spans="1:9" ht="15.75" customHeight="1">
      <c r="A344" s="2" t="s">
        <v>645</v>
      </c>
      <c r="B344" s="2" t="s">
        <v>754</v>
      </c>
      <c r="C344" s="2" t="str">
        <f ca="1">IFERROR(__xludf.DUMMYFUNCTION("googletranslate(C344,""en"",""ne"")"),"रंगेली नगरपालिका")</f>
        <v>रंगेली नगरपालिका</v>
      </c>
      <c r="D344" s="3" t="str">
        <f ca="1">IFERROR(__xludf.DUMMYFUNCTION("googletranslate(D344,""en"",""ne"")"),"मेयर")</f>
        <v>मेयर</v>
      </c>
      <c r="E344" s="2" t="s">
        <v>18</v>
      </c>
      <c r="F344" s="2" t="s">
        <v>778</v>
      </c>
      <c r="G344" s="2" t="s">
        <v>8</v>
      </c>
      <c r="H344" s="2" t="s">
        <v>67</v>
      </c>
      <c r="I344" s="2" t="s">
        <v>779</v>
      </c>
    </row>
    <row r="345" spans="1:9" ht="15.75" customHeight="1">
      <c r="A345" s="2" t="s">
        <v>645</v>
      </c>
      <c r="B345" s="2" t="s">
        <v>754</v>
      </c>
      <c r="C345" s="2" t="str">
        <f ca="1">IFERROR(__xludf.DUMMYFUNCTION("googletranslate(C345,""en"",""ne"")"),"रतुवामाई नगरपालिका")</f>
        <v>रतुवामाई नगरपालिका</v>
      </c>
      <c r="D345" s="3" t="str">
        <f ca="1">IFERROR(__xludf.DUMMYFUNCTION("googletranslate(D345,""en"",""ne"")"),"मेयर")</f>
        <v>मेयर</v>
      </c>
      <c r="E345" s="2" t="s">
        <v>11</v>
      </c>
      <c r="F345" s="2" t="s">
        <v>780</v>
      </c>
      <c r="G345" s="2" t="s">
        <v>8</v>
      </c>
      <c r="H345" s="2" t="s">
        <v>694</v>
      </c>
      <c r="I345" s="2" t="s">
        <v>781</v>
      </c>
    </row>
    <row r="346" spans="1:9" ht="15.75" customHeight="1">
      <c r="A346" s="2" t="s">
        <v>645</v>
      </c>
      <c r="B346" s="2" t="s">
        <v>754</v>
      </c>
      <c r="C346" s="2" t="str">
        <f ca="1">IFERROR(__xludf.DUMMYFUNCTION("googletranslate(C346,""en"",""ne"")"),"महानगर महानगरपालिका")</f>
        <v>महानगर महानगरपालिका</v>
      </c>
      <c r="D346" s="3" t="str">
        <f ca="1">IFERROR(__xludf.DUMMYFUNCTION("googletranslate(D346,""en"",""ne"")"),"मेयर")</f>
        <v>मेयर</v>
      </c>
      <c r="E346" s="2" t="s">
        <v>11</v>
      </c>
      <c r="F346" s="2" t="s">
        <v>782</v>
      </c>
      <c r="G346" s="2" t="s">
        <v>8</v>
      </c>
      <c r="H346" s="2" t="s">
        <v>55</v>
      </c>
      <c r="I346" s="2" t="s">
        <v>783</v>
      </c>
    </row>
    <row r="347" spans="1:9" ht="15.75" customHeight="1">
      <c r="A347" s="2" t="s">
        <v>645</v>
      </c>
      <c r="B347" s="2" t="s">
        <v>754</v>
      </c>
      <c r="C347" s="2" t="str">
        <f ca="1">IFERROR(__xludf.DUMMYFUNCTION("googletranslate(C347,""en"",""ne"")"),"सुनवर्षी नगरपालिका")</f>
        <v>सुनवर्षी नगरपालिका</v>
      </c>
      <c r="D347" s="3" t="str">
        <f ca="1">IFERROR(__xludf.DUMMYFUNCTION("googletranslate(D347,""en"",""ne"")"),"मेयर")</f>
        <v>मेयर</v>
      </c>
      <c r="E347" s="2" t="s">
        <v>18</v>
      </c>
      <c r="F347" s="2" t="s">
        <v>784</v>
      </c>
      <c r="G347" s="2" t="s">
        <v>8</v>
      </c>
      <c r="H347" s="2" t="s">
        <v>200</v>
      </c>
      <c r="I347" s="2" t="s">
        <v>785</v>
      </c>
    </row>
    <row r="348" spans="1:9" ht="15.75" customHeight="1">
      <c r="A348" s="2" t="s">
        <v>645</v>
      </c>
      <c r="B348" s="2" t="s">
        <v>754</v>
      </c>
      <c r="C348" s="2" t="str">
        <f ca="1">IFERROR(__xludf.DUMMYFUNCTION("googletranslate(C348,""en"",""ne"")"),"सुन्दरहरैंचा नगरपालिका")</f>
        <v>सुन्दरहरैंचा नगरपालिका</v>
      </c>
      <c r="D348" s="3" t="str">
        <f ca="1">IFERROR(__xludf.DUMMYFUNCTION("googletranslate(D348,""en"",""ne"")"),"मेयर")</f>
        <v>मेयर</v>
      </c>
      <c r="E348" s="2" t="s">
        <v>18</v>
      </c>
      <c r="F348" s="2" t="s">
        <v>786</v>
      </c>
      <c r="G348" s="2" t="s">
        <v>8</v>
      </c>
      <c r="H348" s="2" t="s">
        <v>91</v>
      </c>
      <c r="I348" s="2" t="s">
        <v>787</v>
      </c>
    </row>
    <row r="349" spans="1:9" ht="15.75" customHeight="1">
      <c r="A349" s="2" t="s">
        <v>645</v>
      </c>
      <c r="B349" s="2" t="s">
        <v>788</v>
      </c>
      <c r="C349" s="2" t="str">
        <f ca="1">IFERROR(__xludf.DUMMYFUNCTION("googletranslate(C349,""en"",""ne"")"),"खिजिदेम्वा गाउँपालिका")</f>
        <v>खिजिदेम्वा गाउँपालिका</v>
      </c>
      <c r="D349" s="3" t="str">
        <f ca="1">IFERROR(__xludf.DUMMYFUNCTION("googletranslate(D349,""en"",""ne"")"),"अध्यक्ष")</f>
        <v>अध्यक्ष</v>
      </c>
      <c r="E349" s="2" t="s">
        <v>789</v>
      </c>
      <c r="F349" s="2" t="s">
        <v>790</v>
      </c>
      <c r="G349" s="2" t="s">
        <v>8</v>
      </c>
      <c r="H349" s="2" t="s">
        <v>13</v>
      </c>
      <c r="I349" s="2" t="s">
        <v>535</v>
      </c>
    </row>
    <row r="350" spans="1:9" ht="15.75" customHeight="1">
      <c r="A350" s="2" t="s">
        <v>645</v>
      </c>
      <c r="B350" s="2" t="s">
        <v>788</v>
      </c>
      <c r="C350" s="2" t="str">
        <f ca="1">IFERROR(__xludf.DUMMYFUNCTION("googletranslate(C350,""en"",""ne"")"),"चम्पादेवी गाउँपालिका")</f>
        <v>चम्पादेवी गाउँपालिका</v>
      </c>
      <c r="D350" s="3" t="str">
        <f ca="1">IFERROR(__xludf.DUMMYFUNCTION("googletranslate(D350,""en"",""ne"")"),"अध्यक्ष")</f>
        <v>अध्यक्ष</v>
      </c>
      <c r="E350" s="2" t="s">
        <v>11</v>
      </c>
      <c r="F350" s="2" t="s">
        <v>791</v>
      </c>
      <c r="G350" s="2" t="s">
        <v>8</v>
      </c>
      <c r="H350" s="2" t="s">
        <v>64</v>
      </c>
      <c r="I350" s="2" t="s">
        <v>792</v>
      </c>
    </row>
    <row r="351" spans="1:9" ht="15.75" customHeight="1">
      <c r="A351" s="2" t="s">
        <v>645</v>
      </c>
      <c r="B351" s="2" t="s">
        <v>788</v>
      </c>
      <c r="C351" s="2" t="str">
        <f ca="1">IFERROR(__xludf.DUMMYFUNCTION("googletranslate(C351,""en"",""ne"")"),"चिशंखुगढी गाउँपालिका")</f>
        <v>चिशंखुगढी गाउँपालिका</v>
      </c>
      <c r="D351" s="3" t="str">
        <f ca="1">IFERROR(__xludf.DUMMYFUNCTION("googletranslate(D351,""en"",""ne"")"),"अध्यक्ष")</f>
        <v>अध्यक्ष</v>
      </c>
      <c r="E351" s="2" t="s">
        <v>30</v>
      </c>
      <c r="F351" s="2" t="s">
        <v>793</v>
      </c>
      <c r="G351" s="2" t="s">
        <v>8</v>
      </c>
      <c r="H351" s="2" t="s">
        <v>322</v>
      </c>
      <c r="I351" s="2" t="s">
        <v>794</v>
      </c>
    </row>
    <row r="352" spans="1:9" ht="15.75" customHeight="1">
      <c r="A352" s="2" t="s">
        <v>645</v>
      </c>
      <c r="B352" s="2" t="s">
        <v>788</v>
      </c>
      <c r="C352" s="2" t="str">
        <f ca="1">IFERROR(__xludf.DUMMYFUNCTION("googletranslate(C352,""en"",""ne"")"),"मानेभञ्ज्या गाउँपालिका")</f>
        <v>मानेभञ्ज्या गाउँपालिका</v>
      </c>
      <c r="D352" s="3" t="str">
        <f ca="1">IFERROR(__xludf.DUMMYFUNCTION("googletranslate(D352,""en"",""ne"")"),"अध्यक्ष")</f>
        <v>अध्यक्ष</v>
      </c>
      <c r="E352" s="2" t="s">
        <v>105</v>
      </c>
      <c r="F352" s="2" t="s">
        <v>795</v>
      </c>
      <c r="G352" s="2" t="s">
        <v>8</v>
      </c>
      <c r="H352" s="2" t="s">
        <v>200</v>
      </c>
      <c r="I352" s="2" t="s">
        <v>796</v>
      </c>
    </row>
    <row r="353" spans="1:9" ht="15.75" customHeight="1">
      <c r="A353" s="2" t="s">
        <v>645</v>
      </c>
      <c r="B353" s="2" t="s">
        <v>788</v>
      </c>
      <c r="C353" s="2" t="str">
        <f ca="1">IFERROR(__xludf.DUMMYFUNCTION("googletranslate(C353,""en"",""ne"")"),"मोलुङ गाउँपालिका")</f>
        <v>मोलुङ गाउँपालिका</v>
      </c>
      <c r="D353" s="3" t="str">
        <f ca="1">IFERROR(__xludf.DUMMYFUNCTION("googletranslate(D353,""en"",""ne"")"),"अध्यक्ष")</f>
        <v>अध्यक्ष</v>
      </c>
      <c r="E353" s="2" t="s">
        <v>18</v>
      </c>
      <c r="F353" s="2" t="s">
        <v>797</v>
      </c>
      <c r="G353" s="2" t="s">
        <v>8</v>
      </c>
      <c r="H353" s="2" t="s">
        <v>91</v>
      </c>
      <c r="I353" s="2" t="s">
        <v>798</v>
      </c>
    </row>
    <row r="354" spans="1:9" ht="15.75" customHeight="1">
      <c r="A354" s="2" t="s">
        <v>645</v>
      </c>
      <c r="B354" s="2" t="s">
        <v>788</v>
      </c>
      <c r="C354" s="2" t="str">
        <f ca="1">IFERROR(__xludf.DUMMYFUNCTION("googletranslate(C354,""en"",""ne"")"),"लेखुपाल गाउँपालिका")</f>
        <v>लेखुपाल गाउँपालिका</v>
      </c>
      <c r="D354" s="3" t="str">
        <f ca="1">IFERROR(__xludf.DUMMYFUNCTION("googletranslate(D354,""en"",""ne"")"),"अध्यक्ष")</f>
        <v>अध्यक्ष</v>
      </c>
      <c r="E354" s="2" t="s">
        <v>11</v>
      </c>
      <c r="F354" s="2" t="s">
        <v>799</v>
      </c>
      <c r="G354" s="2" t="s">
        <v>8</v>
      </c>
      <c r="H354" s="2" t="s">
        <v>86</v>
      </c>
      <c r="I354" s="2" t="s">
        <v>800</v>
      </c>
    </row>
    <row r="355" spans="1:9" ht="15.75" customHeight="1">
      <c r="A355" s="2" t="s">
        <v>645</v>
      </c>
      <c r="B355" s="2" t="s">
        <v>788</v>
      </c>
      <c r="C355" s="2" t="str">
        <f ca="1">IFERROR(__xludf.DUMMYFUNCTION("googletranslate(C355,""en"",""ne"")"),"सिद्धिचरण नगरपालिका")</f>
        <v>सिद्धिचरण नगरपालिका</v>
      </c>
      <c r="D355" s="3" t="str">
        <f ca="1">IFERROR(__xludf.DUMMYFUNCTION("googletranslate(D355,""en"",""ne"")"),"मेयर")</f>
        <v>मेयर</v>
      </c>
      <c r="E355" s="2" t="s">
        <v>11</v>
      </c>
      <c r="F355" s="2" t="s">
        <v>801</v>
      </c>
      <c r="G355" s="2" t="s">
        <v>8</v>
      </c>
      <c r="H355" s="2" t="s">
        <v>16</v>
      </c>
      <c r="I355" s="2" t="s">
        <v>802</v>
      </c>
    </row>
    <row r="356" spans="1:9" ht="15.75" customHeight="1">
      <c r="A356" s="2" t="s">
        <v>645</v>
      </c>
      <c r="B356" s="2" t="s">
        <v>788</v>
      </c>
      <c r="C356" s="2" t="str">
        <f ca="1">IFERROR(__xludf.DUMMYFUNCTION("googletranslate(C356,""en"",""ne"")"),"सुनकोशी गाउँपालिका")</f>
        <v>सुनकोशी गाउँपालिका</v>
      </c>
      <c r="D356" s="3" t="str">
        <f ca="1">IFERROR(__xludf.DUMMYFUNCTION("googletranslate(D356,""en"",""ne"")"),"अध्यक्ष")</f>
        <v>अध्यक्ष</v>
      </c>
      <c r="E356" s="2" t="s">
        <v>11</v>
      </c>
      <c r="F356" s="2" t="s">
        <v>803</v>
      </c>
      <c r="G356" s="2" t="s">
        <v>8</v>
      </c>
      <c r="H356" s="2" t="s">
        <v>16</v>
      </c>
      <c r="I356" s="2" t="s">
        <v>679</v>
      </c>
    </row>
    <row r="357" spans="1:9" ht="15.75" customHeight="1">
      <c r="A357" s="2" t="s">
        <v>645</v>
      </c>
      <c r="B357" s="2" t="s">
        <v>804</v>
      </c>
      <c r="C357" s="2" t="str">
        <f ca="1">IFERROR(__xludf.DUMMYFUNCTION("googletranslate(C357,""en"",""ne"")"),"हिलिहाङ गाउँपालिका")</f>
        <v>हिलिहाङ गाउँपालिका</v>
      </c>
      <c r="D357" s="3" t="str">
        <f ca="1">IFERROR(__xludf.DUMMYFUNCTION("googletranslate(D357,""en"",""ne"")"),"अध्यक्ष")</f>
        <v>अध्यक्ष</v>
      </c>
      <c r="E357" s="2" t="s">
        <v>11</v>
      </c>
      <c r="F357" s="2" t="s">
        <v>805</v>
      </c>
      <c r="G357" s="2" t="s">
        <v>8</v>
      </c>
      <c r="H357" s="2" t="s">
        <v>45</v>
      </c>
      <c r="I357" s="2" t="s">
        <v>806</v>
      </c>
    </row>
    <row r="358" spans="1:9" ht="15.75" customHeight="1">
      <c r="A358" s="2" t="s">
        <v>645</v>
      </c>
      <c r="B358" s="2" t="s">
        <v>804</v>
      </c>
      <c r="C358" s="2" t="str">
        <f ca="1">IFERROR(__xludf.DUMMYFUNCTION("googletranslate(C358,""en"",""ne"")"),"मिक्लाजुङ गाउँपालिका")</f>
        <v>मिक्लाजुङ गाउँपालिका</v>
      </c>
      <c r="D358" s="3" t="str">
        <f ca="1">IFERROR(__xludf.DUMMYFUNCTION("googletranslate(D358,""en"",""ne"")"),"अध्यक्ष")</f>
        <v>अध्यक्ष</v>
      </c>
      <c r="E358" s="2" t="s">
        <v>30</v>
      </c>
      <c r="F358" s="2" t="s">
        <v>807</v>
      </c>
      <c r="G358" s="2" t="s">
        <v>8</v>
      </c>
      <c r="H358" s="2" t="s">
        <v>16</v>
      </c>
      <c r="I358" s="2" t="s">
        <v>808</v>
      </c>
    </row>
    <row r="359" spans="1:9" ht="15.75" customHeight="1">
      <c r="A359" s="2" t="s">
        <v>645</v>
      </c>
      <c r="B359" s="2" t="s">
        <v>804</v>
      </c>
      <c r="C359" s="2" t="str">
        <f ca="1">IFERROR(__xludf.DUMMYFUNCTION("googletranslate(C359,""en"",""ne"")"),"फिदिम नगरपालिका")</f>
        <v>फिदिम नगरपालिका</v>
      </c>
      <c r="D359" s="3" t="str">
        <f ca="1">IFERROR(__xludf.DUMMYFUNCTION("googletranslate(D359,""en"",""ne"")"),"मेयर")</f>
        <v>मेयर</v>
      </c>
      <c r="E359" s="2" t="s">
        <v>11</v>
      </c>
      <c r="F359" s="2" t="s">
        <v>809</v>
      </c>
      <c r="G359" s="2" t="s">
        <v>8</v>
      </c>
      <c r="H359" s="2" t="s">
        <v>61</v>
      </c>
      <c r="I359" s="2" t="s">
        <v>810</v>
      </c>
    </row>
    <row r="360" spans="1:9" ht="15.75" customHeight="1">
      <c r="A360" s="2" t="s">
        <v>645</v>
      </c>
      <c r="B360" s="2" t="s">
        <v>804</v>
      </c>
      <c r="C360" s="2" t="str">
        <f ca="1">IFERROR(__xludf.DUMMYFUNCTION("googletranslate(C360,""en"",""ne"")"),"कुमायक गाउँपालिका")</f>
        <v>कुमायक गाउँपालिका</v>
      </c>
      <c r="D360" s="3" t="str">
        <f ca="1">IFERROR(__xludf.DUMMYFUNCTION("googletranslate(D360,""en"",""ne"")"),"अध्यक्ष")</f>
        <v>अध्यक्ष</v>
      </c>
      <c r="E360" s="2" t="s">
        <v>11</v>
      </c>
      <c r="F360" s="2" t="s">
        <v>811</v>
      </c>
      <c r="G360" s="2" t="s">
        <v>8</v>
      </c>
      <c r="H360" s="2" t="s">
        <v>9</v>
      </c>
      <c r="I360" s="2" t="s">
        <v>812</v>
      </c>
    </row>
    <row r="361" spans="1:9" ht="15.75" customHeight="1">
      <c r="A361" s="2" t="s">
        <v>645</v>
      </c>
      <c r="B361" s="2" t="s">
        <v>804</v>
      </c>
      <c r="C361" s="2" t="str">
        <f ca="1">IFERROR(__xludf.DUMMYFUNCTION("googletranslate(C361,""en"",""ne"")"),"तुम्वेवा गाउँपालिका")</f>
        <v>तुम्वेवा गाउँपालिका</v>
      </c>
      <c r="D361" s="3" t="str">
        <f ca="1">IFERROR(__xludf.DUMMYFUNCTION("googletranslate(D361,""en"",""ne"")"),"अध्यक्ष")</f>
        <v>अध्यक्ष</v>
      </c>
      <c r="E361" s="2" t="s">
        <v>11</v>
      </c>
      <c r="F361" s="2" t="s">
        <v>813</v>
      </c>
      <c r="G361" s="2" t="s">
        <v>8</v>
      </c>
      <c r="H361" s="2" t="s">
        <v>322</v>
      </c>
      <c r="I361" s="2" t="s">
        <v>814</v>
      </c>
    </row>
    <row r="362" spans="1:9" ht="15.75" customHeight="1">
      <c r="A362" s="2" t="s">
        <v>645</v>
      </c>
      <c r="B362" s="2" t="s">
        <v>804</v>
      </c>
      <c r="C362" s="2" t="str">
        <f ca="1">IFERROR(__xludf.DUMMYFUNCTION("googletranslate(C362,""en"",""ne"")"),"फालेलुङ गाउँपालिका")</f>
        <v>फालेलुङ गाउँपालिका</v>
      </c>
      <c r="D362" s="3" t="str">
        <f ca="1">IFERROR(__xludf.DUMMYFUNCTION("googletranslate(D362,""en"",""ne"")"),"अध्यक्ष")</f>
        <v>अध्यक्ष</v>
      </c>
      <c r="E362" s="2" t="s">
        <v>11</v>
      </c>
      <c r="F362" s="2" t="s">
        <v>815</v>
      </c>
      <c r="G362" s="2" t="s">
        <v>8</v>
      </c>
      <c r="H362" s="2" t="s">
        <v>58</v>
      </c>
      <c r="I362" s="2" t="s">
        <v>816</v>
      </c>
    </row>
    <row r="363" spans="1:9" ht="15.75" customHeight="1">
      <c r="A363" s="2" t="s">
        <v>645</v>
      </c>
      <c r="B363" s="2" t="s">
        <v>804</v>
      </c>
      <c r="C363" s="2" t="str">
        <f ca="1">IFERROR(__xludf.DUMMYFUNCTION("googletranslate(C363,""en"",""ne"")"),"फाल्गुन गाउँपालिका")</f>
        <v>फाल्गुन गाउँपालिका</v>
      </c>
      <c r="D363" s="3" t="str">
        <f ca="1">IFERROR(__xludf.DUMMYFUNCTION("googletranslate(D363,""en"",""ne"")"),"अध्यक्ष")</f>
        <v>अध्यक्ष</v>
      </c>
      <c r="E363" s="2" t="s">
        <v>11</v>
      </c>
      <c r="F363" s="2" t="s">
        <v>817</v>
      </c>
      <c r="G363" s="2" t="s">
        <v>8</v>
      </c>
      <c r="H363" s="2" t="s">
        <v>26</v>
      </c>
      <c r="I363" s="2" t="s">
        <v>818</v>
      </c>
    </row>
    <row r="364" spans="1:9" ht="15.75" customHeight="1">
      <c r="A364" s="2" t="s">
        <v>645</v>
      </c>
      <c r="B364" s="2" t="s">
        <v>804</v>
      </c>
      <c r="C364" s="2" t="str">
        <f ca="1">IFERROR(__xludf.DUMMYFUNCTION("googletranslate(C364,""en"",""ne"")"),"याङवरक गाउँपालिका")</f>
        <v>याङवरक गाउँपालिका</v>
      </c>
      <c r="D364" s="3" t="str">
        <f ca="1">IFERROR(__xludf.DUMMYFUNCTION("googletranslate(D364,""en"",""ne"")"),"अध्यक्ष")</f>
        <v>अध्यक्ष</v>
      </c>
      <c r="E364" s="2" t="s">
        <v>18</v>
      </c>
      <c r="F364" s="2" t="s">
        <v>819</v>
      </c>
      <c r="G364" s="2" t="s">
        <v>8</v>
      </c>
      <c r="H364" s="2" t="s">
        <v>67</v>
      </c>
      <c r="I364" s="2" t="s">
        <v>820</v>
      </c>
    </row>
    <row r="365" spans="1:9" ht="15.75" customHeight="1">
      <c r="A365" s="2" t="s">
        <v>645</v>
      </c>
      <c r="B365" s="2" t="s">
        <v>821</v>
      </c>
      <c r="C365" s="2" t="str">
        <f ca="1">IFERROR(__xludf.DUMMYFUNCTION("googletranslate(C365,""en"",""ne"")"),"खाँदवारी नगरपालिका")</f>
        <v>खाँदवारी नगरपालिका</v>
      </c>
      <c r="D365" s="3" t="str">
        <f ca="1">IFERROR(__xludf.DUMMYFUNCTION("googletranslate(D365,""en"",""ne"")"),"मेयर")</f>
        <v>मेयर</v>
      </c>
      <c r="E365" s="2" t="s">
        <v>11</v>
      </c>
      <c r="F365" s="2" t="s">
        <v>822</v>
      </c>
      <c r="G365" s="2" t="s">
        <v>8</v>
      </c>
      <c r="H365" s="2" t="s">
        <v>114</v>
      </c>
      <c r="I365" s="2" t="s">
        <v>823</v>
      </c>
    </row>
    <row r="366" spans="1:9" ht="15.75" customHeight="1">
      <c r="A366" s="2" t="s">
        <v>645</v>
      </c>
      <c r="B366" s="2" t="s">
        <v>821</v>
      </c>
      <c r="C366" s="2" t="str">
        <f ca="1">IFERROR(__xludf.DUMMYFUNCTION("googletranslate(C366,""en"",""ne"")"),"चिचिला गाउँपालिका")</f>
        <v>चिचिला गाउँपालिका</v>
      </c>
      <c r="D366" s="3" t="str">
        <f ca="1">IFERROR(__xludf.DUMMYFUNCTION("googletranslate(D366,""en"",""ne"")"),"अध्यक्ष")</f>
        <v>अध्यक्ष</v>
      </c>
      <c r="E366" s="2" t="s">
        <v>11</v>
      </c>
      <c r="F366" s="2" t="s">
        <v>824</v>
      </c>
      <c r="G366" s="2" t="s">
        <v>8</v>
      </c>
      <c r="H366" s="2" t="s">
        <v>159</v>
      </c>
      <c r="I366" s="2" t="s">
        <v>825</v>
      </c>
    </row>
    <row r="367" spans="1:9" ht="15.75" customHeight="1">
      <c r="A367" s="2" t="s">
        <v>645</v>
      </c>
      <c r="B367" s="2" t="s">
        <v>821</v>
      </c>
      <c r="C367" s="2" t="str">
        <f ca="1">IFERROR(__xludf.DUMMYFUNCTION("googletranslate(C367,""en"",""ne"")"),"चैनपुर नगरपालिका")</f>
        <v>चैनपुर नगरपालिका</v>
      </c>
      <c r="D367" s="3" t="str">
        <f ca="1">IFERROR(__xludf.DUMMYFUNCTION("googletranslate(D367,""en"",""ne"")"),"मेयर")</f>
        <v>मेयर</v>
      </c>
      <c r="E367" s="2" t="s">
        <v>18</v>
      </c>
      <c r="F367" s="2" t="s">
        <v>826</v>
      </c>
      <c r="G367" s="2" t="s">
        <v>8</v>
      </c>
      <c r="H367" s="2" t="s">
        <v>98</v>
      </c>
      <c r="I367" s="2" t="s">
        <v>827</v>
      </c>
    </row>
    <row r="368" spans="1:9" ht="15.75" customHeight="1">
      <c r="A368" s="2" t="s">
        <v>645</v>
      </c>
      <c r="B368" s="2" t="s">
        <v>821</v>
      </c>
      <c r="C368" s="2" t="str">
        <f ca="1">IFERROR(__xludf.DUMMYFUNCTION("googletranslate(C368,""en"",""ne"")"),"धर्मदेवी नगरपालिका")</f>
        <v>धर्मदेवी नगरपालिका</v>
      </c>
      <c r="D368" s="3" t="str">
        <f ca="1">IFERROR(__xludf.DUMMYFUNCTION("googletranslate(D368,""en"",""ne"")"),"मेयर")</f>
        <v>मेयर</v>
      </c>
      <c r="E368" s="2" t="s">
        <v>18</v>
      </c>
      <c r="F368" s="2" t="s">
        <v>828</v>
      </c>
      <c r="G368" s="2" t="s">
        <v>8</v>
      </c>
      <c r="H368" s="2" t="s">
        <v>114</v>
      </c>
      <c r="I368" s="2" t="s">
        <v>829</v>
      </c>
    </row>
    <row r="369" spans="1:9" ht="15.75" customHeight="1">
      <c r="A369" s="2" t="s">
        <v>645</v>
      </c>
      <c r="B369" s="2" t="s">
        <v>821</v>
      </c>
      <c r="C369" s="2" t="str">
        <f ca="1">IFERROR(__xludf.DUMMYFUNCTION("googletranslate(C369,""en"",""ne"")"),"पाँचखापन नगरपालिका")</f>
        <v>पाँचखापन नगरपालिका</v>
      </c>
      <c r="D369" s="3" t="str">
        <f ca="1">IFERROR(__xludf.DUMMYFUNCTION("googletranslate(D369,""en"",""ne"")"),"मेयर")</f>
        <v>मेयर</v>
      </c>
      <c r="E369" s="2" t="s">
        <v>11</v>
      </c>
      <c r="F369" s="2" t="s">
        <v>830</v>
      </c>
      <c r="G369" s="2" t="s">
        <v>8</v>
      </c>
      <c r="H369" s="2" t="s">
        <v>200</v>
      </c>
      <c r="I369" s="2" t="s">
        <v>831</v>
      </c>
    </row>
    <row r="370" spans="1:9" ht="15.75" customHeight="1">
      <c r="A370" s="2" t="s">
        <v>645</v>
      </c>
      <c r="B370" s="2" t="s">
        <v>821</v>
      </c>
      <c r="C370" s="2" t="str">
        <f ca="1">IFERROR(__xludf.DUMMYFUNCTION("googletranslate(C370,""en"",""ne"")"),"भोटखोला गाउँपालिका")</f>
        <v>भोटखोला गाउँपालिका</v>
      </c>
      <c r="D370" s="3" t="str">
        <f ca="1">IFERROR(__xludf.DUMMYFUNCTION("googletranslate(D370,""en"",""ne"")"),"अध्यक्ष")</f>
        <v>अध्यक्ष</v>
      </c>
      <c r="E370" s="2" t="s">
        <v>18</v>
      </c>
      <c r="F370" s="2" t="s">
        <v>832</v>
      </c>
      <c r="G370" s="2" t="s">
        <v>8</v>
      </c>
      <c r="H370" s="2" t="s">
        <v>58</v>
      </c>
      <c r="I370" s="2" t="s">
        <v>833</v>
      </c>
    </row>
    <row r="371" spans="1:9" ht="15.75" customHeight="1">
      <c r="A371" s="2" t="s">
        <v>645</v>
      </c>
      <c r="B371" s="2" t="s">
        <v>821</v>
      </c>
      <c r="C371" s="2" t="str">
        <f ca="1">IFERROR(__xludf.DUMMYFUNCTION("googletranslate(C371,""en"",""ne"")"),"मकालु गाउँपालिका")</f>
        <v>मकालु गाउँपालिका</v>
      </c>
      <c r="D371" s="3" t="str">
        <f ca="1">IFERROR(__xludf.DUMMYFUNCTION("googletranslate(D371,""en"",""ne"")"),"अध्यक्ष")</f>
        <v>अध्यक्ष</v>
      </c>
      <c r="E371" s="2" t="s">
        <v>11</v>
      </c>
      <c r="F371" s="2" t="s">
        <v>834</v>
      </c>
      <c r="G371" s="2" t="s">
        <v>8</v>
      </c>
      <c r="H371" s="2" t="s">
        <v>41</v>
      </c>
      <c r="I371" s="2" t="s">
        <v>835</v>
      </c>
    </row>
    <row r="372" spans="1:9" ht="15.75" customHeight="1">
      <c r="A372" s="2" t="s">
        <v>645</v>
      </c>
      <c r="B372" s="2" t="s">
        <v>821</v>
      </c>
      <c r="C372" s="2" t="str">
        <f ca="1">IFERROR(__xludf.DUMMYFUNCTION("googletranslate(C372,""en"",""ne"")"),"मादी नगरपालिका")</f>
        <v>मादी नगरपालिका</v>
      </c>
      <c r="D372" s="3" t="str">
        <f ca="1">IFERROR(__xludf.DUMMYFUNCTION("googletranslate(D372,""en"",""ne"")"),"मेयर")</f>
        <v>मेयर</v>
      </c>
      <c r="E372" s="2" t="s">
        <v>18</v>
      </c>
      <c r="F372" s="2" t="s">
        <v>836</v>
      </c>
      <c r="G372" s="2" t="s">
        <v>8</v>
      </c>
      <c r="H372" s="2" t="s">
        <v>33</v>
      </c>
      <c r="I372" s="2" t="s">
        <v>467</v>
      </c>
    </row>
    <row r="373" spans="1:9" ht="15.75" customHeight="1">
      <c r="A373" s="2" t="s">
        <v>645</v>
      </c>
      <c r="B373" s="2" t="s">
        <v>821</v>
      </c>
      <c r="C373" s="2" t="str">
        <f ca="1">IFERROR(__xludf.DUMMYFUNCTION("googletranslate(C373,""en"",""ne"")"),"सभापोखरी गाउँपालिका")</f>
        <v>सभापोखरी गाउँपालिका</v>
      </c>
      <c r="D373" s="3" t="str">
        <f ca="1">IFERROR(__xludf.DUMMYFUNCTION("googletranslate(D373,""en"",""ne"")"),"अध्यक्ष")</f>
        <v>अध्यक्ष</v>
      </c>
      <c r="E373" s="2" t="s">
        <v>11</v>
      </c>
      <c r="F373" s="2" t="s">
        <v>837</v>
      </c>
      <c r="G373" s="2" t="s">
        <v>8</v>
      </c>
      <c r="H373" s="2" t="s">
        <v>200</v>
      </c>
      <c r="I373" s="2" t="s">
        <v>838</v>
      </c>
    </row>
    <row r="374" spans="1:9" ht="15.75" customHeight="1">
      <c r="A374" s="2" t="s">
        <v>645</v>
      </c>
      <c r="B374" s="2" t="s">
        <v>821</v>
      </c>
      <c r="C374" s="2" t="str">
        <f ca="1">IFERROR(__xludf.DUMMYFUNCTION("googletranslate(C374,""en"",""ne"")"),"सिलीचोङ गाउँपालिका")</f>
        <v>सिलीचोङ गाउँपालिका</v>
      </c>
      <c r="D374" s="3" t="str">
        <f ca="1">IFERROR(__xludf.DUMMYFUNCTION("googletranslate(D374,""en"",""ne"")"),"अध्यक्ष")</f>
        <v>अध्यक्ष</v>
      </c>
      <c r="E374" s="2" t="s">
        <v>11</v>
      </c>
      <c r="F374" s="2" t="s">
        <v>839</v>
      </c>
      <c r="G374" s="2" t="s">
        <v>8</v>
      </c>
      <c r="H374" s="2" t="s">
        <v>159</v>
      </c>
      <c r="I374" s="2" t="s">
        <v>840</v>
      </c>
    </row>
    <row r="375" spans="1:9" ht="15.75" customHeight="1">
      <c r="A375" s="2" t="s">
        <v>645</v>
      </c>
      <c r="B375" s="2" t="s">
        <v>841</v>
      </c>
      <c r="C375" s="2" t="str">
        <f ca="1">IFERROR(__xludf.DUMMYFUNCTION("googletranslate(C375,""en"",""ne"")"),"खुम्वु पासाङल्हमु गाउँपालिका")</f>
        <v>खुम्वु पासाङल्हमु गाउँपालिका</v>
      </c>
      <c r="D375" s="3" t="str">
        <f ca="1">IFERROR(__xludf.DUMMYFUNCTION("googletranslate(D375,""en"",""ne"")"),"अध्यक्ष")</f>
        <v>अध्यक्ष</v>
      </c>
      <c r="E375" s="2" t="s">
        <v>18</v>
      </c>
      <c r="F375" s="2" t="s">
        <v>842</v>
      </c>
      <c r="G375" s="2" t="s">
        <v>8</v>
      </c>
      <c r="H375" s="2" t="s">
        <v>322</v>
      </c>
      <c r="I375" s="2" t="s">
        <v>843</v>
      </c>
    </row>
    <row r="376" spans="1:9" ht="15.75" customHeight="1">
      <c r="A376" s="2" t="s">
        <v>645</v>
      </c>
      <c r="B376" s="2" t="s">
        <v>841</v>
      </c>
      <c r="C376" s="2" t="str">
        <f ca="1">IFERROR(__xludf.DUMMYFUNCTION("googletranslate(C376,""en"",""ne"")"),"थुलुङ दुधकोशीपालिका गाउँपालिका")</f>
        <v>थुलुङ दुधकोशीपालिका गाउँपालिका</v>
      </c>
      <c r="D376" s="3" t="str">
        <f ca="1">IFERROR(__xludf.DUMMYFUNCTION("googletranslate(D376,""en"",""ne"")"),"अध्यक्ष")</f>
        <v>अध्यक्ष</v>
      </c>
      <c r="E376" s="2" t="s">
        <v>30</v>
      </c>
      <c r="F376" s="2" t="s">
        <v>844</v>
      </c>
      <c r="G376" s="2" t="s">
        <v>8</v>
      </c>
      <c r="H376" s="2" t="s">
        <v>322</v>
      </c>
      <c r="I376" s="2" t="s">
        <v>845</v>
      </c>
    </row>
    <row r="377" spans="1:9" ht="15.75" customHeight="1">
      <c r="A377" s="2" t="s">
        <v>645</v>
      </c>
      <c r="B377" s="2" t="s">
        <v>841</v>
      </c>
      <c r="C377" s="2" t="str">
        <f ca="1">IFERROR(__xludf.DUMMYFUNCTION("googletranslate(C377,""en"",""ne"")"),"नेचासल्यान गाउँपालिका")</f>
        <v>नेचासल्यान गाउँपालिका</v>
      </c>
      <c r="D377" s="3" t="str">
        <f ca="1">IFERROR(__xludf.DUMMYFUNCTION("googletranslate(D377,""en"",""ne"")"),"अध्यक्ष")</f>
        <v>अध्यक्ष</v>
      </c>
      <c r="E377" s="2" t="s">
        <v>11</v>
      </c>
      <c r="F377" s="2" t="s">
        <v>846</v>
      </c>
      <c r="G377" s="2" t="s">
        <v>8</v>
      </c>
      <c r="H377" s="2" t="s">
        <v>9</v>
      </c>
      <c r="I377" s="2" t="s">
        <v>847</v>
      </c>
    </row>
    <row r="378" spans="1:9" ht="15.75" customHeight="1">
      <c r="A378" s="2" t="s">
        <v>645</v>
      </c>
      <c r="B378" s="2" t="s">
        <v>841</v>
      </c>
      <c r="C378" s="2" t="str">
        <f ca="1">IFERROR(__xludf.DUMMYFUNCTION("googletranslate(C378,""en"",""ne"")"),"महाकुलुङ गाउँपालिका")</f>
        <v>महाकुलुङ गाउँपालिका</v>
      </c>
      <c r="D378" s="3" t="str">
        <f ca="1">IFERROR(__xludf.DUMMYFUNCTION("googletranslate(D378,""en"",""ne"")"),"अध्यक्ष")</f>
        <v>अध्यक्ष</v>
      </c>
      <c r="E378" s="2" t="s">
        <v>11</v>
      </c>
      <c r="F378" s="2" t="s">
        <v>848</v>
      </c>
      <c r="G378" s="2" t="s">
        <v>8</v>
      </c>
      <c r="H378" s="2" t="s">
        <v>58</v>
      </c>
      <c r="I378" s="2" t="s">
        <v>849</v>
      </c>
    </row>
    <row r="379" spans="1:9" ht="15.75" customHeight="1">
      <c r="A379" s="2" t="s">
        <v>645</v>
      </c>
      <c r="B379" s="2" t="s">
        <v>841</v>
      </c>
      <c r="C379" s="2" t="str">
        <f ca="1">IFERROR(__xludf.DUMMYFUNCTION("googletranslate(C379,""en"",""ne"")"),"मापा दुधकोशी गाउँपालिका")</f>
        <v>मापा दुधकोशी गाउँपालिका</v>
      </c>
      <c r="D379" s="3" t="str">
        <f ca="1">IFERROR(__xludf.DUMMYFUNCTION("googletranslate(D379,""en"",""ne"")"),"अध्यक्ष")</f>
        <v>अध्यक्ष</v>
      </c>
      <c r="E379" s="2" t="s">
        <v>18</v>
      </c>
      <c r="F379" s="2" t="s">
        <v>850</v>
      </c>
      <c r="G379" s="2" t="s">
        <v>8</v>
      </c>
      <c r="H379" s="2" t="s">
        <v>190</v>
      </c>
      <c r="I379" s="2" t="s">
        <v>851</v>
      </c>
    </row>
    <row r="380" spans="1:9" ht="15.75" customHeight="1">
      <c r="A380" s="2" t="s">
        <v>645</v>
      </c>
      <c r="B380" s="2" t="s">
        <v>841</v>
      </c>
      <c r="C380" s="2" t="str">
        <f ca="1">IFERROR(__xludf.DUMMYFUNCTION("googletranslate(C380,""en"",""ne"")"),"लेखु पिके गाउँपालिका")</f>
        <v>लेखु पिके गाउँपालिका</v>
      </c>
      <c r="D380" s="3" t="str">
        <f ca="1">IFERROR(__xludf.DUMMYFUNCTION("googletranslate(D380,""en"",""ne"")"),"अध्यक्ष")</f>
        <v>अध्यक्ष</v>
      </c>
      <c r="E380" s="2" t="s">
        <v>11</v>
      </c>
      <c r="F380" s="2" t="s">
        <v>852</v>
      </c>
      <c r="G380" s="2" t="s">
        <v>32</v>
      </c>
      <c r="H380" s="2" t="s">
        <v>91</v>
      </c>
      <c r="I380" s="2" t="s">
        <v>853</v>
      </c>
    </row>
    <row r="381" spans="1:9" ht="15.75" customHeight="1">
      <c r="A381" s="2" t="s">
        <v>645</v>
      </c>
      <c r="B381" s="2" t="s">
        <v>841</v>
      </c>
      <c r="C381" s="2" t="str">
        <f ca="1">IFERROR(__xludf.DUMMYFUNCTION("googletranslate(C381,""en"",""ne"")"),"सोताङ गाउँपालिका")</f>
        <v>सोताङ गाउँपालिका</v>
      </c>
      <c r="D381" s="3" t="str">
        <f ca="1">IFERROR(__xludf.DUMMYFUNCTION("googletranslate(D381,""en"",""ne"")"),"अध्यक्ष")</f>
        <v>अध्यक्ष</v>
      </c>
      <c r="E381" s="2" t="s">
        <v>11</v>
      </c>
      <c r="F381" s="2" t="s">
        <v>854</v>
      </c>
      <c r="G381" s="2" t="s">
        <v>8</v>
      </c>
      <c r="H381" s="2" t="s">
        <v>16</v>
      </c>
      <c r="I381" s="2" t="s">
        <v>855</v>
      </c>
    </row>
    <row r="382" spans="1:9" ht="15.75" customHeight="1">
      <c r="A382" s="2" t="s">
        <v>645</v>
      </c>
      <c r="B382" s="2" t="s">
        <v>841</v>
      </c>
      <c r="C382" s="2" t="str">
        <f ca="1">IFERROR(__xludf.DUMMYFUNCTION("googletranslate(C382,""en"",""ne"")"),"सोलु दुधकुण्ड नगरपालिका")</f>
        <v>सोलु दुधकुण्ड नगरपालिका</v>
      </c>
      <c r="D382" s="3" t="str">
        <f ca="1">IFERROR(__xludf.DUMMYFUNCTION("googletranslate(D382,""en"",""ne"")"),"मेयर")</f>
        <v>मेयर</v>
      </c>
      <c r="E382" s="2" t="s">
        <v>11</v>
      </c>
      <c r="F382" s="2" t="s">
        <v>856</v>
      </c>
      <c r="G382" s="2" t="s">
        <v>8</v>
      </c>
      <c r="H382" s="2" t="s">
        <v>151</v>
      </c>
      <c r="I382" s="2" t="s">
        <v>857</v>
      </c>
    </row>
    <row r="383" spans="1:9" ht="15.75" customHeight="1">
      <c r="A383" s="2" t="s">
        <v>645</v>
      </c>
      <c r="B383" s="2" t="s">
        <v>858</v>
      </c>
      <c r="C383" s="2" t="str">
        <f ca="1">IFERROR(__xludf.DUMMYFUNCTION("googletranslate(C383,""en"",""ne"")"),"इनरुवा नगरपालिका")</f>
        <v>इनरुवा नगरपालिका</v>
      </c>
      <c r="D383" s="3" t="str">
        <f ca="1">IFERROR(__xludf.DUMMYFUNCTION("googletranslate(D383,""en"",""ne"")"),"मेयर")</f>
        <v>मेयर</v>
      </c>
      <c r="E383" s="2" t="s">
        <v>11</v>
      </c>
      <c r="F383" s="2" t="s">
        <v>859</v>
      </c>
      <c r="G383" s="2" t="s">
        <v>8</v>
      </c>
      <c r="H383" s="2" t="s">
        <v>64</v>
      </c>
      <c r="I383" s="2" t="s">
        <v>860</v>
      </c>
    </row>
    <row r="384" spans="1:9" ht="15.75" customHeight="1">
      <c r="A384" s="2" t="s">
        <v>645</v>
      </c>
      <c r="B384" s="2" t="s">
        <v>858</v>
      </c>
      <c r="C384" s="2" t="str">
        <f ca="1">IFERROR(__xludf.DUMMYFUNCTION("googletranslate(C384,""en"",""ne"")"),"इटहरी उपमहानगरपालिका")</f>
        <v>इटहरी उपमहानगरपालिका</v>
      </c>
      <c r="D384" s="3" t="str">
        <f ca="1">IFERROR(__xludf.DUMMYFUNCTION("googletranslate(D384,""en"",""ne"")"),"मेयर")</f>
        <v>मेयर</v>
      </c>
      <c r="E384" s="2" t="s">
        <v>11</v>
      </c>
      <c r="F384" s="2" t="s">
        <v>861</v>
      </c>
      <c r="G384" s="2" t="s">
        <v>8</v>
      </c>
      <c r="H384" s="2" t="s">
        <v>58</v>
      </c>
      <c r="I384" s="2" t="s">
        <v>862</v>
      </c>
    </row>
    <row r="385" spans="1:10" ht="15.75" customHeight="1">
      <c r="A385" s="2" t="s">
        <v>645</v>
      </c>
      <c r="B385" s="2" t="s">
        <v>858</v>
      </c>
      <c r="C385" s="2" t="str">
        <f ca="1">IFERROR(__xludf.DUMMYFUNCTION("googletranslate(C385,""en"",""ne"")"),"कोशीपाल गाउँपालिका")</f>
        <v>कोशीपाल गाउँपालिका</v>
      </c>
      <c r="D385" s="3" t="str">
        <f ca="1">IFERROR(__xludf.DUMMYFUNCTION("googletranslate(D385,""en"",""ne"")"),"अध्यक्ष")</f>
        <v>अध्यक्ष</v>
      </c>
      <c r="E385" s="2" t="s">
        <v>11</v>
      </c>
      <c r="F385" s="2" t="s">
        <v>863</v>
      </c>
      <c r="G385" s="2" t="s">
        <v>8</v>
      </c>
      <c r="H385" s="2" t="s">
        <v>13</v>
      </c>
      <c r="I385" s="2" t="s">
        <v>864</v>
      </c>
    </row>
    <row r="386" spans="1:10" ht="15.75" customHeight="1">
      <c r="A386" s="2" t="s">
        <v>645</v>
      </c>
      <c r="B386" s="2" t="s">
        <v>858</v>
      </c>
      <c r="C386" s="2" t="str">
        <f ca="1">IFERROR(__xludf.DUMMYFUNCTION("googletranslate(C386,""en"",""ne"")"),"गढीपालिका गाउँपालिका")</f>
        <v>गढीपालिका गाउँपालिका</v>
      </c>
      <c r="D386" s="3" t="str">
        <f ca="1">IFERROR(__xludf.DUMMYFUNCTION("googletranslate(D386,""en"",""ne"")"),"अध्यक्ष")</f>
        <v>अध्यक्ष</v>
      </c>
      <c r="E386" s="2" t="s">
        <v>18</v>
      </c>
      <c r="F386" s="2" t="s">
        <v>865</v>
      </c>
      <c r="G386" s="2" t="s">
        <v>8</v>
      </c>
      <c r="H386" s="2" t="s">
        <v>91</v>
      </c>
      <c r="I386" s="2" t="s">
        <v>866</v>
      </c>
    </row>
    <row r="387" spans="1:10" ht="15.75" customHeight="1">
      <c r="A387" s="2" t="s">
        <v>645</v>
      </c>
      <c r="B387" s="2" t="s">
        <v>858</v>
      </c>
      <c r="C387" s="2" t="str">
        <f ca="1">IFERROR(__xludf.DUMMYFUNCTION("googletranslate(C387,""en"",""ne"")"),"दुहवी नगरपालिका")</f>
        <v>दुहवी नगरपालिका</v>
      </c>
      <c r="D387" s="3" t="str">
        <f ca="1">IFERROR(__xludf.DUMMYFUNCTION("googletranslate(D387,""en"",""ne"")"),"मेयर")</f>
        <v>मेयर</v>
      </c>
      <c r="E387" s="2" t="s">
        <v>11</v>
      </c>
      <c r="F387" s="2" t="s">
        <v>867</v>
      </c>
      <c r="G387" s="2" t="s">
        <v>8</v>
      </c>
      <c r="H387" s="2" t="s">
        <v>70</v>
      </c>
      <c r="I387" s="2" t="s">
        <v>868</v>
      </c>
    </row>
    <row r="388" spans="1:10" ht="15.75" customHeight="1">
      <c r="A388" s="2" t="s">
        <v>645</v>
      </c>
      <c r="B388" s="2" t="s">
        <v>858</v>
      </c>
      <c r="C388" s="2" t="str">
        <f ca="1">IFERROR(__xludf.DUMMYFUNCTION("googletranslate(C388,""en"",""ne"")"),"देवागन्ज गाउँपालिका")</f>
        <v>देवागन्ज गाउँपालिका</v>
      </c>
      <c r="D388" s="3" t="str">
        <f ca="1">IFERROR(__xludf.DUMMYFUNCTION("googletranslate(D388,""en"",""ne"")"),"अध्यक्ष")</f>
        <v>अध्यक्ष</v>
      </c>
      <c r="E388" s="2" t="s">
        <v>789</v>
      </c>
      <c r="F388" s="2" t="s">
        <v>869</v>
      </c>
      <c r="G388" s="2" t="s">
        <v>8</v>
      </c>
      <c r="H388" s="2" t="s">
        <v>45</v>
      </c>
      <c r="I388" s="2" t="s">
        <v>870</v>
      </c>
    </row>
    <row r="389" spans="1:10" ht="15.75" customHeight="1">
      <c r="A389" s="2" t="s">
        <v>645</v>
      </c>
      <c r="B389" s="2" t="s">
        <v>858</v>
      </c>
      <c r="C389" s="2" t="str">
        <f ca="1">IFERROR(__xludf.DUMMYFUNCTION("googletranslate(C389,""en"",""ne"")"),"धरान उपमहानगरपालिका")</f>
        <v>धरान उपमहानगरपालिका</v>
      </c>
      <c r="D389" s="3" t="str">
        <f ca="1">IFERROR(__xludf.DUMMYFUNCTION("googletranslate(D389,""en"",""ne"")"),"मेयर")</f>
        <v>मेयर</v>
      </c>
      <c r="E389" s="2" t="s">
        <v>105</v>
      </c>
      <c r="F389" s="2" t="s">
        <v>871</v>
      </c>
      <c r="G389" s="2" t="s">
        <v>8</v>
      </c>
      <c r="H389" s="2" t="s">
        <v>200</v>
      </c>
      <c r="I389" s="2" t="s">
        <v>872</v>
      </c>
    </row>
    <row r="390" spans="1:10" ht="15.75" customHeight="1">
      <c r="A390" s="2" t="s">
        <v>645</v>
      </c>
      <c r="B390" s="2" t="s">
        <v>858</v>
      </c>
      <c r="C390" s="2" t="str">
        <f ca="1">IFERROR(__xludf.DUMMYFUNCTION("googletranslate(C390,""en"",""ne"")"),"बराहक्षेत्र नगरपालिका")</f>
        <v>बराहक्षेत्र नगरपालिका</v>
      </c>
      <c r="D390" s="3" t="str">
        <f ca="1">IFERROR(__xludf.DUMMYFUNCTION("googletranslate(D390,""en"",""ne"")"),"मेयर")</f>
        <v>मेयर</v>
      </c>
      <c r="E390" s="2" t="s">
        <v>11</v>
      </c>
      <c r="F390" s="2" t="s">
        <v>873</v>
      </c>
      <c r="G390" s="2" t="s">
        <v>8</v>
      </c>
      <c r="H390" s="2" t="s">
        <v>58</v>
      </c>
      <c r="I390" s="2" t="s">
        <v>874</v>
      </c>
    </row>
    <row r="391" spans="1:10" ht="15.75" customHeight="1">
      <c r="A391" s="2" t="s">
        <v>645</v>
      </c>
      <c r="B391" s="2" t="s">
        <v>858</v>
      </c>
      <c r="C391" s="2" t="str">
        <f ca="1">IFERROR(__xludf.DUMMYFUNCTION("googletranslate(C391,""en"",""ne"")"),"बर्जुपालिका गाउँपालिका")</f>
        <v>बर्जुपालिका गाउँपालिका</v>
      </c>
      <c r="D391" s="3" t="str">
        <f ca="1">IFERROR(__xludf.DUMMYFUNCTION("googletranslate(D391,""en"",""ne"")"),"अध्यक्ष")</f>
        <v>अध्यक्ष</v>
      </c>
      <c r="E391" s="2" t="s">
        <v>18</v>
      </c>
      <c r="F391" s="2" t="s">
        <v>875</v>
      </c>
      <c r="G391" s="2" t="s">
        <v>8</v>
      </c>
      <c r="H391" s="2" t="s">
        <v>64</v>
      </c>
      <c r="I391" s="2" t="s">
        <v>876</v>
      </c>
    </row>
    <row r="392" spans="1:10" ht="15.75" customHeight="1">
      <c r="A392" s="2" t="s">
        <v>645</v>
      </c>
      <c r="B392" s="2" t="s">
        <v>858</v>
      </c>
      <c r="C392" s="2" t="str">
        <f ca="1">IFERROR(__xludf.DUMMYFUNCTION("googletranslate(C392,""en"",""ne"")"),"भोक्राहा नरसिंह गाउँपालिका")</f>
        <v>भोक्राहा नरसिंह गाउँपालिका</v>
      </c>
      <c r="D392" s="3" t="str">
        <f ca="1">IFERROR(__xludf.DUMMYFUNCTION("googletranslate(D392,""en"",""ne"")"),"अध्यक्ष")</f>
        <v>अध्यक्ष</v>
      </c>
      <c r="E392" s="2" t="s">
        <v>11</v>
      </c>
      <c r="F392" s="2" t="s">
        <v>877</v>
      </c>
      <c r="G392" s="2" t="s">
        <v>8</v>
      </c>
      <c r="H392" s="2" t="s">
        <v>23</v>
      </c>
      <c r="I392" s="2" t="s">
        <v>878</v>
      </c>
    </row>
    <row r="393" spans="1:10" ht="15.75" customHeight="1">
      <c r="A393" s="2" t="s">
        <v>645</v>
      </c>
      <c r="B393" s="2" t="s">
        <v>858</v>
      </c>
      <c r="C393" s="2" t="str">
        <f ca="1">IFERROR(__xludf.DUMMYFUNCTION("googletranslate(C393,""en"",""ne"")"),"रामधुनी नगरपालिका")</f>
        <v>रामधुनी नगरपालिका</v>
      </c>
      <c r="D393" s="3" t="str">
        <f ca="1">IFERROR(__xludf.DUMMYFUNCTION("googletranslate(D393,""en"",""ne"")"),"मेयर")</f>
        <v>मेयर</v>
      </c>
      <c r="E393" s="2" t="s">
        <v>18</v>
      </c>
      <c r="F393" s="2" t="s">
        <v>879</v>
      </c>
      <c r="G393" s="2" t="s">
        <v>8</v>
      </c>
      <c r="H393" s="2" t="s">
        <v>479</v>
      </c>
      <c r="I393" s="2" t="s">
        <v>880</v>
      </c>
    </row>
    <row r="394" spans="1:10" ht="15.75" customHeight="1">
      <c r="A394" s="2" t="s">
        <v>645</v>
      </c>
      <c r="B394" s="2" t="s">
        <v>858</v>
      </c>
      <c r="C394" s="2" t="str">
        <f ca="1">IFERROR(__xludf.DUMMYFUNCTION("googletranslate(C394,""en"",""ne"")"),"हरिनगर गाउँपालिका")</f>
        <v>हरिनगर गाउँपालिका</v>
      </c>
      <c r="D394" s="3" t="str">
        <f ca="1">IFERROR(__xludf.DUMMYFUNCTION("googletranslate(D394,""en"",""ne"")"),"अध्यक्ष")</f>
        <v>अध्यक्ष</v>
      </c>
      <c r="E394" s="2" t="s">
        <v>11</v>
      </c>
      <c r="F394" s="2" t="s">
        <v>881</v>
      </c>
      <c r="G394" s="2" t="s">
        <v>8</v>
      </c>
      <c r="H394" s="2" t="s">
        <v>172</v>
      </c>
      <c r="I394" s="2" t="s">
        <v>882</v>
      </c>
    </row>
    <row r="395" spans="1:10" ht="15.75" customHeight="1">
      <c r="A395" s="2" t="s">
        <v>645</v>
      </c>
      <c r="B395" s="2" t="s">
        <v>883</v>
      </c>
      <c r="C395" s="2" t="str">
        <f ca="1">IFERROR(__xludf.DUMMYFUNCTION("googletranslate(C395,""en"",""ne"")"),"फुङलिङ नगरपालिका")</f>
        <v>फुङलिङ नगरपालिका</v>
      </c>
      <c r="D395" s="3" t="str">
        <f ca="1">IFERROR(__xludf.DUMMYFUNCTION("googletranslate(D395,""en"",""ne"")"),"मेयर")</f>
        <v>मेयर</v>
      </c>
      <c r="E395" s="2" t="s">
        <v>11</v>
      </c>
      <c r="F395" s="2" t="s">
        <v>884</v>
      </c>
      <c r="G395" s="2" t="s">
        <v>8</v>
      </c>
      <c r="H395" s="2" t="s">
        <v>61</v>
      </c>
      <c r="I395" s="2" t="s">
        <v>885</v>
      </c>
      <c r="J395" s="2" t="s">
        <v>886</v>
      </c>
    </row>
    <row r="396" spans="1:10" ht="15.75" customHeight="1">
      <c r="A396" s="2" t="s">
        <v>645</v>
      </c>
      <c r="B396" s="2" t="s">
        <v>883</v>
      </c>
      <c r="C396" s="2" t="str">
        <f ca="1">IFERROR(__xludf.DUMMYFUNCTION("googletranslate(C396,""en"",""ne"")"),"आठराई त्रिवेणी गाउँपालिका")</f>
        <v>आठराई त्रिवेणी गाउँपालिका</v>
      </c>
      <c r="D396" s="3" t="str">
        <f ca="1">IFERROR(__xludf.DUMMYFUNCTION("googletranslate(D396,""en"",""ne"")"),"अध्यक्ष")</f>
        <v>अध्यक्ष</v>
      </c>
      <c r="E396" s="2" t="s">
        <v>18</v>
      </c>
      <c r="F396" s="2" t="s">
        <v>887</v>
      </c>
      <c r="G396" s="2" t="s">
        <v>8</v>
      </c>
      <c r="H396" s="2" t="s">
        <v>242</v>
      </c>
      <c r="I396" s="2" t="s">
        <v>888</v>
      </c>
      <c r="J396" s="2" t="s">
        <v>889</v>
      </c>
    </row>
    <row r="397" spans="1:10" ht="15.75" customHeight="1">
      <c r="A397" s="2" t="s">
        <v>645</v>
      </c>
      <c r="B397" s="2" t="s">
        <v>883</v>
      </c>
      <c r="C397" s="2" t="str">
        <f ca="1">IFERROR(__xludf.DUMMYFUNCTION("googletranslate(C397,""en"",""ne"")"),"पाथीभरा याङवरकपालिका")</f>
        <v>पाथीभरा याङवरकपालिका</v>
      </c>
      <c r="D397" s="3" t="str">
        <f ca="1">IFERROR(__xludf.DUMMYFUNCTION("googletranslate(D397,""en"",""ne"")"),"अध्यक्ष")</f>
        <v>अध्यक्ष</v>
      </c>
      <c r="E397" s="2" t="s">
        <v>18</v>
      </c>
      <c r="F397" s="2" t="s">
        <v>890</v>
      </c>
      <c r="G397" s="2" t="s">
        <v>8</v>
      </c>
      <c r="H397" s="2" t="s">
        <v>9</v>
      </c>
      <c r="I397" s="2" t="s">
        <v>891</v>
      </c>
    </row>
    <row r="398" spans="1:10" ht="15.75" customHeight="1">
      <c r="A398" s="2" t="s">
        <v>645</v>
      </c>
      <c r="B398" s="2" t="s">
        <v>883</v>
      </c>
      <c r="C398" s="2" t="str">
        <f ca="1">IFERROR(__xludf.DUMMYFUNCTION("googletranslate(C398,""en"",""ne"")"),"बसाङलु गाउँपालिका")</f>
        <v>बसाङलु गाउँपालिका</v>
      </c>
      <c r="D398" s="3" t="str">
        <f ca="1">IFERROR(__xludf.DUMMYFUNCTION("googletranslate(D398,""en"",""ne"")"),"अध्यक्ष")</f>
        <v>अध्यक्ष</v>
      </c>
      <c r="E398" s="2" t="s">
        <v>30</v>
      </c>
      <c r="F398" s="2" t="s">
        <v>892</v>
      </c>
      <c r="G398" s="2" t="s">
        <v>8</v>
      </c>
      <c r="H398" s="2" t="s">
        <v>322</v>
      </c>
      <c r="I398" s="2" t="s">
        <v>893</v>
      </c>
    </row>
    <row r="399" spans="1:10" ht="15.75" customHeight="1">
      <c r="A399" s="2" t="s">
        <v>645</v>
      </c>
      <c r="B399" s="2" t="s">
        <v>883</v>
      </c>
      <c r="C399" s="2" t="str">
        <f ca="1">IFERROR(__xludf.DUMMYFUNCTION("googletranslate(C399,""en"",""ne"")"),"मिक्वाखोला गाउँपालिका")</f>
        <v>मिक्वाखोला गाउँपालिका</v>
      </c>
      <c r="D399" s="3" t="str">
        <f ca="1">IFERROR(__xludf.DUMMYFUNCTION("googletranslate(D399,""en"",""ne"")"),"अध्यक्ष")</f>
        <v>अध्यक्ष</v>
      </c>
      <c r="E399" s="2" t="s">
        <v>11</v>
      </c>
      <c r="F399" s="2" t="s">
        <v>894</v>
      </c>
      <c r="G399" s="2" t="s">
        <v>8</v>
      </c>
      <c r="H399" s="2" t="s">
        <v>45</v>
      </c>
      <c r="I399" s="2" t="s">
        <v>895</v>
      </c>
    </row>
    <row r="400" spans="1:10" ht="15.75" customHeight="1">
      <c r="A400" s="2" t="s">
        <v>645</v>
      </c>
      <c r="B400" s="2" t="s">
        <v>883</v>
      </c>
      <c r="C400" s="2" t="str">
        <f ca="1">IFERROR(__xludf.DUMMYFUNCTION("googletranslate(C400,""en"",""ne"")"),"मेरिंगदेन गाउँपालिका")</f>
        <v>मेरिंगदेन गाउँपालिका</v>
      </c>
      <c r="D400" s="3" t="str">
        <f ca="1">IFERROR(__xludf.DUMMYFUNCTION("googletranslate(D400,""en"",""ne"")"),"अध्यक्ष")</f>
        <v>अध्यक्ष</v>
      </c>
      <c r="E400" s="2" t="s">
        <v>11</v>
      </c>
      <c r="F400" s="2" t="s">
        <v>896</v>
      </c>
      <c r="G400" s="2" t="s">
        <v>8</v>
      </c>
      <c r="H400" s="2" t="s">
        <v>322</v>
      </c>
      <c r="I400" s="2" t="s">
        <v>897</v>
      </c>
    </row>
    <row r="401" spans="1:9" ht="15.75" customHeight="1">
      <c r="A401" s="2" t="s">
        <v>645</v>
      </c>
      <c r="B401" s="2" t="s">
        <v>883</v>
      </c>
      <c r="C401" s="2" t="str">
        <f ca="1">IFERROR(__xludf.DUMMYFUNCTION("googletranslate(C401,""en"",""ne"")"),"मावाखोला गाउँपालिका")</f>
        <v>मावाखोला गाउँपालिका</v>
      </c>
      <c r="D401" s="3" t="str">
        <f ca="1">IFERROR(__xludf.DUMMYFUNCTION("googletranslate(D401,""en"",""ne"")"),"अध्यक्ष")</f>
        <v>अध्यक्ष</v>
      </c>
      <c r="E401" s="2" t="s">
        <v>30</v>
      </c>
      <c r="F401" s="2" t="s">
        <v>898</v>
      </c>
      <c r="G401" s="2" t="s">
        <v>8</v>
      </c>
      <c r="H401" s="2" t="s">
        <v>151</v>
      </c>
      <c r="I401" s="2" t="s">
        <v>899</v>
      </c>
    </row>
    <row r="402" spans="1:9" ht="15.75" customHeight="1">
      <c r="A402" s="2" t="s">
        <v>645</v>
      </c>
      <c r="B402" s="2" t="s">
        <v>883</v>
      </c>
      <c r="C402" s="2" t="str">
        <f ca="1">IFERROR(__xludf.DUMMYFUNCTION("googletranslate(C402,""en"",""ne"")"),"सिदिङ्वा गाउँपालिका")</f>
        <v>सिदिङ्वा गाउँपालिका</v>
      </c>
      <c r="D402" s="3" t="str">
        <f ca="1">IFERROR(__xludf.DUMMYFUNCTION("googletranslate(D402,""en"",""ne"")"),"अध्यक्ष")</f>
        <v>अध्यक्ष</v>
      </c>
      <c r="E402" s="2" t="s">
        <v>18</v>
      </c>
      <c r="F402" s="2" t="s">
        <v>900</v>
      </c>
      <c r="G402" s="2" t="s">
        <v>8</v>
      </c>
      <c r="H402" s="2" t="s">
        <v>140</v>
      </c>
      <c r="I402" s="2" t="s">
        <v>901</v>
      </c>
    </row>
    <row r="403" spans="1:9" ht="15.75" customHeight="1">
      <c r="A403" s="2" t="s">
        <v>645</v>
      </c>
      <c r="B403" s="2" t="s">
        <v>883</v>
      </c>
      <c r="C403" s="2" t="str">
        <f ca="1">IFERROR(__xludf.DUMMYFUNCTION("googletranslate(C403,""en"",""ne"")"),"सिरीजघा गाउँपालिका")</f>
        <v>सिरीजघा गाउँपालिका</v>
      </c>
      <c r="D403" s="3" t="str">
        <f ca="1">IFERROR(__xludf.DUMMYFUNCTION("googletranslate(D403,""en"",""ne"")"),"अध्यक्ष")</f>
        <v>अध्यक्ष</v>
      </c>
      <c r="E403" s="2" t="s">
        <v>11</v>
      </c>
      <c r="F403" s="2" t="s">
        <v>902</v>
      </c>
      <c r="G403" s="2" t="s">
        <v>8</v>
      </c>
      <c r="H403" s="2" t="s">
        <v>55</v>
      </c>
      <c r="I403" s="2" t="s">
        <v>851</v>
      </c>
    </row>
    <row r="404" spans="1:9" ht="15.75" customHeight="1">
      <c r="A404" s="2" t="s">
        <v>645</v>
      </c>
      <c r="B404" s="2" t="s">
        <v>903</v>
      </c>
      <c r="C404" s="2" t="str">
        <f ca="1">IFERROR(__xludf.DUMMYFUNCTION("googletranslate(C404,""en"",""ne"")"),"आठराईपालिका गाउँपालिका")</f>
        <v>आठराईपालिका गाउँपालिका</v>
      </c>
      <c r="D404" s="3" t="str">
        <f ca="1">IFERROR(__xludf.DUMMYFUNCTION("googletranslate(D404,""en"",""ne"")"),"अध्यक्ष")</f>
        <v>अध्यक्ष</v>
      </c>
      <c r="E404" s="2" t="s">
        <v>11</v>
      </c>
      <c r="F404" s="2" t="s">
        <v>904</v>
      </c>
      <c r="G404" s="2" t="s">
        <v>8</v>
      </c>
      <c r="H404" s="2" t="s">
        <v>33</v>
      </c>
      <c r="I404" s="2" t="s">
        <v>905</v>
      </c>
    </row>
    <row r="405" spans="1:9" ht="15.75" customHeight="1">
      <c r="A405" s="2" t="s">
        <v>645</v>
      </c>
      <c r="B405" s="2" t="s">
        <v>903</v>
      </c>
      <c r="C405" s="2" t="str">
        <f ca="1">IFERROR(__xludf.DUMMYFUNCTION("googletranslate(C405,""en"",""ne"")"),"छथर गाउँपालिका")</f>
        <v>छथर गाउँपालिका</v>
      </c>
      <c r="D405" s="3" t="str">
        <f ca="1">IFERROR(__xludf.DUMMYFUNCTION("googletranslate(D405,""en"",""ne"")"),"अध्यक्ष")</f>
        <v>अध्यक्ष</v>
      </c>
      <c r="E405" s="2" t="s">
        <v>18</v>
      </c>
      <c r="F405" s="2" t="s">
        <v>906</v>
      </c>
      <c r="G405" s="2" t="s">
        <v>8</v>
      </c>
      <c r="H405" s="2" t="s">
        <v>267</v>
      </c>
      <c r="I405" s="2" t="s">
        <v>907</v>
      </c>
    </row>
    <row r="406" spans="1:9" ht="15.75" customHeight="1">
      <c r="A406" s="2" t="s">
        <v>645</v>
      </c>
      <c r="B406" s="2" t="s">
        <v>903</v>
      </c>
      <c r="C406" s="2" t="str">
        <f ca="1">IFERROR(__xludf.DUMMYFUNCTION("googletranslate(C406,""en"",""ne"")"),"फेदाप गाउँपालिका")</f>
        <v>फेदाप गाउँपालिका</v>
      </c>
      <c r="D406" s="3" t="str">
        <f ca="1">IFERROR(__xludf.DUMMYFUNCTION("googletranslate(D406,""en"",""ne"")"),"अध्यक्ष")</f>
        <v>अध्यक्ष</v>
      </c>
      <c r="E406" s="2" t="s">
        <v>11</v>
      </c>
      <c r="F406" s="2" t="s">
        <v>908</v>
      </c>
      <c r="G406" s="2" t="s">
        <v>8</v>
      </c>
      <c r="H406" s="2" t="s">
        <v>91</v>
      </c>
      <c r="I406" s="2" t="s">
        <v>909</v>
      </c>
    </row>
    <row r="407" spans="1:9" ht="15.75" customHeight="1">
      <c r="A407" s="2" t="s">
        <v>645</v>
      </c>
      <c r="B407" s="2" t="s">
        <v>903</v>
      </c>
      <c r="C407" s="2" t="str">
        <f ca="1">IFERROR(__xludf.DUMMYFUNCTION("googletranslate(C407,""en"",""ne"")"),"मेँयायेम गाउँपालिका")</f>
        <v>मेँयायेम गाउँपालिका</v>
      </c>
      <c r="D407" s="3" t="str">
        <f ca="1">IFERROR(__xludf.DUMMYFUNCTION("googletranslate(D407,""en"",""ne"")"),"अध्यक्ष")</f>
        <v>अध्यक्ष</v>
      </c>
      <c r="E407" s="2" t="s">
        <v>18</v>
      </c>
      <c r="F407" s="2" t="s">
        <v>910</v>
      </c>
      <c r="G407" s="2" t="s">
        <v>8</v>
      </c>
      <c r="H407" s="2" t="s">
        <v>306</v>
      </c>
      <c r="I407" s="2" t="s">
        <v>911</v>
      </c>
    </row>
    <row r="408" spans="1:9" ht="15.75" customHeight="1">
      <c r="A408" s="2" t="s">
        <v>645</v>
      </c>
      <c r="B408" s="2" t="s">
        <v>903</v>
      </c>
      <c r="C408" s="2" t="str">
        <f ca="1">IFERROR(__xludf.DUMMYFUNCTION("googletranslate(C408,""en"",""ne"")"),"म्याङलुङ नगरपालिका")</f>
        <v>म्याङलुङ नगरपालिका</v>
      </c>
      <c r="D408" s="3" t="str">
        <f ca="1">IFERROR(__xludf.DUMMYFUNCTION("googletranslate(D408,""en"",""ne"")"),"मेयर")</f>
        <v>मेयर</v>
      </c>
      <c r="E408" s="2" t="s">
        <v>18</v>
      </c>
      <c r="F408" s="2" t="s">
        <v>912</v>
      </c>
      <c r="G408" s="2" t="s">
        <v>8</v>
      </c>
      <c r="H408" s="2" t="s">
        <v>9</v>
      </c>
      <c r="I408" s="2" t="s">
        <v>913</v>
      </c>
    </row>
    <row r="409" spans="1:9" ht="15.75" customHeight="1">
      <c r="A409" s="2" t="s">
        <v>645</v>
      </c>
      <c r="B409" s="2" t="s">
        <v>903</v>
      </c>
      <c r="C409" s="2" t="str">
        <f ca="1">IFERROR(__xludf.DUMMYFUNCTION("googletranslate(C409,""en"",""ne"")"),"लालिगुरास नगरपालिका")</f>
        <v>लालिगुरास नगरपालिका</v>
      </c>
      <c r="D409" s="3" t="str">
        <f ca="1">IFERROR(__xludf.DUMMYFUNCTION("googletranslate(D409,""en"",""ne"")"),"मेयर")</f>
        <v>मेयर</v>
      </c>
      <c r="E409" s="2" t="s">
        <v>11</v>
      </c>
      <c r="F409" s="2" t="s">
        <v>914</v>
      </c>
      <c r="G409" s="2" t="s">
        <v>8</v>
      </c>
      <c r="H409" s="2" t="s">
        <v>16</v>
      </c>
      <c r="I409" s="2" t="s">
        <v>915</v>
      </c>
    </row>
    <row r="410" spans="1:9" ht="15.75" customHeight="1">
      <c r="A410" s="2" t="s">
        <v>645</v>
      </c>
      <c r="B410" s="2" t="s">
        <v>916</v>
      </c>
      <c r="C410" s="2" t="str">
        <f ca="1">IFERROR(__xludf.DUMMYFUNCTION("googletranslate(C410,""en"",""ne"")"),"कटारी नगरपालिका")</f>
        <v>कटारी नगरपालिका</v>
      </c>
      <c r="D410" s="3" t="str">
        <f ca="1">IFERROR(__xludf.DUMMYFUNCTION("googletranslate(D410,""en"",""ne"")"),"मेयर")</f>
        <v>मेयर</v>
      </c>
      <c r="E410" s="2" t="s">
        <v>11</v>
      </c>
      <c r="F410" s="2" t="s">
        <v>917</v>
      </c>
      <c r="G410" s="2" t="s">
        <v>8</v>
      </c>
      <c r="H410" s="2" t="s">
        <v>13</v>
      </c>
      <c r="I410" s="2" t="s">
        <v>918</v>
      </c>
    </row>
    <row r="411" spans="1:9" ht="15.75" customHeight="1">
      <c r="A411" s="2" t="s">
        <v>645</v>
      </c>
      <c r="B411" s="2" t="s">
        <v>916</v>
      </c>
      <c r="C411" s="2" t="str">
        <f ca="1">IFERROR(__xludf.DUMMYFUNCTION("googletranslate(C411,""en"",""ne"")"),"उदयपुरगढी गाउँपालिका")</f>
        <v>उदयपुरगढी गाउँपालिका</v>
      </c>
      <c r="D411" s="3" t="str">
        <f ca="1">IFERROR(__xludf.DUMMYFUNCTION("googletranslate(D411,""en"",""ne"")"),"अध्यक्ष")</f>
        <v>अध्यक्ष</v>
      </c>
      <c r="E411" s="2" t="s">
        <v>39</v>
      </c>
      <c r="F411" s="2" t="s">
        <v>919</v>
      </c>
      <c r="G411" s="2" t="s">
        <v>8</v>
      </c>
      <c r="H411" s="2" t="s">
        <v>67</v>
      </c>
      <c r="I411" s="2" t="s">
        <v>920</v>
      </c>
    </row>
    <row r="412" spans="1:9" ht="15.75" customHeight="1">
      <c r="A412" s="2" t="s">
        <v>645</v>
      </c>
      <c r="B412" s="2" t="s">
        <v>916</v>
      </c>
      <c r="C412" s="2" t="str">
        <f ca="1">IFERROR(__xludf.DUMMYFUNCTION("googletranslate(C412,""en"",""ne"")"),"चौदण्डीगढी नगरपालिका")</f>
        <v>चौदण्डीगढी नगरपालिका</v>
      </c>
      <c r="D412" s="3" t="str">
        <f ca="1">IFERROR(__xludf.DUMMYFUNCTION("googletranslate(D412,""en"",""ne"")"),"मेयर")</f>
        <v>मेयर</v>
      </c>
      <c r="E412" s="2" t="s">
        <v>18</v>
      </c>
      <c r="F412" s="2" t="s">
        <v>921</v>
      </c>
      <c r="G412" s="2" t="s">
        <v>8</v>
      </c>
      <c r="H412" s="2" t="s">
        <v>13</v>
      </c>
      <c r="I412" s="2" t="s">
        <v>922</v>
      </c>
    </row>
    <row r="413" spans="1:9" ht="15.75" customHeight="1">
      <c r="A413" s="2" t="s">
        <v>645</v>
      </c>
      <c r="B413" s="2" t="s">
        <v>916</v>
      </c>
      <c r="C413" s="2" t="str">
        <f ca="1">IFERROR(__xludf.DUMMYFUNCTION("googletranslate(C413,""en"",""ne"")"),"ताली गाउँपालिका")</f>
        <v>ताली गाउँपालिका</v>
      </c>
      <c r="D413" s="3" t="str">
        <f ca="1">IFERROR(__xludf.DUMMYFUNCTION("googletranslate(D413,""en"",""ne"")"),"अध्यक्ष")</f>
        <v>अध्यक्ष</v>
      </c>
      <c r="E413" s="2" t="s">
        <v>30</v>
      </c>
      <c r="F413" s="2" t="s">
        <v>923</v>
      </c>
      <c r="G413" s="2" t="s">
        <v>8</v>
      </c>
      <c r="H413" s="2" t="s">
        <v>50</v>
      </c>
      <c r="I413" s="2" t="s">
        <v>924</v>
      </c>
    </row>
    <row r="414" spans="1:9" ht="15.75" customHeight="1">
      <c r="A414" s="2" t="s">
        <v>645</v>
      </c>
      <c r="B414" s="2" t="s">
        <v>916</v>
      </c>
      <c r="C414" s="2" t="str">
        <f ca="1">IFERROR(__xludf.DUMMYFUNCTION("googletranslate(C414,""en"",""ne"")"),"त्रियुगा नगरपालिका")</f>
        <v>त्रियुगा नगरपालिका</v>
      </c>
      <c r="D414" s="3" t="str">
        <f ca="1">IFERROR(__xludf.DUMMYFUNCTION("googletranslate(D414,""en"",""ne"")"),"मेयर")</f>
        <v>मेयर</v>
      </c>
      <c r="E414" s="2" t="s">
        <v>11</v>
      </c>
      <c r="F414" s="2" t="s">
        <v>925</v>
      </c>
      <c r="G414" s="2" t="s">
        <v>8</v>
      </c>
      <c r="H414" s="2" t="s">
        <v>23</v>
      </c>
      <c r="I414" s="2" t="s">
        <v>926</v>
      </c>
    </row>
    <row r="415" spans="1:9" ht="15.75" customHeight="1">
      <c r="A415" s="2" t="s">
        <v>645</v>
      </c>
      <c r="B415" s="2" t="s">
        <v>916</v>
      </c>
      <c r="C415" s="2" t="str">
        <f ca="1">IFERROR(__xludf.DUMMYFUNCTION("googletranslate(C415,""en"",""ne"")"),"रौतामा गाउँपालिका")</f>
        <v>रौतामा गाउँपालिका</v>
      </c>
      <c r="D415" s="3" t="str">
        <f ca="1">IFERROR(__xludf.DUMMYFUNCTION("googletranslate(D415,""en"",""ne"")"),"अध्यक्ष")</f>
        <v>अध्यक्ष</v>
      </c>
      <c r="E415" s="2" t="s">
        <v>30</v>
      </c>
      <c r="F415" s="2" t="s">
        <v>927</v>
      </c>
      <c r="G415" s="2" t="s">
        <v>8</v>
      </c>
      <c r="H415" s="2" t="s">
        <v>91</v>
      </c>
      <c r="I415" s="2" t="s">
        <v>928</v>
      </c>
    </row>
    <row r="416" spans="1:9" ht="15.75" customHeight="1">
      <c r="A416" s="2" t="s">
        <v>645</v>
      </c>
      <c r="B416" s="2" t="s">
        <v>916</v>
      </c>
      <c r="C416" s="2" t="str">
        <f ca="1">IFERROR(__xludf.DUMMYFUNCTION("googletranslate(C416,""en"",""ne"")"),"लिम्चुङ्बुङ गाउँपालिका")</f>
        <v>लिम्चुङ्बुङ गाउँपालिका</v>
      </c>
      <c r="D416" s="3" t="str">
        <f ca="1">IFERROR(__xludf.DUMMYFUNCTION("googletranslate(D416,""en"",""ne"")"),"अध्यक्ष")</f>
        <v>अध्यक्ष</v>
      </c>
      <c r="E416" s="2" t="s">
        <v>30</v>
      </c>
      <c r="F416" s="2" t="s">
        <v>929</v>
      </c>
      <c r="G416" s="2" t="s">
        <v>8</v>
      </c>
      <c r="H416" s="2" t="s">
        <v>190</v>
      </c>
      <c r="I416" s="2" t="s">
        <v>930</v>
      </c>
    </row>
    <row r="417" spans="1:9" ht="15.75" customHeight="1">
      <c r="A417" s="2" t="s">
        <v>645</v>
      </c>
      <c r="B417" s="2" t="s">
        <v>916</v>
      </c>
      <c r="C417" s="2" t="str">
        <f ca="1">IFERROR(__xludf.DUMMYFUNCTION("googletranslate(C417,""en"",""ne"")"),"वेलका नगरपालिका")</f>
        <v>वेलका नगरपालिका</v>
      </c>
      <c r="D417" s="3" t="str">
        <f ca="1">IFERROR(__xludf.DUMMYFUNCTION("googletranslate(D417,""en"",""ne"")"),"मेयर")</f>
        <v>मेयर</v>
      </c>
      <c r="E417" s="2" t="s">
        <v>11</v>
      </c>
      <c r="F417" s="2" t="s">
        <v>931</v>
      </c>
      <c r="G417" s="2" t="s">
        <v>8</v>
      </c>
      <c r="H417" s="2" t="s">
        <v>64</v>
      </c>
      <c r="I417" s="2" t="s">
        <v>932</v>
      </c>
    </row>
    <row r="418" spans="1:9" ht="15.75" customHeight="1">
      <c r="A418" s="2" t="s">
        <v>933</v>
      </c>
      <c r="B418" s="2" t="s">
        <v>934</v>
      </c>
      <c r="C418" s="2" t="str">
        <f ca="1">IFERROR(__xludf.DUMMYFUNCTION("googletranslate(C418,""en"",""ne"")"),"छत्रदेव गाउँपालिका")</f>
        <v>छत्रदेव गाउँपालिका</v>
      </c>
      <c r="D418" s="3" t="str">
        <f ca="1">IFERROR(__xludf.DUMMYFUNCTION("googletranslate(D418,""en"",""ne"")"),"अध्यक्ष")</f>
        <v>अध्यक्ष</v>
      </c>
      <c r="E418" s="2" t="s">
        <v>11</v>
      </c>
      <c r="F418" s="2" t="s">
        <v>935</v>
      </c>
      <c r="G418" s="2" t="s">
        <v>8</v>
      </c>
      <c r="H418" s="2" t="s">
        <v>708</v>
      </c>
      <c r="I418" s="2" t="s">
        <v>936</v>
      </c>
    </row>
    <row r="419" spans="1:9" ht="15.75" customHeight="1">
      <c r="A419" s="2" t="s">
        <v>933</v>
      </c>
      <c r="B419" s="2" t="s">
        <v>934</v>
      </c>
      <c r="C419" s="2" t="str">
        <f ca="1">IFERROR(__xludf.DUMMYFUNCTION("googletranslate(C419,""en"",""ne"")"),"पाणिनी गाउँपालिका")</f>
        <v>पाणिनी गाउँपालिका</v>
      </c>
      <c r="D419" s="3" t="str">
        <f ca="1">IFERROR(__xludf.DUMMYFUNCTION("googletranslate(D419,""en"",""ne"")"),"अध्यक्ष")</f>
        <v>अध्यक्ष</v>
      </c>
      <c r="E419" s="2" t="s">
        <v>18</v>
      </c>
      <c r="F419" s="2" t="s">
        <v>937</v>
      </c>
      <c r="G419" s="2" t="s">
        <v>8</v>
      </c>
      <c r="H419" s="2" t="s">
        <v>67</v>
      </c>
      <c r="I419" s="2" t="s">
        <v>938</v>
      </c>
    </row>
    <row r="420" spans="1:9" ht="15.75" customHeight="1">
      <c r="A420" s="2" t="s">
        <v>933</v>
      </c>
      <c r="B420" s="2" t="s">
        <v>934</v>
      </c>
      <c r="C420" s="2" t="str">
        <f ca="1">IFERROR(__xludf.DUMMYFUNCTION("googletranslate(C420,""en"",""ne"")"),"भूमिकास्थान नगरपालिका")</f>
        <v>भूमिकास्थान नगरपालिका</v>
      </c>
      <c r="D420" s="3" t="str">
        <f ca="1">IFERROR(__xludf.DUMMYFUNCTION("googletranslate(D420,""en"",""ne"")"),"मेयर")</f>
        <v>मेयर</v>
      </c>
      <c r="E420" s="2" t="s">
        <v>308</v>
      </c>
      <c r="F420" s="2" t="s">
        <v>939</v>
      </c>
      <c r="G420" s="2" t="s">
        <v>8</v>
      </c>
      <c r="H420" s="2" t="s">
        <v>23</v>
      </c>
      <c r="I420" s="2" t="s">
        <v>940</v>
      </c>
    </row>
    <row r="421" spans="1:9" ht="15.75" customHeight="1">
      <c r="A421" s="2" t="s">
        <v>933</v>
      </c>
      <c r="B421" s="2" t="s">
        <v>934</v>
      </c>
      <c r="C421" s="2" t="str">
        <f ca="1">IFERROR(__xludf.DUMMYFUNCTION("googletranslate(C421,""en"",""ne"")"),"मालारानी गाउँपालिका")</f>
        <v>मालारानी गाउँपालिका</v>
      </c>
      <c r="D421" s="3" t="str">
        <f ca="1">IFERROR(__xludf.DUMMYFUNCTION("googletranslate(D421,""en"",""ne"")"),"अध्यक्ष")</f>
        <v>अध्यक्ष</v>
      </c>
      <c r="E421" s="2" t="s">
        <v>18</v>
      </c>
      <c r="F421" s="2" t="s">
        <v>941</v>
      </c>
      <c r="G421" s="2" t="s">
        <v>8</v>
      </c>
      <c r="H421" s="2" t="s">
        <v>479</v>
      </c>
      <c r="I421" s="2" t="s">
        <v>942</v>
      </c>
    </row>
    <row r="422" spans="1:9" ht="15.75" customHeight="1">
      <c r="A422" s="2" t="s">
        <v>933</v>
      </c>
      <c r="B422" s="2" t="s">
        <v>934</v>
      </c>
      <c r="C422" s="2" t="str">
        <f ca="1">IFERROR(__xludf.DUMMYFUNCTION("googletranslate(C422,""en"",""ne"")"),"सन्धिखर्क नगरपालिका")</f>
        <v>सन्धिखर्क नगरपालिका</v>
      </c>
      <c r="D422" s="3" t="str">
        <f ca="1">IFERROR(__xludf.DUMMYFUNCTION("googletranslate(D422,""en"",""ne"")"),"मेयर")</f>
        <v>मेयर</v>
      </c>
      <c r="E422" s="2" t="s">
        <v>18</v>
      </c>
      <c r="F422" s="2" t="s">
        <v>943</v>
      </c>
      <c r="G422" s="2" t="s">
        <v>8</v>
      </c>
      <c r="H422" s="2" t="s">
        <v>45</v>
      </c>
      <c r="I422" s="2" t="s">
        <v>944</v>
      </c>
    </row>
    <row r="423" spans="1:9" ht="15.75" customHeight="1">
      <c r="A423" s="2" t="s">
        <v>933</v>
      </c>
      <c r="B423" s="2" t="s">
        <v>934</v>
      </c>
      <c r="C423" s="2" t="str">
        <f ca="1">IFERROR(__xludf.DUMMYFUNCTION("googletranslate(C423,""en"",""ne"")"),"सितागंगा नगरपालिका")</f>
        <v>सितागंगा नगरपालिका</v>
      </c>
      <c r="D423" s="3" t="str">
        <f ca="1">IFERROR(__xludf.DUMMYFUNCTION("googletranslate(D423,""en"",""ne"")"),"मेयर")</f>
        <v>मेयर</v>
      </c>
      <c r="E423" s="2" t="s">
        <v>11</v>
      </c>
      <c r="F423" s="2" t="s">
        <v>945</v>
      </c>
      <c r="G423" s="2" t="s">
        <v>8</v>
      </c>
      <c r="H423" s="2" t="s">
        <v>98</v>
      </c>
      <c r="I423" s="2" t="s">
        <v>946</v>
      </c>
    </row>
    <row r="424" spans="1:9" ht="15.75" customHeight="1">
      <c r="A424" s="2" t="s">
        <v>933</v>
      </c>
      <c r="B424" s="2" t="s">
        <v>947</v>
      </c>
      <c r="C424" s="2" t="str">
        <f ca="1">IFERROR(__xludf.DUMMYFUNCTION("googletranslate(C424,""en"",""ne"")"),"खजुरा गाउँपालिका")</f>
        <v>खजुरा गाउँपालिका</v>
      </c>
      <c r="D424" s="3" t="str">
        <f ca="1">IFERROR(__xludf.DUMMYFUNCTION("googletranslate(D424,""en"",""ne"")"),"अध्यक्ष")</f>
        <v>अध्यक्ष</v>
      </c>
      <c r="E424" s="2" t="s">
        <v>30</v>
      </c>
      <c r="F424" s="2" t="s">
        <v>948</v>
      </c>
      <c r="G424" s="2" t="s">
        <v>8</v>
      </c>
      <c r="H424" s="2" t="s">
        <v>58</v>
      </c>
      <c r="I424" s="2" t="s">
        <v>949</v>
      </c>
    </row>
    <row r="425" spans="1:9" ht="15.75" customHeight="1">
      <c r="A425" s="2" t="s">
        <v>933</v>
      </c>
      <c r="B425" s="2" t="s">
        <v>947</v>
      </c>
      <c r="C425" s="2" t="str">
        <f ca="1">IFERROR(__xludf.DUMMYFUNCTION("googletranslate(C425,""en"",""ne"")"),"कोहलपुर नगरपालिका")</f>
        <v>कोहलपुर नगरपालिका</v>
      </c>
      <c r="D425" s="3" t="str">
        <f ca="1">IFERROR(__xludf.DUMMYFUNCTION("googletranslate(D425,""en"",""ne"")"),"मेयर")</f>
        <v>मेयर</v>
      </c>
      <c r="E425" s="2" t="s">
        <v>11</v>
      </c>
      <c r="F425" s="2" t="s">
        <v>950</v>
      </c>
      <c r="G425" s="2" t="s">
        <v>8</v>
      </c>
      <c r="H425" s="2" t="s">
        <v>41</v>
      </c>
      <c r="I425" s="2" t="s">
        <v>951</v>
      </c>
    </row>
    <row r="426" spans="1:9" ht="15.75" customHeight="1">
      <c r="A426" s="2" t="s">
        <v>933</v>
      </c>
      <c r="B426" s="2" t="s">
        <v>947</v>
      </c>
      <c r="C426" s="2" t="str">
        <f ca="1">IFERROR(__xludf.DUMMYFUNCTION("googletranslate(C426,""en"",""ne"")"),"नेपालगन्ज उपमहानगरपालिका")</f>
        <v>नेपालगन्ज उपमहानगरपालिका</v>
      </c>
      <c r="D426" s="3" t="str">
        <f ca="1">IFERROR(__xludf.DUMMYFUNCTION("googletranslate(D426,""en"",""ne"")"),"मेयर")</f>
        <v>मेयर</v>
      </c>
      <c r="E426" s="2" t="s">
        <v>11</v>
      </c>
      <c r="F426" s="2" t="s">
        <v>952</v>
      </c>
      <c r="G426" s="2" t="s">
        <v>8</v>
      </c>
      <c r="H426" s="2" t="s">
        <v>159</v>
      </c>
      <c r="I426" s="2" t="s">
        <v>953</v>
      </c>
    </row>
    <row r="427" spans="1:9" ht="15.75" customHeight="1">
      <c r="A427" s="2" t="s">
        <v>933</v>
      </c>
      <c r="B427" s="2" t="s">
        <v>947</v>
      </c>
      <c r="C427" s="2" t="str">
        <f ca="1">IFERROR(__xludf.DUMMYFUNCTION("googletranslate(C427,""en"",""ne"")"),"जानकीपाल गाउँपालिका")</f>
        <v>जानकीपाल गाउँपालिका</v>
      </c>
      <c r="D427" s="3" t="str">
        <f ca="1">IFERROR(__xludf.DUMMYFUNCTION("googletranslate(D427,""en"",""ne"")"),"अध्यक्ष")</f>
        <v>अध्यक्ष</v>
      </c>
      <c r="E427" s="2" t="s">
        <v>11</v>
      </c>
      <c r="F427" s="2" t="s">
        <v>954</v>
      </c>
      <c r="G427" s="2" t="s">
        <v>8</v>
      </c>
      <c r="H427" s="2" t="s">
        <v>9</v>
      </c>
      <c r="I427" s="2" t="s">
        <v>955</v>
      </c>
    </row>
    <row r="428" spans="1:9" ht="15.75" customHeight="1">
      <c r="A428" s="2" t="s">
        <v>933</v>
      </c>
      <c r="B428" s="2" t="s">
        <v>947</v>
      </c>
      <c r="C428" s="2" t="str">
        <f ca="1">IFERROR(__xludf.DUMMYFUNCTION("googletranslate(C428,""en"",""ne"")"),"डुडुवा गाउँपालिका")</f>
        <v>डुडुवा गाउँपालिका</v>
      </c>
      <c r="D428" s="3" t="str">
        <f ca="1">IFERROR(__xludf.DUMMYFUNCTION("googletranslate(D428,""en"",""ne"")"),"अध्यक्ष")</f>
        <v>अध्यक्ष</v>
      </c>
      <c r="E428" s="2" t="s">
        <v>11</v>
      </c>
      <c r="F428" s="2" t="s">
        <v>956</v>
      </c>
      <c r="G428" s="2" t="s">
        <v>8</v>
      </c>
      <c r="H428" s="2" t="s">
        <v>45</v>
      </c>
      <c r="I428" s="2" t="s">
        <v>957</v>
      </c>
    </row>
    <row r="429" spans="1:9" ht="15.75" customHeight="1">
      <c r="A429" s="2" t="s">
        <v>933</v>
      </c>
      <c r="B429" s="2" t="s">
        <v>947</v>
      </c>
      <c r="C429" s="2" t="str">
        <f ca="1">IFERROR(__xludf.DUMMYFUNCTION("googletranslate(C429,""en"",""ne"")"),"नरैनापुर गाउँपालिका")</f>
        <v>नरैनापुर गाउँपालिका</v>
      </c>
      <c r="D429" s="3" t="str">
        <f ca="1">IFERROR(__xludf.DUMMYFUNCTION("googletranslate(D429,""en"",""ne"")"),"अध्यक्ष")</f>
        <v>अध्यक्ष</v>
      </c>
      <c r="E429" s="2" t="s">
        <v>789</v>
      </c>
      <c r="F429" s="2" t="s">
        <v>958</v>
      </c>
      <c r="G429" s="2" t="s">
        <v>8</v>
      </c>
      <c r="H429" s="2" t="s">
        <v>64</v>
      </c>
      <c r="I429" s="2" t="s">
        <v>959</v>
      </c>
    </row>
    <row r="430" spans="1:9" ht="15.75" customHeight="1">
      <c r="A430" s="2" t="s">
        <v>933</v>
      </c>
      <c r="B430" s="2" t="s">
        <v>947</v>
      </c>
      <c r="C430" s="2" t="str">
        <f ca="1">IFERROR(__xludf.DUMMYFUNCTION("googletranslate(C430,""en"",""ne"")"),"बैजनाथ गाउँपालिका")</f>
        <v>बैजनाथ गाउँपालिका</v>
      </c>
      <c r="D430" s="3" t="str">
        <f ca="1">IFERROR(__xludf.DUMMYFUNCTION("googletranslate(D430,""en"",""ne"")"),"अध्यक्ष")</f>
        <v>अध्यक्ष</v>
      </c>
      <c r="E430" s="2" t="s">
        <v>11</v>
      </c>
      <c r="F430" s="2" t="s">
        <v>960</v>
      </c>
      <c r="G430" s="2" t="s">
        <v>8</v>
      </c>
      <c r="H430" s="2" t="s">
        <v>23</v>
      </c>
      <c r="I430" s="2" t="s">
        <v>961</v>
      </c>
    </row>
    <row r="431" spans="1:9" ht="15.75" customHeight="1">
      <c r="A431" s="2" t="s">
        <v>933</v>
      </c>
      <c r="B431" s="2" t="s">
        <v>947</v>
      </c>
      <c r="C431" s="2" t="str">
        <f ca="1">IFERROR(__xludf.DUMMYFUNCTION("googletranslate(C431,""en"",""ne"")"),"राप्ती सोनारी गाउँपालिका")</f>
        <v>राप्ती सोनारी गाउँपालिका</v>
      </c>
      <c r="D431" s="3" t="str">
        <f ca="1">IFERROR(__xludf.DUMMYFUNCTION("googletranslate(D431,""en"",""ne"")"),"अध्यक्ष")</f>
        <v>अध्यक्ष</v>
      </c>
      <c r="E431" s="2" t="s">
        <v>11</v>
      </c>
      <c r="F431" s="2" t="s">
        <v>962</v>
      </c>
      <c r="G431" s="2" t="s">
        <v>8</v>
      </c>
      <c r="H431" s="2" t="s">
        <v>23</v>
      </c>
      <c r="I431" s="2" t="s">
        <v>963</v>
      </c>
    </row>
    <row r="432" spans="1:9" ht="15.75" customHeight="1">
      <c r="A432" s="2" t="s">
        <v>933</v>
      </c>
      <c r="B432" s="2" t="s">
        <v>964</v>
      </c>
      <c r="C432" s="2" t="str">
        <f ca="1">IFERROR(__xludf.DUMMYFUNCTION("googletranslate(C432,""en"",""ne"")"),"गुलरिया नगरपालिका")</f>
        <v>गुलरिया नगरपालिका</v>
      </c>
      <c r="D432" s="3" t="str">
        <f ca="1">IFERROR(__xludf.DUMMYFUNCTION("googletranslate(D432,""en"",""ne"")"),"मेयर")</f>
        <v>मेयर</v>
      </c>
      <c r="E432" s="2" t="s">
        <v>11</v>
      </c>
      <c r="F432" s="2" t="s">
        <v>965</v>
      </c>
      <c r="G432" s="2" t="s">
        <v>8</v>
      </c>
      <c r="H432" s="2" t="s">
        <v>13</v>
      </c>
      <c r="I432" s="2" t="s">
        <v>966</v>
      </c>
    </row>
    <row r="433" spans="1:9" ht="15.75" customHeight="1">
      <c r="A433" s="2" t="s">
        <v>933</v>
      </c>
      <c r="B433" s="2" t="s">
        <v>964</v>
      </c>
      <c r="C433" s="2" t="str">
        <f ca="1">IFERROR(__xludf.DUMMYFUNCTION("googletranslate(C433,""en"",""ne"")"),"गेरुवा गाउँपालिका")</f>
        <v>गेरुवा गाउँपालिका</v>
      </c>
      <c r="D433" s="3" t="str">
        <f ca="1">IFERROR(__xludf.DUMMYFUNCTION("googletranslate(D433,""en"",""ne"")"),"अध्यक्ष")</f>
        <v>अध्यक्ष</v>
      </c>
      <c r="E433" s="2" t="s">
        <v>11</v>
      </c>
      <c r="F433" s="2" t="s">
        <v>967</v>
      </c>
      <c r="G433" s="2" t="s">
        <v>8</v>
      </c>
      <c r="H433" s="2" t="s">
        <v>26</v>
      </c>
      <c r="I433" s="2" t="s">
        <v>968</v>
      </c>
    </row>
    <row r="434" spans="1:9" ht="15.75" customHeight="1">
      <c r="A434" s="2" t="s">
        <v>933</v>
      </c>
      <c r="B434" s="2" t="s">
        <v>964</v>
      </c>
      <c r="C434" s="2" t="str">
        <f ca="1">IFERROR(__xludf.DUMMYFUNCTION("googletranslate(C434,""en"",""ne"")"),"ठाकुरबाबा नगरपालिका")</f>
        <v>ठाकुरबाबा नगरपालिका</v>
      </c>
      <c r="D434" s="3" t="str">
        <f ca="1">IFERROR(__xludf.DUMMYFUNCTION("googletranslate(D434,""en"",""ne"")"),"मेयर")</f>
        <v>मेयर</v>
      </c>
      <c r="E434" s="2" t="s">
        <v>11</v>
      </c>
      <c r="F434" s="2" t="s">
        <v>969</v>
      </c>
      <c r="G434" s="2" t="s">
        <v>8</v>
      </c>
      <c r="H434" s="2" t="s">
        <v>151</v>
      </c>
      <c r="I434" s="2" t="s">
        <v>970</v>
      </c>
    </row>
    <row r="435" spans="1:9" ht="15.75" customHeight="1">
      <c r="A435" s="2" t="s">
        <v>933</v>
      </c>
      <c r="B435" s="2" t="s">
        <v>964</v>
      </c>
      <c r="C435" s="2" t="str">
        <f ca="1">IFERROR(__xludf.DUMMYFUNCTION("googletranslate(C435,""en"",""ne"")"),"बढैयाताल गाउँपालिका")</f>
        <v>बढैयाताल गाउँपालिका</v>
      </c>
      <c r="D435" s="3" t="str">
        <f ca="1">IFERROR(__xludf.DUMMYFUNCTION("googletranslate(D435,""en"",""ne"")"),"अध्यक्ष")</f>
        <v>अध्यक्ष</v>
      </c>
      <c r="E435" s="2" t="s">
        <v>30</v>
      </c>
      <c r="F435" s="2" t="s">
        <v>971</v>
      </c>
      <c r="G435" s="2" t="s">
        <v>8</v>
      </c>
      <c r="H435" s="2" t="s">
        <v>16</v>
      </c>
      <c r="I435" s="2" t="s">
        <v>972</v>
      </c>
    </row>
    <row r="436" spans="1:9" ht="15.75" customHeight="1">
      <c r="A436" s="2" t="s">
        <v>933</v>
      </c>
      <c r="B436" s="2" t="s">
        <v>964</v>
      </c>
      <c r="C436" s="2" t="str">
        <f ca="1">IFERROR(__xludf.DUMMYFUNCTION("googletranslate(C436,""en"",""ne"")"),"बारबर्दिया नगरपालिका")</f>
        <v>बारबर्दिया नगरपालिका</v>
      </c>
      <c r="D436" s="3" t="str">
        <f ca="1">IFERROR(__xludf.DUMMYFUNCTION("googletranslate(D436,""en"",""ne"")"),"मेयर")</f>
        <v>मेयर</v>
      </c>
      <c r="E436" s="2" t="s">
        <v>11</v>
      </c>
      <c r="F436" s="2" t="s">
        <v>973</v>
      </c>
      <c r="G436" s="2" t="s">
        <v>8</v>
      </c>
      <c r="H436" s="2" t="s">
        <v>64</v>
      </c>
      <c r="I436" s="2" t="s">
        <v>974</v>
      </c>
    </row>
    <row r="437" spans="1:9" ht="15.75" customHeight="1">
      <c r="A437" s="2" t="s">
        <v>933</v>
      </c>
      <c r="B437" s="2" t="s">
        <v>964</v>
      </c>
      <c r="C437" s="2" t="str">
        <f ca="1">IFERROR(__xludf.DUMMYFUNCTION("googletranslate(C437,""en"",""ne"")"),"बासगढी नगरपालिका")</f>
        <v>बासगढी नगरपालिका</v>
      </c>
      <c r="D437" s="3" t="str">
        <f ca="1">IFERROR(__xludf.DUMMYFUNCTION("googletranslate(D437,""en"",""ne"")"),"मेयर")</f>
        <v>मेयर</v>
      </c>
      <c r="E437" s="2" t="s">
        <v>18</v>
      </c>
      <c r="F437" s="2" t="s">
        <v>975</v>
      </c>
      <c r="G437" s="2" t="s">
        <v>8</v>
      </c>
      <c r="H437" s="2" t="s">
        <v>50</v>
      </c>
      <c r="I437" s="2" t="s">
        <v>976</v>
      </c>
    </row>
    <row r="438" spans="1:9" ht="15.75" customHeight="1">
      <c r="A438" s="2" t="s">
        <v>933</v>
      </c>
      <c r="B438" s="2" t="s">
        <v>964</v>
      </c>
      <c r="C438" s="2" t="str">
        <f ca="1">IFERROR(__xludf.DUMMYFUNCTION("googletranslate(C438,""en"",""ne"")"),"मधुवन नगरपालिका")</f>
        <v>मधुवन नगरपालिका</v>
      </c>
      <c r="D438" s="3" t="str">
        <f ca="1">IFERROR(__xludf.DUMMYFUNCTION("googletranslate(D438,""en"",""ne"")"),"मेयर")</f>
        <v>मेयर</v>
      </c>
      <c r="E438" s="2" t="s">
        <v>11</v>
      </c>
      <c r="F438" s="2" t="s">
        <v>977</v>
      </c>
      <c r="G438" s="2" t="s">
        <v>8</v>
      </c>
      <c r="H438" s="2" t="s">
        <v>45</v>
      </c>
      <c r="I438" s="2" t="s">
        <v>978</v>
      </c>
    </row>
    <row r="439" spans="1:9" ht="15.75" customHeight="1">
      <c r="A439" s="2" t="s">
        <v>933</v>
      </c>
      <c r="B439" s="2" t="s">
        <v>964</v>
      </c>
      <c r="C439" s="2" t="str">
        <f ca="1">IFERROR(__xludf.DUMMYFUNCTION("googletranslate(C439,""en"",""ne"")"),"राजापुर नगरपालिका")</f>
        <v>राजापुर नगरपालिका</v>
      </c>
      <c r="D439" s="3" t="str">
        <f ca="1">IFERROR(__xludf.DUMMYFUNCTION("googletranslate(D439,""en"",""ne"")"),"मेयर")</f>
        <v>मेयर</v>
      </c>
      <c r="E439" s="2" t="s">
        <v>30</v>
      </c>
      <c r="F439" s="2" t="s">
        <v>979</v>
      </c>
      <c r="G439" s="2" t="s">
        <v>8</v>
      </c>
      <c r="H439" s="2" t="s">
        <v>200</v>
      </c>
      <c r="I439" s="2" t="s">
        <v>980</v>
      </c>
    </row>
    <row r="440" spans="1:9" ht="15.75" customHeight="1">
      <c r="A440" s="2" t="s">
        <v>933</v>
      </c>
      <c r="B440" s="2" t="s">
        <v>981</v>
      </c>
      <c r="C440" s="2" t="str">
        <f ca="1">IFERROR(__xludf.DUMMYFUNCTION("googletranslate(C440,""en"",""ne"")"),"गढवा गाउँपालिका")</f>
        <v>गढवा गाउँपालिका</v>
      </c>
      <c r="D440" s="3" t="str">
        <f ca="1">IFERROR(__xludf.DUMMYFUNCTION("googletranslate(D440,""en"",""ne"")"),"अध्यक्ष")</f>
        <v>अध्यक्ष</v>
      </c>
      <c r="E440" s="2" t="s">
        <v>30</v>
      </c>
      <c r="F440" s="2" t="s">
        <v>982</v>
      </c>
      <c r="G440" s="2" t="s">
        <v>8</v>
      </c>
      <c r="H440" s="2" t="s">
        <v>190</v>
      </c>
      <c r="I440" s="2" t="s">
        <v>983</v>
      </c>
    </row>
    <row r="441" spans="1:9" ht="15.75" customHeight="1">
      <c r="A441" s="2" t="s">
        <v>933</v>
      </c>
      <c r="B441" s="2" t="s">
        <v>981</v>
      </c>
      <c r="C441" s="2" t="str">
        <f ca="1">IFERROR(__xludf.DUMMYFUNCTION("googletranslate(C441,""en"",""ne"")"),"घोराही उपमहानगरपालिका")</f>
        <v>घोराही उपमहानगरपालिका</v>
      </c>
      <c r="D441" s="3" t="str">
        <f ca="1">IFERROR(__xludf.DUMMYFUNCTION("googletranslate(D441,""en"",""ne"")"),"मेयर")</f>
        <v>मेयर</v>
      </c>
      <c r="E441" s="2" t="s">
        <v>18</v>
      </c>
      <c r="F441" s="2" t="s">
        <v>984</v>
      </c>
      <c r="G441" s="2" t="s">
        <v>8</v>
      </c>
      <c r="H441" s="2" t="s">
        <v>67</v>
      </c>
      <c r="I441" s="2" t="s">
        <v>985</v>
      </c>
    </row>
    <row r="442" spans="1:9" ht="15.75" customHeight="1">
      <c r="A442" s="2" t="s">
        <v>933</v>
      </c>
      <c r="B442" s="2" t="s">
        <v>981</v>
      </c>
      <c r="C442" s="2" t="str">
        <f ca="1">IFERROR(__xludf.DUMMYFUNCTION("googletranslate(C442,""en"",""ne"")"),"तुल्सीपुर उपमहानगरपालिका")</f>
        <v>तुल्सीपुर उपमहानगरपालिका</v>
      </c>
      <c r="D442" s="3" t="str">
        <f ca="1">IFERROR(__xludf.DUMMYFUNCTION("googletranslate(D442,""en"",""ne"")"),"मेयर")</f>
        <v>मेयर</v>
      </c>
      <c r="E442" s="2" t="s">
        <v>18</v>
      </c>
      <c r="F442" s="2" t="s">
        <v>986</v>
      </c>
      <c r="G442" s="2" t="s">
        <v>8</v>
      </c>
      <c r="H442" s="2" t="s">
        <v>67</v>
      </c>
      <c r="I442" s="2" t="s">
        <v>987</v>
      </c>
    </row>
    <row r="443" spans="1:9" ht="15.75" customHeight="1">
      <c r="A443" s="2" t="s">
        <v>933</v>
      </c>
      <c r="B443" s="2" t="s">
        <v>981</v>
      </c>
      <c r="C443" s="2" t="str">
        <f ca="1">IFERROR(__xludf.DUMMYFUNCTION("googletranslate(C443,""en"",""ne"")"),"दंगिशरण गाउँपालिका")</f>
        <v>दंगिशरण गाउँपालिका</v>
      </c>
      <c r="D443" s="3" t="str">
        <f ca="1">IFERROR(__xludf.DUMMYFUNCTION("googletranslate(D443,""en"",""ne"")"),"अध्यक्ष")</f>
        <v>अध्यक्ष</v>
      </c>
      <c r="E443" s="2" t="s">
        <v>11</v>
      </c>
      <c r="F443" s="2" t="s">
        <v>988</v>
      </c>
      <c r="G443" s="2" t="s">
        <v>8</v>
      </c>
      <c r="H443" s="2" t="s">
        <v>9</v>
      </c>
      <c r="I443" s="2" t="s">
        <v>989</v>
      </c>
    </row>
    <row r="444" spans="1:9" ht="15.75" customHeight="1">
      <c r="A444" s="2" t="s">
        <v>933</v>
      </c>
      <c r="B444" s="2" t="s">
        <v>981</v>
      </c>
      <c r="C444" s="2" t="str">
        <f ca="1">IFERROR(__xludf.DUMMYFUNCTION("googletranslate(C444,""en"",""ne"")"),"बंगलाचुली गाउँपालिका")</f>
        <v>बंगलाचुली गाउँपालिका</v>
      </c>
      <c r="D444" s="3" t="str">
        <f ca="1">IFERROR(__xludf.DUMMYFUNCTION("googletranslate(D444,""en"",""ne"")"),"अध्यक्ष")</f>
        <v>अध्यक्ष</v>
      </c>
      <c r="E444" s="2" t="s">
        <v>30</v>
      </c>
      <c r="F444" s="2" t="s">
        <v>990</v>
      </c>
      <c r="G444" s="2" t="s">
        <v>8</v>
      </c>
      <c r="H444" s="2" t="s">
        <v>190</v>
      </c>
      <c r="I444" s="2" t="s">
        <v>357</v>
      </c>
    </row>
    <row r="445" spans="1:9" ht="15.75" customHeight="1">
      <c r="A445" s="2" t="s">
        <v>933</v>
      </c>
      <c r="B445" s="2" t="s">
        <v>981</v>
      </c>
      <c r="C445" s="2" t="str">
        <f ca="1">IFERROR(__xludf.DUMMYFUNCTION("googletranslate(C445,""en"",""ne"")"),"बबई गाउँपालिका")</f>
        <v>बबई गाउँपालिका</v>
      </c>
      <c r="D445" s="3" t="str">
        <f ca="1">IFERROR(__xludf.DUMMYFUNCTION("googletranslate(D445,""en"",""ne"")"),"अध्यक्ष")</f>
        <v>अध्यक्ष</v>
      </c>
      <c r="E445" s="2" t="s">
        <v>11</v>
      </c>
      <c r="F445" s="2" t="s">
        <v>991</v>
      </c>
      <c r="G445" s="2" t="s">
        <v>8</v>
      </c>
      <c r="H445" s="2" t="s">
        <v>98</v>
      </c>
      <c r="I445" s="2" t="s">
        <v>992</v>
      </c>
    </row>
    <row r="446" spans="1:9" ht="15.75" customHeight="1">
      <c r="A446" s="2" t="s">
        <v>933</v>
      </c>
      <c r="B446" s="2" t="s">
        <v>981</v>
      </c>
      <c r="C446" s="2" t="str">
        <f ca="1">IFERROR(__xludf.DUMMYFUNCTION("googletranslate(C446,""en"",""ne"")"),"राजपुर गाउँपालिका")</f>
        <v>राजपुर गाउँपालिका</v>
      </c>
      <c r="D446" s="3" t="str">
        <f ca="1">IFERROR(__xludf.DUMMYFUNCTION("googletranslate(D446,""en"",""ne"")"),"अध्यक्ष")</f>
        <v>अध्यक्ष</v>
      </c>
      <c r="E446" s="2" t="s">
        <v>11</v>
      </c>
      <c r="F446" s="2" t="s">
        <v>993</v>
      </c>
      <c r="G446" s="2" t="s">
        <v>8</v>
      </c>
      <c r="H446" s="2" t="s">
        <v>16</v>
      </c>
      <c r="I446" s="2" t="s">
        <v>654</v>
      </c>
    </row>
    <row r="447" spans="1:9" ht="15.75" customHeight="1">
      <c r="A447" s="2" t="s">
        <v>933</v>
      </c>
      <c r="B447" s="2" t="s">
        <v>981</v>
      </c>
      <c r="C447" s="2" t="str">
        <f ca="1">IFERROR(__xludf.DUMMYFUNCTION("googletranslate(C447,""en"",""ne"")"),"राप्ती गाउँपालिका")</f>
        <v>राप्ती गाउँपालिका</v>
      </c>
      <c r="D447" s="3" t="str">
        <f ca="1">IFERROR(__xludf.DUMMYFUNCTION("googletranslate(D447,""en"",""ne"")"),"अध्यक्ष")</f>
        <v>अध्यक्ष</v>
      </c>
      <c r="E447" s="2" t="s">
        <v>30</v>
      </c>
      <c r="F447" s="2" t="s">
        <v>994</v>
      </c>
      <c r="G447" s="2" t="s">
        <v>8</v>
      </c>
      <c r="H447" s="2" t="s">
        <v>190</v>
      </c>
      <c r="I447" s="2" t="s">
        <v>995</v>
      </c>
    </row>
    <row r="448" spans="1:9" ht="15.75" customHeight="1">
      <c r="A448" s="2" t="s">
        <v>933</v>
      </c>
      <c r="B448" s="2" t="s">
        <v>981</v>
      </c>
      <c r="C448" s="2" t="str">
        <f ca="1">IFERROR(__xludf.DUMMYFUNCTION("googletranslate(C448,""en"",""ne"")"),"लमही नगरपालिका")</f>
        <v>लमही नगरपालिका</v>
      </c>
      <c r="D448" s="3" t="str">
        <f ca="1">IFERROR(__xludf.DUMMYFUNCTION("googletranslate(D448,""en"",""ne"")"),"मेयर")</f>
        <v>मेयर</v>
      </c>
      <c r="E448" s="2" t="s">
        <v>11</v>
      </c>
      <c r="F448" s="2" t="s">
        <v>996</v>
      </c>
      <c r="G448" s="2" t="s">
        <v>8</v>
      </c>
      <c r="H448" s="2" t="s">
        <v>694</v>
      </c>
      <c r="I448" s="2" t="s">
        <v>997</v>
      </c>
    </row>
    <row r="449" spans="1:9" ht="15.75" customHeight="1">
      <c r="A449" s="2" t="s">
        <v>933</v>
      </c>
      <c r="B449" s="2" t="s">
        <v>981</v>
      </c>
      <c r="C449" s="2" t="str">
        <f ca="1">IFERROR(__xludf.DUMMYFUNCTION("googletranslate(C449,""en"",""ne"")"),"शान्तिनगरपालिका गाउँपालिका")</f>
        <v>शान्तिनगरपालिका गाउँपालिका</v>
      </c>
      <c r="D449" s="3" t="str">
        <f ca="1">IFERROR(__xludf.DUMMYFUNCTION("googletranslate(D449,""en"",""ne"")"),"अध्यक्ष")</f>
        <v>अध्यक्ष</v>
      </c>
      <c r="E449" s="2" t="s">
        <v>11</v>
      </c>
      <c r="F449" s="2" t="s">
        <v>998</v>
      </c>
      <c r="G449" s="2" t="s">
        <v>8</v>
      </c>
      <c r="H449" s="2" t="s">
        <v>200</v>
      </c>
      <c r="I449" s="2" t="s">
        <v>999</v>
      </c>
    </row>
    <row r="450" spans="1:9" ht="15.75" customHeight="1">
      <c r="A450" s="2" t="s">
        <v>933</v>
      </c>
      <c r="B450" s="2" t="s">
        <v>1000</v>
      </c>
      <c r="C450" s="2" t="str">
        <f ca="1">IFERROR(__xludf.DUMMYFUNCTION("googletranslate(C450,""en"",""ne"")"),"गुल्मीदरवार गाउँपालिका")</f>
        <v>गुल्मीदरवार गाउँपालिका</v>
      </c>
      <c r="D450" s="3" t="str">
        <f ca="1">IFERROR(__xludf.DUMMYFUNCTION("googletranslate(D450,""en"",""ne"")"),"अध्यक्ष")</f>
        <v>अध्यक्ष</v>
      </c>
      <c r="E450" s="2" t="s">
        <v>11</v>
      </c>
      <c r="F450" s="2" t="s">
        <v>1001</v>
      </c>
      <c r="G450" s="2" t="s">
        <v>8</v>
      </c>
      <c r="H450" s="2" t="s">
        <v>26</v>
      </c>
      <c r="I450" s="2" t="s">
        <v>1002</v>
      </c>
    </row>
    <row r="451" spans="1:9" ht="15.75" customHeight="1">
      <c r="A451" s="2" t="s">
        <v>933</v>
      </c>
      <c r="B451" s="2" t="s">
        <v>1000</v>
      </c>
      <c r="C451" s="2" t="str">
        <f ca="1">IFERROR(__xludf.DUMMYFUNCTION("googletranslate(C451,""en"",""ne"")"),"ईस्मा गाउँपालिका")</f>
        <v>ईस्मा गाउँपालिका</v>
      </c>
      <c r="D451" s="3" t="str">
        <f ca="1">IFERROR(__xludf.DUMMYFUNCTION("googletranslate(D451,""en"",""ne"")"),"अध्यक्ष")</f>
        <v>अध्यक्ष</v>
      </c>
      <c r="E451" s="2" t="s">
        <v>11</v>
      </c>
      <c r="F451" s="2" t="s">
        <v>1003</v>
      </c>
      <c r="G451" s="2" t="s">
        <v>8</v>
      </c>
      <c r="H451" s="2" t="s">
        <v>73</v>
      </c>
      <c r="I451" s="2" t="s">
        <v>1004</v>
      </c>
    </row>
    <row r="452" spans="1:9" ht="15.75" customHeight="1">
      <c r="A452" s="2" t="s">
        <v>933</v>
      </c>
      <c r="B452" s="2" t="s">
        <v>1000</v>
      </c>
      <c r="C452" s="2" t="str">
        <f ca="1">IFERROR(__xludf.DUMMYFUNCTION("googletranslate(C452,""en"",""ne"")"),"कालीगण्ड गाउँपालिका")</f>
        <v>कालीगण्ड गाउँपालिका</v>
      </c>
      <c r="D452" s="3" t="str">
        <f ca="1">IFERROR(__xludf.DUMMYFUNCTION("googletranslate(D452,""en"",""ne"")"),"अध्यक्ष")</f>
        <v>अध्यक्ष</v>
      </c>
      <c r="E452" s="2" t="s">
        <v>11</v>
      </c>
      <c r="F452" s="2" t="s">
        <v>1005</v>
      </c>
      <c r="G452" s="2" t="s">
        <v>8</v>
      </c>
      <c r="H452" s="2" t="s">
        <v>58</v>
      </c>
      <c r="I452" s="2" t="s">
        <v>1006</v>
      </c>
    </row>
    <row r="453" spans="1:9" ht="15.75" customHeight="1">
      <c r="A453" s="2" t="s">
        <v>933</v>
      </c>
      <c r="B453" s="2" t="s">
        <v>1000</v>
      </c>
      <c r="C453" s="2" t="str">
        <f ca="1">IFERROR(__xludf.DUMMYFUNCTION("googletranslate(C453,""en"",""ne"")"),"चन्द्रकोट गाउँपालिका")</f>
        <v>चन्द्रकोट गाउँपालिका</v>
      </c>
      <c r="D453" s="3" t="str">
        <f ca="1">IFERROR(__xludf.DUMMYFUNCTION("googletranslate(D453,""en"",""ne"")"),"अध्यक्ष")</f>
        <v>अध्यक्ष</v>
      </c>
      <c r="E453" s="2" t="s">
        <v>30</v>
      </c>
      <c r="F453" s="2" t="s">
        <v>1007</v>
      </c>
      <c r="G453" s="2" t="s">
        <v>8</v>
      </c>
      <c r="H453" s="2" t="s">
        <v>159</v>
      </c>
      <c r="I453" s="2" t="s">
        <v>1008</v>
      </c>
    </row>
    <row r="454" spans="1:9" ht="15.75" customHeight="1">
      <c r="A454" s="2" t="s">
        <v>933</v>
      </c>
      <c r="B454" s="2" t="s">
        <v>1000</v>
      </c>
      <c r="C454" s="2" t="str">
        <f ca="1">IFERROR(__xludf.DUMMYFUNCTION("googletranslate(C454,""en"",""ne"")"),"छत्रकोट गाउँपालिका")</f>
        <v>छत्रकोट गाउँपालिका</v>
      </c>
      <c r="D454" s="3" t="str">
        <f ca="1">IFERROR(__xludf.DUMMYFUNCTION("googletranslate(D454,""en"",""ne"")"),"अध्यक्ष")</f>
        <v>अध्यक्ष</v>
      </c>
      <c r="E454" s="2" t="s">
        <v>18</v>
      </c>
      <c r="F454" s="2" t="s">
        <v>1009</v>
      </c>
      <c r="G454" s="2" t="s">
        <v>8</v>
      </c>
      <c r="H454" s="2" t="s">
        <v>58</v>
      </c>
      <c r="I454" s="2" t="s">
        <v>1010</v>
      </c>
    </row>
    <row r="455" spans="1:9" ht="15.75" customHeight="1">
      <c r="A455" s="2" t="s">
        <v>933</v>
      </c>
      <c r="B455" s="2" t="s">
        <v>1000</v>
      </c>
      <c r="C455" s="2" t="str">
        <f ca="1">IFERROR(__xludf.DUMMYFUNCTION("googletranslate(C455,""en"",""ne"")"),"धुर्कोट गाउँपालिका")</f>
        <v>धुर्कोट गाउँपालिका</v>
      </c>
      <c r="D455" s="3" t="str">
        <f ca="1">IFERROR(__xludf.DUMMYFUNCTION("googletranslate(D455,""en"",""ne"")"),"अध्यक्ष")</f>
        <v>अध्यक्ष</v>
      </c>
      <c r="E455" s="2" t="s">
        <v>30</v>
      </c>
      <c r="F455" s="2" t="s">
        <v>1011</v>
      </c>
      <c r="G455" s="2" t="s">
        <v>8</v>
      </c>
      <c r="H455" s="2" t="s">
        <v>322</v>
      </c>
      <c r="I455" s="2" t="s">
        <v>1012</v>
      </c>
    </row>
    <row r="456" spans="1:9" ht="15.75" customHeight="1">
      <c r="A456" s="2" t="s">
        <v>933</v>
      </c>
      <c r="B456" s="2" t="s">
        <v>1000</v>
      </c>
      <c r="C456" s="2" t="str">
        <f ca="1">IFERROR(__xludf.DUMMYFUNCTION("googletranslate(C456,""en"",""ne"")"),"मदाने गाउँपालिका")</f>
        <v>मदाने गाउँपालिका</v>
      </c>
      <c r="D456" s="3" t="str">
        <f ca="1">IFERROR(__xludf.DUMMYFUNCTION("googletranslate(D456,""en"",""ne"")"),"अध्यक्ष")</f>
        <v>अध्यक्ष</v>
      </c>
      <c r="E456" s="2" t="s">
        <v>11</v>
      </c>
      <c r="F456" s="2" t="s">
        <v>1013</v>
      </c>
      <c r="G456" s="2" t="s">
        <v>8</v>
      </c>
      <c r="H456" s="2" t="s">
        <v>1014</v>
      </c>
      <c r="I456" s="2" t="s">
        <v>1015</v>
      </c>
    </row>
    <row r="457" spans="1:9" ht="15.75" customHeight="1">
      <c r="A457" s="2" t="s">
        <v>933</v>
      </c>
      <c r="B457" s="2" t="s">
        <v>1000</v>
      </c>
      <c r="C457" s="2" t="str">
        <f ca="1">IFERROR(__xludf.DUMMYFUNCTION("googletranslate(C457,""en"",""ne"")"),"सारापालिका गाउँपालिका")</f>
        <v>सारापालिका गाउँपालिका</v>
      </c>
      <c r="D457" s="3" t="str">
        <f ca="1">IFERROR(__xludf.DUMMYFUNCTION("googletranslate(D457,""en"",""ne"")"),"अध्यक्ष")</f>
        <v>अध्यक्ष</v>
      </c>
      <c r="E457" s="2" t="s">
        <v>30</v>
      </c>
      <c r="F457" s="2" t="s">
        <v>1016</v>
      </c>
      <c r="G457" s="2" t="s">
        <v>8</v>
      </c>
      <c r="H457" s="2" t="s">
        <v>159</v>
      </c>
      <c r="I457" s="2" t="s">
        <v>1017</v>
      </c>
    </row>
    <row r="458" spans="1:9" ht="15.75" customHeight="1">
      <c r="A458" s="2" t="s">
        <v>933</v>
      </c>
      <c r="B458" s="2" t="s">
        <v>1000</v>
      </c>
      <c r="C458" s="2" t="str">
        <f ca="1">IFERROR(__xludf.DUMMYFUNCTION("googletranslate(C458,""en"",""ne"")"),"मुसिकोट नगरपालिका")</f>
        <v>मुसिकोट नगरपालिका</v>
      </c>
      <c r="D458" s="3" t="str">
        <f ca="1">IFERROR(__xludf.DUMMYFUNCTION("googletranslate(D458,""en"",""ne"")"),"मेयर")</f>
        <v>मेयर</v>
      </c>
      <c r="E458" s="2" t="s">
        <v>18</v>
      </c>
      <c r="F458" s="2" t="s">
        <v>1018</v>
      </c>
      <c r="G458" s="2" t="s">
        <v>8</v>
      </c>
      <c r="H458" s="2" t="s">
        <v>172</v>
      </c>
      <c r="I458" s="2" t="s">
        <v>598</v>
      </c>
    </row>
    <row r="459" spans="1:9" ht="15.75" customHeight="1">
      <c r="A459" s="2" t="s">
        <v>933</v>
      </c>
      <c r="B459" s="2" t="s">
        <v>1000</v>
      </c>
      <c r="C459" s="2" t="str">
        <f ca="1">IFERROR(__xludf.DUMMYFUNCTION("googletranslate(C459,""en"",""ne"")"),"रुरुक्षेत्र गाउँपालिका")</f>
        <v>रुरुक्षेत्र गाउँपालिका</v>
      </c>
      <c r="D459" s="3" t="str">
        <f ca="1">IFERROR(__xludf.DUMMYFUNCTION("googletranslate(D459,""en"",""ne"")"),"अध्यक्ष")</f>
        <v>अध्यक्ष</v>
      </c>
      <c r="E459" s="2" t="s">
        <v>30</v>
      </c>
      <c r="F459" s="2" t="s">
        <v>1019</v>
      </c>
      <c r="G459" s="2" t="s">
        <v>8</v>
      </c>
      <c r="H459" s="2" t="s">
        <v>83</v>
      </c>
      <c r="I459" s="2" t="s">
        <v>1020</v>
      </c>
    </row>
    <row r="460" spans="1:9" ht="15.75" customHeight="1">
      <c r="A460" s="2" t="s">
        <v>933</v>
      </c>
      <c r="B460" s="2" t="s">
        <v>1000</v>
      </c>
      <c r="C460" s="2" t="str">
        <f ca="1">IFERROR(__xludf.DUMMYFUNCTION("googletranslate(C460,""en"",""ne"")"),"रेसुङ्गा नगरपालिका")</f>
        <v>रेसुङ्गा नगरपालिका</v>
      </c>
      <c r="D460" s="3" t="str">
        <f ca="1">IFERROR(__xludf.DUMMYFUNCTION("googletranslate(D460,""en"",""ne"")"),"मेयर")</f>
        <v>मेयर</v>
      </c>
      <c r="E460" s="2" t="s">
        <v>11</v>
      </c>
      <c r="F460" s="2" t="s">
        <v>1021</v>
      </c>
      <c r="G460" s="2" t="s">
        <v>8</v>
      </c>
      <c r="H460" s="2" t="s">
        <v>50</v>
      </c>
      <c r="I460" s="2" t="s">
        <v>1022</v>
      </c>
    </row>
    <row r="461" spans="1:9" ht="15.75" customHeight="1">
      <c r="A461" s="2" t="s">
        <v>933</v>
      </c>
      <c r="B461" s="2" t="s">
        <v>1000</v>
      </c>
      <c r="C461" s="2" t="str">
        <f ca="1">IFERROR(__xludf.DUMMYFUNCTION("googletranslate(C461,""en"",""ne"")"),"सत्यवती गाउँपालिका")</f>
        <v>सत्यवती गाउँपालिका</v>
      </c>
      <c r="D461" s="3" t="str">
        <f ca="1">IFERROR(__xludf.DUMMYFUNCTION("googletranslate(D461,""en"",""ne"")"),"अध्यक्ष")</f>
        <v>अध्यक्ष</v>
      </c>
      <c r="E461" s="2" t="s">
        <v>18</v>
      </c>
      <c r="F461" s="2" t="s">
        <v>1023</v>
      </c>
      <c r="G461" s="2" t="s">
        <v>8</v>
      </c>
      <c r="H461" s="2" t="s">
        <v>758</v>
      </c>
      <c r="I461" s="2" t="s">
        <v>1024</v>
      </c>
    </row>
    <row r="462" spans="1:9" ht="15.75" customHeight="1">
      <c r="A462" s="2" t="s">
        <v>933</v>
      </c>
      <c r="B462" s="2" t="s">
        <v>1025</v>
      </c>
      <c r="C462" s="2" t="str">
        <f ca="1">IFERROR(__xludf.DUMMYFUNCTION("googletranslate(C462,""en"",""ne"")"),"कपिलवस्तु नगरपालिका")</f>
        <v>कपिलवस्तु नगरपालिका</v>
      </c>
      <c r="D462" s="3" t="str">
        <f ca="1">IFERROR(__xludf.DUMMYFUNCTION("googletranslate(D462,""en"",""ne"")"),"मेयर")</f>
        <v>मेयर</v>
      </c>
      <c r="E462" s="2" t="s">
        <v>789</v>
      </c>
      <c r="F462" s="2" t="s">
        <v>1026</v>
      </c>
      <c r="G462" s="2" t="s">
        <v>8</v>
      </c>
      <c r="H462" s="2" t="s">
        <v>13</v>
      </c>
      <c r="I462" s="2" t="s">
        <v>1027</v>
      </c>
    </row>
    <row r="463" spans="1:9" ht="15.75" customHeight="1">
      <c r="A463" s="2" t="s">
        <v>933</v>
      </c>
      <c r="B463" s="2" t="s">
        <v>1025</v>
      </c>
      <c r="C463" s="2" t="str">
        <f ca="1">IFERROR(__xludf.DUMMYFUNCTION("googletranslate(C463,""en"",""ne"")"),"कृष्णनगर नगरपालिका")</f>
        <v>कृष्णनगर नगरपालिका</v>
      </c>
      <c r="D463" s="3" t="str">
        <f ca="1">IFERROR(__xludf.DUMMYFUNCTION("googletranslate(D463,""en"",""ne"")"),"मेयर")</f>
        <v>मेयर</v>
      </c>
      <c r="E463" s="2" t="s">
        <v>11</v>
      </c>
      <c r="F463" s="2" t="s">
        <v>1028</v>
      </c>
      <c r="G463" s="2" t="s">
        <v>8</v>
      </c>
      <c r="H463" s="2" t="s">
        <v>26</v>
      </c>
      <c r="I463" s="2" t="s">
        <v>1029</v>
      </c>
    </row>
    <row r="464" spans="1:9" ht="15.75" customHeight="1">
      <c r="A464" s="2" t="s">
        <v>933</v>
      </c>
      <c r="B464" s="2" t="s">
        <v>1025</v>
      </c>
      <c r="C464" s="2" t="str">
        <f ca="1">IFERROR(__xludf.DUMMYFUNCTION("googletranslate(C464,""en"",""ne"")"),"बाणगंगा नगरपालिका")</f>
        <v>बाणगंगा नगरपालिका</v>
      </c>
      <c r="D464" s="3" t="str">
        <f ca="1">IFERROR(__xludf.DUMMYFUNCTION("googletranslate(D464,""en"",""ne"")"),"मेयर")</f>
        <v>मेयर</v>
      </c>
      <c r="E464" s="2" t="s">
        <v>18</v>
      </c>
      <c r="F464" s="2" t="s">
        <v>1030</v>
      </c>
      <c r="G464" s="2" t="s">
        <v>8</v>
      </c>
      <c r="H464" s="2" t="s">
        <v>45</v>
      </c>
      <c r="I464" s="2" t="s">
        <v>1031</v>
      </c>
    </row>
    <row r="465" spans="1:9" ht="15.75" customHeight="1">
      <c r="A465" s="2" t="s">
        <v>933</v>
      </c>
      <c r="B465" s="2" t="s">
        <v>1025</v>
      </c>
      <c r="C465" s="2" t="str">
        <f ca="1">IFERROR(__xludf.DUMMYFUNCTION("googletranslate(C465,""en"",""ne"")"),"बुद्ध संस्कृति नगरपालिका")</f>
        <v>बुद्ध संस्कृति नगरपालिका</v>
      </c>
      <c r="D465" s="3" t="str">
        <f ca="1">IFERROR(__xludf.DUMMYFUNCTION("googletranslate(D465,""en"",""ne"")"),"मेयर")</f>
        <v>मेयर</v>
      </c>
      <c r="E465" s="2" t="s">
        <v>11</v>
      </c>
      <c r="F465" s="2" t="s">
        <v>1032</v>
      </c>
      <c r="G465" s="2" t="s">
        <v>8</v>
      </c>
      <c r="H465" s="2" t="s">
        <v>758</v>
      </c>
      <c r="I465" s="2" t="s">
        <v>1033</v>
      </c>
    </row>
    <row r="466" spans="1:9" ht="15.75" customHeight="1">
      <c r="A466" s="2" t="s">
        <v>933</v>
      </c>
      <c r="B466" s="2" t="s">
        <v>1025</v>
      </c>
      <c r="C466" s="2" t="str">
        <f ca="1">IFERROR(__xludf.DUMMYFUNCTION("googletranslate(C466,""en"",""ne"")"),"महाराजगञ्ज नगरपालिका")</f>
        <v>महाराजगञ्ज नगरपालिका</v>
      </c>
      <c r="D466" s="3" t="str">
        <f ca="1">IFERROR(__xludf.DUMMYFUNCTION("googletranslate(D466,""en"",""ne"")"),"मेयर")</f>
        <v>मेयर</v>
      </c>
      <c r="E466" s="2" t="s">
        <v>11</v>
      </c>
      <c r="F466" s="2" t="s">
        <v>1034</v>
      </c>
      <c r="G466" s="2" t="s">
        <v>8</v>
      </c>
      <c r="H466" s="2" t="s">
        <v>408</v>
      </c>
      <c r="I466" s="2" t="s">
        <v>1035</v>
      </c>
    </row>
    <row r="467" spans="1:9" ht="15.75" customHeight="1">
      <c r="A467" s="2" t="s">
        <v>933</v>
      </c>
      <c r="B467" s="2" t="s">
        <v>1025</v>
      </c>
      <c r="C467" s="2" t="str">
        <f ca="1">IFERROR(__xludf.DUMMYFUNCTION("googletranslate(C467,""en"",""ne"")"),"मायादेवी गाउँपालिका")</f>
        <v>मायादेवी गाउँपालिका</v>
      </c>
      <c r="D467" s="3" t="str">
        <f ca="1">IFERROR(__xludf.DUMMYFUNCTION("googletranslate(D467,""en"",""ne"")"),"अध्यक्ष")</f>
        <v>अध्यक्ष</v>
      </c>
      <c r="E467" s="2" t="s">
        <v>11</v>
      </c>
      <c r="F467" s="2" t="s">
        <v>1036</v>
      </c>
      <c r="G467" s="2" t="s">
        <v>8</v>
      </c>
      <c r="H467" s="2" t="s">
        <v>91</v>
      </c>
      <c r="I467" s="2" t="s">
        <v>1037</v>
      </c>
    </row>
    <row r="468" spans="1:9" ht="15.75" customHeight="1">
      <c r="A468" s="2" t="s">
        <v>933</v>
      </c>
      <c r="B468" s="2" t="s">
        <v>1025</v>
      </c>
      <c r="C468" s="2" t="str">
        <f ca="1">IFERROR(__xludf.DUMMYFUNCTION("googletranslate(C468,""en"",""ne"")"),"यसोधरा गाउँपालिका")</f>
        <v>यसोधरा गाउँपालिका</v>
      </c>
      <c r="D468" s="3" t="str">
        <f ca="1">IFERROR(__xludf.DUMMYFUNCTION("googletranslate(D468,""en"",""ne"")"),"अध्यक्ष")</f>
        <v>अध्यक्ष</v>
      </c>
      <c r="E468" s="2" t="s">
        <v>18</v>
      </c>
      <c r="F468" s="2" t="s">
        <v>1038</v>
      </c>
      <c r="G468" s="2" t="s">
        <v>8</v>
      </c>
      <c r="H468" s="2" t="s">
        <v>67</v>
      </c>
      <c r="I468" s="2" t="s">
        <v>1039</v>
      </c>
    </row>
    <row r="469" spans="1:9" ht="15.75" customHeight="1">
      <c r="A469" s="2" t="s">
        <v>933</v>
      </c>
      <c r="B469" s="2" t="s">
        <v>1025</v>
      </c>
      <c r="C469" s="2" t="str">
        <f ca="1">IFERROR(__xludf.DUMMYFUNCTION("googletranslate(C469,""en"",""ne"")"),"विजयनगरपालिका गाउँपालिका")</f>
        <v>विजयनगरपालिका गाउँपालिका</v>
      </c>
      <c r="D469" s="3" t="str">
        <f ca="1">IFERROR(__xludf.DUMMYFUNCTION("googletranslate(D469,""en"",""ne"")"),"अध्यक्ष")</f>
        <v>अध्यक्ष</v>
      </c>
      <c r="E469" s="2" t="s">
        <v>18</v>
      </c>
      <c r="F469" s="2" t="s">
        <v>1040</v>
      </c>
      <c r="G469" s="2" t="s">
        <v>8</v>
      </c>
      <c r="H469" s="2" t="s">
        <v>58</v>
      </c>
      <c r="I469" s="2" t="s">
        <v>1041</v>
      </c>
    </row>
    <row r="470" spans="1:9" ht="15.75" customHeight="1">
      <c r="A470" s="2" t="s">
        <v>933</v>
      </c>
      <c r="B470" s="2" t="s">
        <v>1025</v>
      </c>
      <c r="C470" s="2" t="str">
        <f ca="1">IFERROR(__xludf.DUMMYFUNCTION("googletranslate(C470,""en"",""ne"")"),"शिवराज नगरपालिका")</f>
        <v>शिवराज नगरपालिका</v>
      </c>
      <c r="D470" s="3" t="str">
        <f ca="1">IFERROR(__xludf.DUMMYFUNCTION("googletranslate(D470,""en"",""ne"")"),"मेयर")</f>
        <v>मेयर</v>
      </c>
      <c r="E470" s="2" t="s">
        <v>127</v>
      </c>
      <c r="F470" s="2" t="s">
        <v>1042</v>
      </c>
      <c r="G470" s="2" t="s">
        <v>8</v>
      </c>
      <c r="H470" s="2" t="s">
        <v>293</v>
      </c>
      <c r="I470" s="2" t="s">
        <v>1043</v>
      </c>
    </row>
    <row r="471" spans="1:9" ht="15.75" customHeight="1">
      <c r="A471" s="2" t="s">
        <v>933</v>
      </c>
      <c r="B471" s="2" t="s">
        <v>1025</v>
      </c>
      <c r="C471" s="2" t="str">
        <f ca="1">IFERROR(__xludf.DUMMYFUNCTION("googletranslate(C471,""en"",""ne"")"),"शुद्धोधन गाउँपालिका")</f>
        <v>शुद्धोधन गाउँपालिका</v>
      </c>
      <c r="D471" s="3" t="str">
        <f ca="1">IFERROR(__xludf.DUMMYFUNCTION("googletranslate(D471,""en"",""ne"")"),"अध्यक्ष")</f>
        <v>अध्यक्ष</v>
      </c>
      <c r="E471" s="2" t="s">
        <v>1044</v>
      </c>
      <c r="F471" s="2" t="s">
        <v>1045</v>
      </c>
      <c r="G471" s="2" t="s">
        <v>8</v>
      </c>
      <c r="H471" s="2" t="s">
        <v>151</v>
      </c>
      <c r="I471" s="2" t="s">
        <v>1046</v>
      </c>
    </row>
    <row r="472" spans="1:9" ht="15.75" customHeight="1">
      <c r="A472" s="2" t="s">
        <v>933</v>
      </c>
      <c r="B472" s="2" t="s">
        <v>1047</v>
      </c>
      <c r="C472" s="2" t="str">
        <f ca="1">IFERROR(__xludf.DUMMYFUNCTION("googletranslate(C472,""en"",""ne"")"),"पाल्हीनन्द गाउँपालिका")</f>
        <v>पाल्हीनन्द गाउँपालिका</v>
      </c>
      <c r="D472" s="3" t="str">
        <f ca="1">IFERROR(__xludf.DUMMYFUNCTION("googletranslate(D472,""en"",""ne"")"),"अध्यक्ष")</f>
        <v>अध्यक्ष</v>
      </c>
      <c r="E472" s="2" t="s">
        <v>30</v>
      </c>
      <c r="F472" s="2" t="s">
        <v>1048</v>
      </c>
      <c r="G472" s="2" t="s">
        <v>8</v>
      </c>
      <c r="H472" s="2" t="s">
        <v>322</v>
      </c>
      <c r="I472" s="2" t="s">
        <v>1049</v>
      </c>
    </row>
    <row r="473" spans="1:9" ht="15.75" customHeight="1">
      <c r="A473" s="2" t="s">
        <v>933</v>
      </c>
      <c r="B473" s="2" t="s">
        <v>1047</v>
      </c>
      <c r="C473" s="2" t="str">
        <f ca="1">IFERROR(__xludf.DUMMYFUNCTION("googletranslate(C473,""en"",""ne"")"),"प्रतापपुर गाउँपालिका")</f>
        <v>प्रतापपुर गाउँपालिका</v>
      </c>
      <c r="D473" s="3" t="str">
        <f ca="1">IFERROR(__xludf.DUMMYFUNCTION("googletranslate(D473,""en"",""ne"")"),"अध्यक्ष")</f>
        <v>अध्यक्ष</v>
      </c>
      <c r="E473" s="2" t="s">
        <v>11</v>
      </c>
      <c r="F473" s="2" t="s">
        <v>1050</v>
      </c>
      <c r="G473" s="2" t="s">
        <v>8</v>
      </c>
      <c r="H473" s="2" t="s">
        <v>190</v>
      </c>
      <c r="I473" s="2" t="s">
        <v>1051</v>
      </c>
    </row>
    <row r="474" spans="1:9" ht="15.75" customHeight="1">
      <c r="A474" s="2" t="s">
        <v>933</v>
      </c>
      <c r="B474" s="2" t="s">
        <v>1047</v>
      </c>
      <c r="C474" s="2" t="str">
        <f ca="1">IFERROR(__xludf.DUMMYFUNCTION("googletranslate(C474,""en"",""ne"")"),"बर्दघाट नगरपालिका")</f>
        <v>बर्दघाट नगरपालिका</v>
      </c>
      <c r="D474" s="3" t="str">
        <f ca="1">IFERROR(__xludf.DUMMYFUNCTION("googletranslate(D474,""en"",""ne"")"),"मेयर")</f>
        <v>मेयर</v>
      </c>
      <c r="E474" s="2" t="s">
        <v>11</v>
      </c>
      <c r="F474" s="2" t="s">
        <v>1052</v>
      </c>
      <c r="G474" s="2" t="s">
        <v>8</v>
      </c>
      <c r="H474" s="2" t="s">
        <v>172</v>
      </c>
      <c r="I474" s="2" t="s">
        <v>1053</v>
      </c>
    </row>
    <row r="475" spans="1:9" ht="15.75" customHeight="1">
      <c r="A475" s="2" t="s">
        <v>933</v>
      </c>
      <c r="B475" s="2" t="s">
        <v>1047</v>
      </c>
      <c r="C475" s="2" t="str">
        <f ca="1">IFERROR(__xludf.DUMMYFUNCTION("googletranslate(C475,""en"",""ne"")"),"रामग्राम नगरपालिका")</f>
        <v>रामग्राम नगरपालिका</v>
      </c>
      <c r="D475" s="3" t="str">
        <f ca="1">IFERROR(__xludf.DUMMYFUNCTION("googletranslate(D475,""en"",""ne"")"),"मेयर")</f>
        <v>मेयर</v>
      </c>
      <c r="E475" s="2" t="s">
        <v>18</v>
      </c>
      <c r="F475" s="2" t="s">
        <v>1054</v>
      </c>
      <c r="G475" s="2" t="s">
        <v>8</v>
      </c>
      <c r="H475" s="2" t="s">
        <v>70</v>
      </c>
      <c r="I475" s="2" t="s">
        <v>1055</v>
      </c>
    </row>
    <row r="476" spans="1:9" ht="15.75" customHeight="1">
      <c r="A476" s="2" t="s">
        <v>933</v>
      </c>
      <c r="B476" s="2" t="s">
        <v>1047</v>
      </c>
      <c r="C476" s="2" t="str">
        <f ca="1">IFERROR(__xludf.DUMMYFUNCTION("googletranslate(C476,""en"",""ne"")"),"सरावल गाउँपालिका")</f>
        <v>सरावल गाउँपालिका</v>
      </c>
      <c r="D476" s="3" t="str">
        <f ca="1">IFERROR(__xludf.DUMMYFUNCTION("googletranslate(D476,""en"",""ne"")"),"अध्यक्ष")</f>
        <v>अध्यक्ष</v>
      </c>
      <c r="E476" s="2" t="s">
        <v>18</v>
      </c>
      <c r="F476" s="2" t="s">
        <v>1056</v>
      </c>
      <c r="G476" s="2" t="s">
        <v>8</v>
      </c>
      <c r="H476" s="2" t="s">
        <v>70</v>
      </c>
      <c r="I476" s="2" t="s">
        <v>1057</v>
      </c>
    </row>
    <row r="477" spans="1:9" ht="15.75" customHeight="1">
      <c r="A477" s="2" t="s">
        <v>933</v>
      </c>
      <c r="B477" s="2" t="s">
        <v>1047</v>
      </c>
      <c r="C477" s="2" t="str">
        <f ca="1">IFERROR(__xludf.DUMMYFUNCTION("googletranslate(C477,""en"",""ne"")"),"सुनवल नगरपालिका")</f>
        <v>सुनवल नगरपालिका</v>
      </c>
      <c r="D477" s="3" t="str">
        <f ca="1">IFERROR(__xludf.DUMMYFUNCTION("googletranslate(D477,""en"",""ne"")"),"मेयर")</f>
        <v>मेयर</v>
      </c>
      <c r="E477" s="2" t="s">
        <v>18</v>
      </c>
      <c r="F477" s="2" t="s">
        <v>1058</v>
      </c>
      <c r="G477" s="2" t="s">
        <v>32</v>
      </c>
      <c r="H477" s="2" t="s">
        <v>64</v>
      </c>
      <c r="I477" s="2" t="s">
        <v>1059</v>
      </c>
    </row>
    <row r="478" spans="1:9" ht="15.75" customHeight="1">
      <c r="A478" s="2" t="s">
        <v>933</v>
      </c>
      <c r="B478" s="2" t="s">
        <v>1047</v>
      </c>
      <c r="C478" s="2" t="str">
        <f ca="1">IFERROR(__xludf.DUMMYFUNCTION("googletranslate(C478,""en"",""ne"")"),"सुस्तापाल गाउँपालिका")</f>
        <v>सुस्तापाल गाउँपालिका</v>
      </c>
      <c r="D478" s="3" t="str">
        <f ca="1">IFERROR(__xludf.DUMMYFUNCTION("googletranslate(D478,""en"",""ne"")"),"अध्यक्ष")</f>
        <v>अध्यक्ष</v>
      </c>
      <c r="E478" s="2" t="s">
        <v>11</v>
      </c>
      <c r="F478" s="2" t="s">
        <v>1060</v>
      </c>
      <c r="G478" s="2" t="s">
        <v>8</v>
      </c>
      <c r="H478" s="2" t="s">
        <v>1061</v>
      </c>
      <c r="I478" s="2" t="s">
        <v>233</v>
      </c>
    </row>
    <row r="479" spans="1:9" ht="15.75" customHeight="1">
      <c r="A479" s="2" t="s">
        <v>933</v>
      </c>
      <c r="B479" s="2" t="s">
        <v>1062</v>
      </c>
      <c r="C479" s="2" t="str">
        <f ca="1">IFERROR(__xludf.DUMMYFUNCTION("googletranslate(C479,""en"",""ne"")"),"तानसेन नगरपालिका")</f>
        <v>तानसेन नगरपालिका</v>
      </c>
      <c r="D479" s="3" t="str">
        <f ca="1">IFERROR(__xludf.DUMMYFUNCTION("googletranslate(D479,""en"",""ne"")"),"मेयर")</f>
        <v>मेयर</v>
      </c>
      <c r="E479" s="2" t="s">
        <v>11</v>
      </c>
      <c r="F479" s="2" t="s">
        <v>1063</v>
      </c>
      <c r="G479" s="2" t="s">
        <v>8</v>
      </c>
      <c r="H479" s="2" t="s">
        <v>306</v>
      </c>
      <c r="I479" s="2" t="s">
        <v>1064</v>
      </c>
    </row>
    <row r="480" spans="1:9" ht="15.75" customHeight="1">
      <c r="A480" s="2" t="s">
        <v>933</v>
      </c>
      <c r="B480" s="2" t="s">
        <v>1062</v>
      </c>
      <c r="C480" s="2" t="str">
        <f ca="1">IFERROR(__xludf.DUMMYFUNCTION("googletranslate(C480,""en"",""ne"")"),"तिनाउपालिका गाउँपालिका")</f>
        <v>तिनाउपालिका गाउँपालिका</v>
      </c>
      <c r="D480" s="3" t="str">
        <f ca="1">IFERROR(__xludf.DUMMYFUNCTION("googletranslate(D480,""en"",""ne"")"),"अध्यक्ष")</f>
        <v>अध्यक्ष</v>
      </c>
      <c r="E480" s="2" t="s">
        <v>18</v>
      </c>
      <c r="F480" s="2" t="s">
        <v>1065</v>
      </c>
      <c r="G480" s="2" t="s">
        <v>8</v>
      </c>
      <c r="H480" s="2" t="s">
        <v>151</v>
      </c>
      <c r="I480" s="2" t="s">
        <v>1066</v>
      </c>
    </row>
    <row r="481" spans="1:9" ht="15.75" customHeight="1">
      <c r="A481" s="2" t="s">
        <v>933</v>
      </c>
      <c r="B481" s="2" t="s">
        <v>1062</v>
      </c>
      <c r="C481" s="2" t="str">
        <f ca="1">IFERROR(__xludf.DUMMYFUNCTION("googletranslate(C481,""en"",""ne"")"),"निस्दी गाउँपालिका")</f>
        <v>निस्दी गाउँपालिका</v>
      </c>
      <c r="D481" s="3" t="str">
        <f ca="1">IFERROR(__xludf.DUMMYFUNCTION("googletranslate(D481,""en"",""ne"")"),"अध्यक्ष")</f>
        <v>अध्यक्ष</v>
      </c>
      <c r="E481" s="2" t="s">
        <v>18</v>
      </c>
      <c r="F481" s="2" t="s">
        <v>1067</v>
      </c>
      <c r="G481" s="2" t="s">
        <v>8</v>
      </c>
      <c r="H481" s="2" t="s">
        <v>114</v>
      </c>
      <c r="I481" s="2" t="s">
        <v>1068</v>
      </c>
    </row>
    <row r="482" spans="1:9" ht="15.75" customHeight="1">
      <c r="A482" s="2" t="s">
        <v>933</v>
      </c>
      <c r="B482" s="2" t="s">
        <v>1062</v>
      </c>
      <c r="C482" s="2" t="str">
        <f ca="1">IFERROR(__xludf.DUMMYFUNCTION("googletranslate(C482,""en"",""ne"")"),"पूर्वखोला गाउँपालिका")</f>
        <v>पूर्वखोला गाउँपालिका</v>
      </c>
      <c r="D482" s="3" t="str">
        <f ca="1">IFERROR(__xludf.DUMMYFUNCTION("googletranslate(D482,""en"",""ne"")"),"अध्यक्ष")</f>
        <v>अध्यक्ष</v>
      </c>
      <c r="E482" s="2" t="s">
        <v>18</v>
      </c>
      <c r="F482" s="2" t="s">
        <v>1069</v>
      </c>
      <c r="G482" s="2" t="s">
        <v>8</v>
      </c>
      <c r="H482" s="2" t="s">
        <v>64</v>
      </c>
      <c r="I482" s="2" t="s">
        <v>1070</v>
      </c>
    </row>
    <row r="483" spans="1:9" ht="15.75" customHeight="1">
      <c r="A483" s="2" t="s">
        <v>933</v>
      </c>
      <c r="B483" s="2" t="s">
        <v>1062</v>
      </c>
      <c r="C483" s="2" t="str">
        <f ca="1">IFERROR(__xludf.DUMMYFUNCTION("googletranslate(C483,""en"",""ne"")"),"बगनासकाली गाउँपालिका")</f>
        <v>बगनासकाली गाउँपालिका</v>
      </c>
      <c r="D483" s="3" t="str">
        <f ca="1">IFERROR(__xludf.DUMMYFUNCTION("googletranslate(D483,""en"",""ne"")"),"अध्यक्ष")</f>
        <v>अध्यक्ष</v>
      </c>
      <c r="E483" s="2" t="s">
        <v>18</v>
      </c>
      <c r="F483" s="2" t="s">
        <v>1071</v>
      </c>
      <c r="G483" s="2" t="s">
        <v>32</v>
      </c>
      <c r="H483" s="2" t="s">
        <v>190</v>
      </c>
      <c r="I483" s="2" t="s">
        <v>1072</v>
      </c>
    </row>
    <row r="484" spans="1:9" ht="15.75" customHeight="1">
      <c r="A484" s="2" t="s">
        <v>933</v>
      </c>
      <c r="B484" s="2" t="s">
        <v>1062</v>
      </c>
      <c r="C484" s="2" t="str">
        <f ca="1">IFERROR(__xludf.DUMMYFUNCTION("googletranslate(C484,""en"",""ne"")"),"माथागढी गाउँपालिका")</f>
        <v>माथागढी गाउँपालिका</v>
      </c>
      <c r="D484" s="3" t="str">
        <f ca="1">IFERROR(__xludf.DUMMYFUNCTION("googletranslate(D484,""en"",""ne"")"),"अध्यक्ष")</f>
        <v>अध्यक्ष</v>
      </c>
      <c r="E484" s="2" t="s">
        <v>18</v>
      </c>
      <c r="F484" s="2" t="s">
        <v>1073</v>
      </c>
      <c r="G484" s="2" t="s">
        <v>8</v>
      </c>
      <c r="H484" s="2" t="s">
        <v>16</v>
      </c>
      <c r="I484" s="2" t="s">
        <v>1074</v>
      </c>
    </row>
    <row r="485" spans="1:9" ht="15.75" customHeight="1">
      <c r="A485" s="2" t="s">
        <v>933</v>
      </c>
      <c r="B485" s="2" t="s">
        <v>1062</v>
      </c>
      <c r="C485" s="2" t="str">
        <f ca="1">IFERROR(__xludf.DUMMYFUNCTION("googletranslate(C485,""en"",""ne"")"),"रम्भा गाउँपालिका")</f>
        <v>रम्भा गाउँपालिका</v>
      </c>
      <c r="D485" s="3" t="str">
        <f ca="1">IFERROR(__xludf.DUMMYFUNCTION("googletranslate(D485,""en"",""ne"")"),"अध्यक्ष")</f>
        <v>अध्यक्ष</v>
      </c>
      <c r="E485" s="2" t="s">
        <v>18</v>
      </c>
      <c r="F485" s="2" t="s">
        <v>1075</v>
      </c>
      <c r="G485" s="2" t="s">
        <v>8</v>
      </c>
      <c r="H485" s="2" t="s">
        <v>64</v>
      </c>
      <c r="I485" s="2" t="s">
        <v>1076</v>
      </c>
    </row>
    <row r="486" spans="1:9" ht="15.75" customHeight="1">
      <c r="A486" s="2" t="s">
        <v>933</v>
      </c>
      <c r="B486" s="2" t="s">
        <v>1062</v>
      </c>
      <c r="C486" s="2" t="str">
        <f ca="1">IFERROR(__xludf.DUMMYFUNCTION("googletranslate(C486,""en"",""ne"")"),"रामपुर नगरपालिका")</f>
        <v>रामपुर नगरपालिका</v>
      </c>
      <c r="D486" s="3" t="str">
        <f ca="1">IFERROR(__xludf.DUMMYFUNCTION("googletranslate(D486,""en"",""ne"")"),"मेयर")</f>
        <v>मेयर</v>
      </c>
      <c r="E486" s="2" t="s">
        <v>11</v>
      </c>
      <c r="F486" s="2" t="s">
        <v>1077</v>
      </c>
      <c r="G486" s="2" t="s">
        <v>8</v>
      </c>
      <c r="H486" s="2" t="s">
        <v>23</v>
      </c>
      <c r="I486" s="2" t="s">
        <v>1078</v>
      </c>
    </row>
    <row r="487" spans="1:9" ht="15.75" customHeight="1">
      <c r="A487" s="2" t="s">
        <v>933</v>
      </c>
      <c r="B487" s="2" t="s">
        <v>1062</v>
      </c>
      <c r="C487" s="2" t="str">
        <f ca="1">IFERROR(__xludf.DUMMYFUNCTION("googletranslate(C487,""en"",""ne"")"),"रिब्दिकोट गाउँपालिका")</f>
        <v>रिब्दिकोट गाउँपालिका</v>
      </c>
      <c r="D487" s="3" t="str">
        <f ca="1">IFERROR(__xludf.DUMMYFUNCTION("googletranslate(D487,""en"",""ne"")"),"अध्यक्ष")</f>
        <v>अध्यक्ष</v>
      </c>
      <c r="E487" s="2" t="s">
        <v>30</v>
      </c>
      <c r="F487" s="2" t="s">
        <v>1079</v>
      </c>
      <c r="G487" s="2" t="s">
        <v>8</v>
      </c>
      <c r="H487" s="2" t="s">
        <v>23</v>
      </c>
      <c r="I487" s="2" t="s">
        <v>1080</v>
      </c>
    </row>
    <row r="488" spans="1:9" ht="15.75" customHeight="1">
      <c r="A488" s="2" t="s">
        <v>933</v>
      </c>
      <c r="B488" s="2" t="s">
        <v>1062</v>
      </c>
      <c r="C488" s="2" t="str">
        <f ca="1">IFERROR(__xludf.DUMMYFUNCTION("googletranslate(C488,""en"",""ne"")"),"रैनादेवी छहरापालिका")</f>
        <v>रैनादेवी छहरापालिका</v>
      </c>
      <c r="D488" s="3" t="str">
        <f ca="1">IFERROR(__xludf.DUMMYFUNCTION("googletranslate(D488,""en"",""ne"")"),"अध्यक्ष")</f>
        <v>अध्यक्ष</v>
      </c>
      <c r="E488" s="2" t="s">
        <v>11</v>
      </c>
      <c r="F488" s="2" t="s">
        <v>1081</v>
      </c>
      <c r="G488" s="2" t="s">
        <v>8</v>
      </c>
      <c r="H488" s="2" t="s">
        <v>479</v>
      </c>
      <c r="I488" s="2" t="s">
        <v>1082</v>
      </c>
    </row>
    <row r="489" spans="1:9" ht="15.75" customHeight="1">
      <c r="A489" s="2" t="s">
        <v>933</v>
      </c>
      <c r="B489" s="2" t="s">
        <v>1083</v>
      </c>
      <c r="C489" s="2" t="str">
        <f ca="1">IFERROR(__xludf.DUMMYFUNCTION("googletranslate(C489,""en"",""ne"")"),"प्युठान नगरपालिका")</f>
        <v>प्युठान नगरपालिका</v>
      </c>
      <c r="D489" s="3" t="str">
        <f ca="1">IFERROR(__xludf.DUMMYFUNCTION("googletranslate(D489,""en"",""ne"")"),"मेयर")</f>
        <v>मेयर</v>
      </c>
      <c r="E489" s="2" t="s">
        <v>30</v>
      </c>
      <c r="F489" s="2" t="s">
        <v>1084</v>
      </c>
      <c r="G489" s="2" t="s">
        <v>8</v>
      </c>
      <c r="H489" s="2" t="s">
        <v>61</v>
      </c>
      <c r="I489" s="2" t="s">
        <v>1085</v>
      </c>
    </row>
    <row r="490" spans="1:9" ht="15.75" customHeight="1">
      <c r="A490" s="2" t="s">
        <v>933</v>
      </c>
      <c r="B490" s="2" t="s">
        <v>1083</v>
      </c>
      <c r="C490" s="2" t="str">
        <f ca="1">IFERROR(__xludf.DUMMYFUNCTION("googletranslate(C490,""en"",""ne"")"),"ऐरावती गाउँपालिका")</f>
        <v>ऐरावती गाउँपालिका</v>
      </c>
      <c r="D490" s="3" t="str">
        <f ca="1">IFERROR(__xludf.DUMMYFUNCTION("googletranslate(D490,""en"",""ne"")"),"अध्यक्ष")</f>
        <v>अध्यक्ष</v>
      </c>
      <c r="E490" s="2" t="s">
        <v>11</v>
      </c>
      <c r="F490" s="2" t="s">
        <v>1086</v>
      </c>
      <c r="G490" s="2" t="s">
        <v>8</v>
      </c>
      <c r="H490" s="2" t="s">
        <v>26</v>
      </c>
      <c r="I490" s="2" t="s">
        <v>1087</v>
      </c>
    </row>
    <row r="491" spans="1:9" ht="15.75" customHeight="1">
      <c r="A491" s="2" t="s">
        <v>933</v>
      </c>
      <c r="B491" s="2" t="s">
        <v>1083</v>
      </c>
      <c r="C491" s="2" t="str">
        <f ca="1">IFERROR(__xludf.DUMMYFUNCTION("googletranslate(C491,""en"",""ne"")"),"गौमुखी गाउँपालिका")</f>
        <v>गौमुखी गाउँपालिका</v>
      </c>
      <c r="D491" s="3" t="str">
        <f ca="1">IFERROR(__xludf.DUMMYFUNCTION("googletranslate(D491,""en"",""ne"")"),"अध्यक्ष")</f>
        <v>अध्यक्ष</v>
      </c>
      <c r="E491" s="2" t="s">
        <v>11</v>
      </c>
      <c r="F491" s="2" t="s">
        <v>1088</v>
      </c>
      <c r="G491" s="2" t="s">
        <v>8</v>
      </c>
      <c r="H491" s="2" t="s">
        <v>151</v>
      </c>
      <c r="I491" s="2" t="s">
        <v>1089</v>
      </c>
    </row>
    <row r="492" spans="1:9" ht="15.75" customHeight="1">
      <c r="A492" s="2" t="s">
        <v>933</v>
      </c>
      <c r="B492" s="2" t="s">
        <v>1083</v>
      </c>
      <c r="C492" s="2" t="str">
        <f ca="1">IFERROR(__xludf.DUMMYFUNCTION("googletranslate(C492,""en"",""ne"")"),"झिमरुक गाउँपालिका")</f>
        <v>झिमरुक गाउँपालिका</v>
      </c>
      <c r="D492" s="3" t="str">
        <f ca="1">IFERROR(__xludf.DUMMYFUNCTION("googletranslate(D492,""en"",""ne"")"),"अध्यक्ष")</f>
        <v>अध्यक्ष</v>
      </c>
      <c r="E492" s="2" t="s">
        <v>30</v>
      </c>
      <c r="F492" s="2" t="s">
        <v>1090</v>
      </c>
      <c r="G492" s="2" t="s">
        <v>8</v>
      </c>
      <c r="H492" s="2" t="s">
        <v>758</v>
      </c>
      <c r="I492" s="2" t="s">
        <v>1091</v>
      </c>
    </row>
    <row r="493" spans="1:9" ht="15.75" customHeight="1">
      <c r="A493" s="2" t="s">
        <v>933</v>
      </c>
      <c r="B493" s="2" t="s">
        <v>1083</v>
      </c>
      <c r="C493" s="2" t="str">
        <f ca="1">IFERROR(__xludf.DUMMYFUNCTION("googletranslate(C493,""en"",""ne"")"),"नौवहिनी गाउँपालिका")</f>
        <v>नौवहिनी गाउँपालिका</v>
      </c>
      <c r="D493" s="3" t="str">
        <f ca="1">IFERROR(__xludf.DUMMYFUNCTION("googletranslate(D493,""en"",""ne"")"),"अध्यक्ष")</f>
        <v>अध्यक्ष</v>
      </c>
      <c r="E493" s="2" t="s">
        <v>18</v>
      </c>
      <c r="F493" s="2" t="s">
        <v>1092</v>
      </c>
      <c r="G493" s="2" t="s">
        <v>8</v>
      </c>
      <c r="H493" s="2" t="s">
        <v>64</v>
      </c>
      <c r="I493" s="2" t="s">
        <v>1093</v>
      </c>
    </row>
    <row r="494" spans="1:9" ht="15.75" customHeight="1">
      <c r="A494" s="2" t="s">
        <v>933</v>
      </c>
      <c r="B494" s="2" t="s">
        <v>1083</v>
      </c>
      <c r="C494" s="2" t="str">
        <f ca="1">IFERROR(__xludf.DUMMYFUNCTION("googletranslate(C494,""en"",""ne"")"),"मल्लरानी गाउँपालिका")</f>
        <v>मल्लरानी गाउँपालिका</v>
      </c>
      <c r="D494" s="3" t="str">
        <f ca="1">IFERROR(__xludf.DUMMYFUNCTION("googletranslate(D494,""en"",""ne"")"),"अध्यक्ष")</f>
        <v>अध्यक्ष</v>
      </c>
      <c r="E494" s="2" t="s">
        <v>308</v>
      </c>
      <c r="F494" s="2" t="s">
        <v>1094</v>
      </c>
      <c r="G494" s="2" t="s">
        <v>8</v>
      </c>
      <c r="H494" s="2" t="s">
        <v>140</v>
      </c>
      <c r="I494" s="2" t="s">
        <v>1095</v>
      </c>
    </row>
    <row r="495" spans="1:9" ht="15.75" customHeight="1">
      <c r="A495" s="2" t="s">
        <v>933</v>
      </c>
      <c r="B495" s="2" t="s">
        <v>1083</v>
      </c>
      <c r="C495" s="2" t="str">
        <f ca="1">IFERROR(__xludf.DUMMYFUNCTION("googletranslate(C495,""en"",""ne"")"),"माण्डवी गाउँपालिका")</f>
        <v>माण्डवी गाउँपालिका</v>
      </c>
      <c r="D495" s="3" t="str">
        <f ca="1">IFERROR(__xludf.DUMMYFUNCTION("googletranslate(D495,""en"",""ne"")"),"अध्यक्ष")</f>
        <v>अध्यक्ष</v>
      </c>
      <c r="E495" s="2" t="s">
        <v>30</v>
      </c>
      <c r="F495" s="2" t="s">
        <v>1096</v>
      </c>
      <c r="G495" s="2" t="s">
        <v>8</v>
      </c>
      <c r="H495" s="2" t="s">
        <v>50</v>
      </c>
      <c r="I495" s="2" t="s">
        <v>1097</v>
      </c>
    </row>
    <row r="496" spans="1:9" ht="15.75" customHeight="1">
      <c r="A496" s="2" t="s">
        <v>933</v>
      </c>
      <c r="B496" s="2" t="s">
        <v>1083</v>
      </c>
      <c r="C496" s="2" t="str">
        <f ca="1">IFERROR(__xludf.DUMMYFUNCTION("googletranslate(C496,""en"",""ne"")"),"सुमारानी गाउँपालिका")</f>
        <v>सुमारानी गाउँपालिका</v>
      </c>
      <c r="D496" s="3" t="str">
        <f ca="1">IFERROR(__xludf.DUMMYFUNCTION("googletranslate(D496,""en"",""ne"")"),"अध्यक्ष")</f>
        <v>अध्यक्ष</v>
      </c>
      <c r="E496" s="2" t="s">
        <v>18</v>
      </c>
      <c r="F496" s="2" t="s">
        <v>1098</v>
      </c>
      <c r="G496" s="2" t="s">
        <v>8</v>
      </c>
      <c r="H496" s="2" t="s">
        <v>50</v>
      </c>
      <c r="I496" s="2" t="s">
        <v>1099</v>
      </c>
    </row>
    <row r="497" spans="1:9" ht="15.75" customHeight="1">
      <c r="A497" s="2" t="s">
        <v>933</v>
      </c>
      <c r="B497" s="2" t="s">
        <v>1083</v>
      </c>
      <c r="C497" s="2" t="str">
        <f ca="1">IFERROR(__xludf.DUMMYFUNCTION("googletranslate(C497,""en"",""ne"")"),"स्वर्गद्वारी नगरपालिका")</f>
        <v>स्वर्गद्वारी नगरपालिका</v>
      </c>
      <c r="D497" s="3" t="str">
        <f ca="1">IFERROR(__xludf.DUMMYFUNCTION("googletranslate(D497,""en"",""ne"")"),"मेयर")</f>
        <v>मेयर</v>
      </c>
      <c r="E497" s="2" t="s">
        <v>11</v>
      </c>
      <c r="F497" s="2" t="s">
        <v>1100</v>
      </c>
      <c r="G497" s="2" t="s">
        <v>8</v>
      </c>
      <c r="H497" s="2" t="s">
        <v>23</v>
      </c>
      <c r="I497" s="2" t="s">
        <v>1101</v>
      </c>
    </row>
    <row r="498" spans="1:9" ht="15.75" customHeight="1">
      <c r="A498" s="2" t="s">
        <v>933</v>
      </c>
      <c r="B498" s="2" t="s">
        <v>1102</v>
      </c>
      <c r="C498" s="2" t="str">
        <f ca="1">IFERROR(__xludf.DUMMYFUNCTION("googletranslate(C498,""en"",""ne"")"),"रोल्पा नगरपालिका")</f>
        <v>रोल्पा नगरपालिका</v>
      </c>
      <c r="D498" s="3" t="str">
        <f ca="1">IFERROR(__xludf.DUMMYFUNCTION("googletranslate(D498,""en"",""ne"")"),"मेयर")</f>
        <v>मेयर</v>
      </c>
      <c r="E498" s="2" t="s">
        <v>30</v>
      </c>
      <c r="F498" s="2" t="s">
        <v>1103</v>
      </c>
      <c r="G498" s="2" t="s">
        <v>8</v>
      </c>
      <c r="H498" s="2" t="s">
        <v>172</v>
      </c>
      <c r="I498" s="2" t="s">
        <v>401</v>
      </c>
    </row>
    <row r="499" spans="1:9" ht="15.75" customHeight="1">
      <c r="A499" s="2" t="s">
        <v>933</v>
      </c>
      <c r="B499" s="2" t="s">
        <v>1102</v>
      </c>
      <c r="C499" s="2" t="str">
        <f ca="1">IFERROR(__xludf.DUMMYFUNCTION("googletranslate(C499,""en"",""ne"")"),"गंगादेव गाउँपालिका")</f>
        <v>गंगादेव गाउँपालिका</v>
      </c>
      <c r="D499" s="3" t="str">
        <f ca="1">IFERROR(__xludf.DUMMYFUNCTION("googletranslate(D499,""en"",""ne"")"),"अध्यक्ष")</f>
        <v>अध्यक्ष</v>
      </c>
      <c r="E499" s="2" t="s">
        <v>11</v>
      </c>
      <c r="F499" s="2" t="s">
        <v>1104</v>
      </c>
      <c r="G499" s="2" t="s">
        <v>8</v>
      </c>
      <c r="H499" s="2" t="s">
        <v>26</v>
      </c>
      <c r="I499" s="2" t="s">
        <v>1105</v>
      </c>
    </row>
    <row r="500" spans="1:9" ht="15.75" customHeight="1">
      <c r="A500" s="2" t="s">
        <v>933</v>
      </c>
      <c r="B500" s="2" t="s">
        <v>1102</v>
      </c>
      <c r="C500" s="2" t="str">
        <f ca="1">IFERROR(__xludf.DUMMYFUNCTION("googletranslate(C500,""en"",""ne"")"),"त्रिवेणी गाउँपालिका")</f>
        <v>त्रिवेणी गाउँपालिका</v>
      </c>
      <c r="D500" s="3" t="str">
        <f ca="1">IFERROR(__xludf.DUMMYFUNCTION("googletranslate(D500,""en"",""ne"")"),"अध्यक्ष")</f>
        <v>अध्यक्ष</v>
      </c>
      <c r="E500" s="2" t="s">
        <v>18</v>
      </c>
      <c r="F500" s="2" t="s">
        <v>1106</v>
      </c>
      <c r="G500" s="2" t="s">
        <v>8</v>
      </c>
      <c r="H500" s="2" t="s">
        <v>70</v>
      </c>
      <c r="I500" s="2" t="s">
        <v>1107</v>
      </c>
    </row>
    <row r="501" spans="1:9" ht="15.75" customHeight="1">
      <c r="A501" s="2" t="s">
        <v>933</v>
      </c>
      <c r="B501" s="2" t="s">
        <v>1102</v>
      </c>
      <c r="C501" s="2" t="str">
        <f ca="1">IFERROR(__xludf.DUMMYFUNCTION("googletranslate(C501,""en"",""ne"")"),"थवाङ गाउँपालिका")</f>
        <v>थवाङ गाउँपालिका</v>
      </c>
      <c r="D501" s="3" t="str">
        <f ca="1">IFERROR(__xludf.DUMMYFUNCTION("googletranslate(D501,""en"",""ne"")"),"अध्यक्ष")</f>
        <v>अध्यक्ष</v>
      </c>
      <c r="E501" s="2" t="s">
        <v>30</v>
      </c>
      <c r="F501" s="2" t="s">
        <v>1108</v>
      </c>
      <c r="G501" s="2" t="s">
        <v>8</v>
      </c>
      <c r="H501" s="2" t="s">
        <v>16</v>
      </c>
      <c r="I501" s="2" t="s">
        <v>1109</v>
      </c>
    </row>
    <row r="502" spans="1:9" ht="15.75" customHeight="1">
      <c r="A502" s="2" t="s">
        <v>933</v>
      </c>
      <c r="B502" s="2" t="s">
        <v>1102</v>
      </c>
      <c r="C502" s="2" t="str">
        <f ca="1">IFERROR(__xludf.DUMMYFUNCTION("googletranslate(C502,""en"",""ne"")"),"परिवर्तनपालिका गाउँपालिका")</f>
        <v>परिवर्तनपालिका गाउँपालिका</v>
      </c>
      <c r="D502" s="3" t="str">
        <f ca="1">IFERROR(__xludf.DUMMYFUNCTION("googletranslate(D502,""en"",""ne"")"),"अध्यक्ष")</f>
        <v>अध्यक्ष</v>
      </c>
      <c r="E502" s="2" t="s">
        <v>30</v>
      </c>
      <c r="F502" s="2" t="s">
        <v>1110</v>
      </c>
      <c r="G502" s="2" t="s">
        <v>8</v>
      </c>
      <c r="H502" s="2" t="s">
        <v>13</v>
      </c>
      <c r="I502" s="2" t="s">
        <v>1111</v>
      </c>
    </row>
    <row r="503" spans="1:9" ht="15.75" customHeight="1">
      <c r="A503" s="2" t="s">
        <v>933</v>
      </c>
      <c r="B503" s="2" t="s">
        <v>1102</v>
      </c>
      <c r="C503" s="2" t="str">
        <f ca="1">IFERROR(__xludf.DUMMYFUNCTION("googletranslate(C503,""en"",""ne"")"),"माडीपालिका गाउँपालिका")</f>
        <v>माडीपालिका गाउँपालिका</v>
      </c>
      <c r="D503" s="3" t="str">
        <f ca="1">IFERROR(__xludf.DUMMYFUNCTION("googletranslate(D503,""en"",""ne"")"),"अध्यक्ष")</f>
        <v>अध्यक्ष</v>
      </c>
      <c r="E503" s="2" t="s">
        <v>30</v>
      </c>
      <c r="F503" s="2" t="s">
        <v>1112</v>
      </c>
      <c r="G503" s="2" t="s">
        <v>8</v>
      </c>
      <c r="H503" s="2" t="s">
        <v>322</v>
      </c>
      <c r="I503" s="2" t="s">
        <v>1113</v>
      </c>
    </row>
    <row r="504" spans="1:9" ht="15.75" customHeight="1">
      <c r="A504" s="2" t="s">
        <v>933</v>
      </c>
      <c r="B504" s="2" t="s">
        <v>1102</v>
      </c>
      <c r="C504" s="2" t="str">
        <f ca="1">IFERROR(__xludf.DUMMYFUNCTION("googletranslate(C504,""en"",""ne"")"),"रुन्टीगढी गाउँपालिका")</f>
        <v>रुन्टीगढी गाउँपालिका</v>
      </c>
      <c r="D504" s="3" t="str">
        <f ca="1">IFERROR(__xludf.DUMMYFUNCTION("googletranslate(D504,""en"",""ne"")"),"अध्यक्ष")</f>
        <v>अध्यक्ष</v>
      </c>
      <c r="E504" s="2" t="s">
        <v>11</v>
      </c>
      <c r="F504" s="2" t="s">
        <v>1114</v>
      </c>
      <c r="G504" s="2" t="s">
        <v>8</v>
      </c>
      <c r="H504" s="2" t="s">
        <v>73</v>
      </c>
      <c r="I504" s="2" t="s">
        <v>1115</v>
      </c>
    </row>
    <row r="505" spans="1:9" ht="15.75" customHeight="1">
      <c r="A505" s="2" t="s">
        <v>933</v>
      </c>
      <c r="B505" s="2" t="s">
        <v>1102</v>
      </c>
      <c r="C505" s="2" t="str">
        <f ca="1">IFERROR(__xludf.DUMMYFUNCTION("googletranslate(C505,""en"",""ne"")"),"लुङग्री गाउँपालिका")</f>
        <v>लुङग्री गाउँपालिका</v>
      </c>
      <c r="D505" s="3" t="str">
        <f ca="1">IFERROR(__xludf.DUMMYFUNCTION("googletranslate(D505,""en"",""ne"")"),"अध्यक्ष")</f>
        <v>अध्यक्ष</v>
      </c>
      <c r="E505" s="2" t="s">
        <v>30</v>
      </c>
      <c r="F505" s="2" t="s">
        <v>1116</v>
      </c>
      <c r="G505" s="2" t="s">
        <v>8</v>
      </c>
      <c r="H505" s="2" t="s">
        <v>16</v>
      </c>
      <c r="I505" s="2" t="s">
        <v>1117</v>
      </c>
    </row>
    <row r="506" spans="1:9" ht="15.75" customHeight="1">
      <c r="A506" s="2" t="s">
        <v>933</v>
      </c>
      <c r="B506" s="2" t="s">
        <v>1102</v>
      </c>
      <c r="C506" s="2" t="str">
        <f ca="1">IFERROR(__xludf.DUMMYFUNCTION("googletranslate(C506,""en"",""ne"")"),"सुनछहरी गाउँपालिका")</f>
        <v>सुनछहरी गाउँपालिका</v>
      </c>
      <c r="D506" s="3" t="str">
        <f ca="1">IFERROR(__xludf.DUMMYFUNCTION("googletranslate(D506,""en"",""ne"")"),"अध्यक्ष")</f>
        <v>अध्यक्ष</v>
      </c>
      <c r="E506" s="2" t="s">
        <v>30</v>
      </c>
      <c r="F506" s="2" t="s">
        <v>1118</v>
      </c>
      <c r="G506" s="2" t="s">
        <v>8</v>
      </c>
      <c r="H506" s="2" t="s">
        <v>58</v>
      </c>
      <c r="I506" s="2" t="s">
        <v>1119</v>
      </c>
    </row>
    <row r="507" spans="1:9" ht="15.75" customHeight="1">
      <c r="A507" s="2" t="s">
        <v>933</v>
      </c>
      <c r="B507" s="2" t="s">
        <v>1102</v>
      </c>
      <c r="C507" s="2" t="str">
        <f ca="1">IFERROR(__xludf.DUMMYFUNCTION("googletranslate(C507,""en"",""ne"")"),"सुनिल स्मृति गाउँपालिका")</f>
        <v>सुनिल स्मृति गाउँपालिका</v>
      </c>
      <c r="D507" s="3" t="str">
        <f ca="1">IFERROR(__xludf.DUMMYFUNCTION("googletranslate(D507,""en"",""ne"")"),"अध्यक्ष")</f>
        <v>अध्यक्ष</v>
      </c>
      <c r="E507" s="2" t="s">
        <v>30</v>
      </c>
      <c r="F507" s="2" t="s">
        <v>1120</v>
      </c>
      <c r="G507" s="2" t="s">
        <v>8</v>
      </c>
      <c r="H507" s="2" t="s">
        <v>9</v>
      </c>
      <c r="I507" s="2" t="s">
        <v>1121</v>
      </c>
    </row>
    <row r="508" spans="1:9" ht="15.75" customHeight="1">
      <c r="A508" s="2" t="s">
        <v>933</v>
      </c>
      <c r="B508" s="2" t="s">
        <v>1122</v>
      </c>
      <c r="C508" s="2" t="str">
        <f ca="1">IFERROR(__xludf.DUMMYFUNCTION("googletranslate(C508,""en"",""ne"")"),"पुथा उत्तरगंगा गाउँपालिका")</f>
        <v>पुथा उत्तरगंगा गाउँपालिका</v>
      </c>
      <c r="D508" s="3" t="str">
        <f ca="1">IFERROR(__xludf.DUMMYFUNCTION("googletranslate(D508,""en"",""ne"")"),"अध्यक्ष")</f>
        <v>अध्यक्ष</v>
      </c>
      <c r="E508" s="2" t="s">
        <v>30</v>
      </c>
      <c r="F508" s="2" t="s">
        <v>1123</v>
      </c>
      <c r="G508" s="2" t="s">
        <v>8</v>
      </c>
      <c r="H508" s="2" t="s">
        <v>33</v>
      </c>
      <c r="I508" s="2" t="s">
        <v>1124</v>
      </c>
    </row>
    <row r="509" spans="1:9" ht="15.75" customHeight="1">
      <c r="A509" s="2" t="s">
        <v>933</v>
      </c>
      <c r="B509" s="2" t="s">
        <v>1122</v>
      </c>
      <c r="C509" s="2" t="str">
        <f ca="1">IFERROR(__xludf.DUMMYFUNCTION("googletranslate(C509,""en"",""ne"")"),"भूमेपाल गाउँपालिका")</f>
        <v>भूमेपाल गाउँपालिका</v>
      </c>
      <c r="D509" s="3" t="str">
        <f ca="1">IFERROR(__xludf.DUMMYFUNCTION("googletranslate(D509,""en"",""ne"")"),"अध्यक्ष")</f>
        <v>अध्यक्ष</v>
      </c>
      <c r="E509" s="2" t="s">
        <v>30</v>
      </c>
      <c r="F509" s="2" t="s">
        <v>1125</v>
      </c>
      <c r="G509" s="2" t="s">
        <v>8</v>
      </c>
      <c r="H509" s="2" t="s">
        <v>33</v>
      </c>
      <c r="I509" s="2" t="s">
        <v>1126</v>
      </c>
    </row>
    <row r="510" spans="1:9" ht="15.75" customHeight="1">
      <c r="A510" s="2" t="s">
        <v>933</v>
      </c>
      <c r="B510" s="2" t="s">
        <v>1122</v>
      </c>
      <c r="C510" s="2" t="str">
        <f ca="1">IFERROR(__xludf.DUMMYFUNCTION("googletranslate(C510,""en"",""ne"")"),"सिस्ने गाउँपालिका")</f>
        <v>सिस्ने गाउँपालिका</v>
      </c>
      <c r="D510" s="3" t="str">
        <f ca="1">IFERROR(__xludf.DUMMYFUNCTION("googletranslate(D510,""en"",""ne"")"),"अध्यक्ष")</f>
        <v>अध्यक्ष</v>
      </c>
      <c r="E510" s="2" t="s">
        <v>30</v>
      </c>
      <c r="F510" s="2" t="s">
        <v>1127</v>
      </c>
      <c r="G510" s="2" t="s">
        <v>8</v>
      </c>
      <c r="H510" s="2" t="s">
        <v>55</v>
      </c>
      <c r="I510" s="2" t="s">
        <v>1128</v>
      </c>
    </row>
    <row r="511" spans="1:9" ht="15.75" customHeight="1">
      <c r="A511" s="2" t="s">
        <v>933</v>
      </c>
      <c r="B511" s="2" t="s">
        <v>1129</v>
      </c>
      <c r="C511" s="2" t="str">
        <f ca="1">IFERROR(__xludf.DUMMYFUNCTION("googletranslate(C511,""en"",""ne"")"),"ओमसतिया गाउँपालिका")</f>
        <v>ओमसतिया गाउँपालिका</v>
      </c>
      <c r="D511" s="3" t="str">
        <f ca="1">IFERROR(__xludf.DUMMYFUNCTION("googletranslate(D511,""en"",""ne"")"),"अध्यक्ष")</f>
        <v>अध्यक्ष</v>
      </c>
      <c r="E511" s="2" t="s">
        <v>18</v>
      </c>
      <c r="F511" s="2" t="s">
        <v>1130</v>
      </c>
      <c r="G511" s="2" t="s">
        <v>8</v>
      </c>
      <c r="H511" s="2" t="s">
        <v>41</v>
      </c>
      <c r="I511" s="2" t="s">
        <v>1131</v>
      </c>
    </row>
    <row r="512" spans="1:9" ht="15.75" customHeight="1">
      <c r="A512" s="2" t="s">
        <v>933</v>
      </c>
      <c r="B512" s="2" t="s">
        <v>1129</v>
      </c>
      <c r="C512" s="2" t="str">
        <f ca="1">IFERROR(__xludf.DUMMYFUNCTION("googletranslate(C512,""en"",""ne"")"),"कञ्चनपाल गाउँिका")</f>
        <v>कञ्चनपाल गाउँिका</v>
      </c>
      <c r="D512" s="3" t="str">
        <f ca="1">IFERROR(__xludf.DUMMYFUNCTION("googletranslate(D512,""en"",""ne"")"),"अध्यक्ष")</f>
        <v>अध्यक्ष</v>
      </c>
      <c r="E512" s="2" t="s">
        <v>11</v>
      </c>
      <c r="F512" s="2" t="s">
        <v>1132</v>
      </c>
      <c r="G512" s="2" t="s">
        <v>8</v>
      </c>
      <c r="H512" s="2" t="s">
        <v>45</v>
      </c>
      <c r="I512" s="2" t="s">
        <v>1133</v>
      </c>
    </row>
    <row r="513" spans="1:9" ht="15.75" customHeight="1">
      <c r="A513" s="2" t="s">
        <v>933</v>
      </c>
      <c r="B513" s="2" t="s">
        <v>1129</v>
      </c>
      <c r="C513" s="2" t="str">
        <f ca="1">IFERROR(__xludf.DUMMYFUNCTION("googletranslate(C513,""en"",""ne"")"),"कोटहीमा गाउँपालिका")</f>
        <v>कोटहीमा गाउँपालिका</v>
      </c>
      <c r="D513" s="3" t="str">
        <f ca="1">IFERROR(__xludf.DUMMYFUNCTION("googletranslate(D513,""en"",""ne"")"),"अध्यक्ष")</f>
        <v>अध्यक्ष</v>
      </c>
      <c r="E513" s="2" t="s">
        <v>1044</v>
      </c>
      <c r="F513" s="2" t="s">
        <v>1134</v>
      </c>
      <c r="G513" s="2" t="s">
        <v>8</v>
      </c>
      <c r="H513" s="2" t="s">
        <v>708</v>
      </c>
      <c r="I513" s="2" t="s">
        <v>1135</v>
      </c>
    </row>
    <row r="514" spans="1:9" ht="15.75" customHeight="1">
      <c r="A514" s="2" t="s">
        <v>933</v>
      </c>
      <c r="B514" s="2" t="s">
        <v>1129</v>
      </c>
      <c r="C514" s="2" t="str">
        <f ca="1">IFERROR(__xludf.DUMMYFUNCTION("googletranslate(C514,""en"",""ne"")"),"गैडवा गाउँपालिका")</f>
        <v>गैडवा गाउँपालिका</v>
      </c>
      <c r="D514" s="3" t="str">
        <f ca="1">IFERROR(__xludf.DUMMYFUNCTION("googletranslate(D514,""en"",""ne"")"),"अध्यक्ष")</f>
        <v>अध्यक्ष</v>
      </c>
      <c r="E514" s="2" t="s">
        <v>18</v>
      </c>
      <c r="F514" s="2" t="s">
        <v>1136</v>
      </c>
      <c r="G514" s="2" t="s">
        <v>8</v>
      </c>
      <c r="H514" s="2" t="s">
        <v>13</v>
      </c>
      <c r="I514" s="2" t="s">
        <v>1137</v>
      </c>
    </row>
    <row r="515" spans="1:9" ht="15.75" customHeight="1">
      <c r="A515" s="2" t="s">
        <v>933</v>
      </c>
      <c r="B515" s="2" t="s">
        <v>1129</v>
      </c>
      <c r="C515" s="2" t="str">
        <f ca="1">IFERROR(__xludf.DUMMYFUNCTION("googletranslate(C515,""en"",""ne"")"),"तिलोत्तमा नगरपालिका")</f>
        <v>तिलोत्तमा नगरपालिका</v>
      </c>
      <c r="D515" s="3" t="str">
        <f ca="1">IFERROR(__xludf.DUMMYFUNCTION("googletranslate(D515,""en"",""ne"")"),"मेयर")</f>
        <v>मेयर</v>
      </c>
      <c r="E515" s="2" t="s">
        <v>11</v>
      </c>
      <c r="F515" s="2" t="s">
        <v>1138</v>
      </c>
      <c r="G515" s="2" t="s">
        <v>8</v>
      </c>
      <c r="H515" s="2" t="s">
        <v>9</v>
      </c>
      <c r="I515" s="2" t="s">
        <v>1139</v>
      </c>
    </row>
    <row r="516" spans="1:9" ht="15.75" customHeight="1">
      <c r="A516" s="2" t="s">
        <v>933</v>
      </c>
      <c r="B516" s="2" t="s">
        <v>1129</v>
      </c>
      <c r="C516" s="2" t="str">
        <f ca="1">IFERROR(__xludf.DUMMYFUNCTION("googletranslate(C516,""en"",""ne"")"),"देवदह नगरपालिका")</f>
        <v>देवदह नगरपालिका</v>
      </c>
      <c r="D516" s="3" t="str">
        <f ca="1">IFERROR(__xludf.DUMMYFUNCTION("googletranslate(D516,""en"",""ne"")"),"मेयर")</f>
        <v>मेयर</v>
      </c>
      <c r="E516" s="2" t="s">
        <v>18</v>
      </c>
      <c r="F516" s="2" t="s">
        <v>1140</v>
      </c>
      <c r="G516" s="2" t="s">
        <v>8</v>
      </c>
      <c r="H516" s="2" t="s">
        <v>9</v>
      </c>
      <c r="I516" s="2" t="s">
        <v>1141</v>
      </c>
    </row>
    <row r="517" spans="1:9" ht="15.75" customHeight="1">
      <c r="A517" s="2" t="s">
        <v>933</v>
      </c>
      <c r="B517" s="2" t="s">
        <v>1129</v>
      </c>
      <c r="C517" s="2" t="str">
        <f ca="1">IFERROR(__xludf.DUMMYFUNCTION("googletranslate(C517,""en"",""ne"")"),"बुटवल उपमहानगरपालिका")</f>
        <v>बुटवल उपमहानगरपालिका</v>
      </c>
      <c r="D517" s="3" t="str">
        <f ca="1">IFERROR(__xludf.DUMMYFUNCTION("googletranslate(D517,""en"",""ne"")"),"मेयर")</f>
        <v>मेयर</v>
      </c>
      <c r="E517" s="2" t="s">
        <v>11</v>
      </c>
      <c r="F517" s="2" t="s">
        <v>1142</v>
      </c>
      <c r="G517" s="2" t="s">
        <v>8</v>
      </c>
      <c r="H517" s="2" t="s">
        <v>64</v>
      </c>
      <c r="I517" s="2" t="s">
        <v>1143</v>
      </c>
    </row>
    <row r="518" spans="1:9" ht="15.75" customHeight="1">
      <c r="A518" s="2" t="s">
        <v>933</v>
      </c>
      <c r="B518" s="2" t="s">
        <v>1129</v>
      </c>
      <c r="C518" s="2" t="str">
        <f ca="1">IFERROR(__xludf.DUMMYFUNCTION("googletranslate(C518,""en"",""ne"")"),"मर्चवारी गाउँपालिका")</f>
        <v>मर्चवारी गाउँपालिका</v>
      </c>
      <c r="D518" s="3" t="str">
        <f ca="1">IFERROR(__xludf.DUMMYFUNCTION("googletranslate(D518,""en"",""ne"")"),"अध्यक्ष")</f>
        <v>अध्यक्ष</v>
      </c>
      <c r="E518" s="2" t="s">
        <v>1144</v>
      </c>
      <c r="F518" s="2" t="s">
        <v>1145</v>
      </c>
      <c r="G518" s="2" t="s">
        <v>8</v>
      </c>
      <c r="H518" s="2" t="s">
        <v>50</v>
      </c>
      <c r="I518" s="2" t="s">
        <v>1146</v>
      </c>
    </row>
    <row r="519" spans="1:9" ht="15.75" customHeight="1">
      <c r="A519" s="2" t="s">
        <v>933</v>
      </c>
      <c r="B519" s="2" t="s">
        <v>1129</v>
      </c>
      <c r="C519" s="2" t="str">
        <f ca="1">IFERROR(__xludf.DUMMYFUNCTION("googletranslate(C519,""en"",""ne"")"),"मायादेवी गाउँपालिका")</f>
        <v>मायादेवी गाउँपालिका</v>
      </c>
      <c r="D519" s="3" t="str">
        <f ca="1">IFERROR(__xludf.DUMMYFUNCTION("googletranslate(D519,""en"",""ne"")"),"अध्यक्ष")</f>
        <v>अध्यक्ष</v>
      </c>
      <c r="E519" s="2" t="s">
        <v>11</v>
      </c>
      <c r="F519" s="2" t="s">
        <v>1147</v>
      </c>
      <c r="G519" s="2" t="s">
        <v>8</v>
      </c>
      <c r="H519" s="2" t="s">
        <v>26</v>
      </c>
      <c r="I519" s="2" t="s">
        <v>275</v>
      </c>
    </row>
    <row r="520" spans="1:9" ht="15.75" customHeight="1">
      <c r="A520" s="2" t="s">
        <v>933</v>
      </c>
      <c r="B520" s="2" t="s">
        <v>1129</v>
      </c>
      <c r="C520" s="2" t="str">
        <f ca="1">IFERROR(__xludf.DUMMYFUNCTION("googletranslate(C520,""en"",""ne"")"),"रोहिणी गाउँपालिका")</f>
        <v>रोहिणी गाउँपालिका</v>
      </c>
      <c r="D520" s="3" t="str">
        <f ca="1">IFERROR(__xludf.DUMMYFUNCTION("googletranslate(D520,""en"",""ne"")"),"अध्यक्ष")</f>
        <v>अध्यक्ष</v>
      </c>
      <c r="E520" s="2" t="s">
        <v>789</v>
      </c>
      <c r="F520" s="2" t="s">
        <v>1148</v>
      </c>
      <c r="G520" s="2" t="s">
        <v>8</v>
      </c>
      <c r="H520" s="2" t="s">
        <v>41</v>
      </c>
      <c r="I520" s="2" t="s">
        <v>1149</v>
      </c>
    </row>
    <row r="521" spans="1:9" ht="15.75" customHeight="1">
      <c r="A521" s="2" t="s">
        <v>933</v>
      </c>
      <c r="B521" s="2" t="s">
        <v>1129</v>
      </c>
      <c r="C521" s="2" t="str">
        <f ca="1">IFERROR(__xludf.DUMMYFUNCTION("googletranslate(C521,""en"",""ne"")"),"लुम्बिनी सांस्कृतिक नगरपालिका")</f>
        <v>लुम्बिनी सांस्कृतिक नगरपालिका</v>
      </c>
      <c r="D521" s="3" t="str">
        <f ca="1">IFERROR(__xludf.DUMMYFUNCTION("googletranslate(D521,""en"",""ne"")"),"मेयर")</f>
        <v>मेयर</v>
      </c>
      <c r="E521" s="2" t="s">
        <v>11</v>
      </c>
      <c r="F521" s="2" t="s">
        <v>1150</v>
      </c>
      <c r="G521" s="2" t="s">
        <v>8</v>
      </c>
      <c r="H521" s="2" t="s">
        <v>258</v>
      </c>
      <c r="I521" s="2" t="s">
        <v>1151</v>
      </c>
    </row>
    <row r="522" spans="1:9" ht="15.75" customHeight="1">
      <c r="A522" s="2" t="s">
        <v>933</v>
      </c>
      <c r="B522" s="2" t="s">
        <v>1129</v>
      </c>
      <c r="C522" s="2" t="str">
        <f ca="1">IFERROR(__xludf.DUMMYFUNCTION("googletranslate(C522,""en"",""ne"")"),"शुद्धोधन गाउँपालिका")</f>
        <v>शुद्धोधन गाउँपालिका</v>
      </c>
      <c r="D522" s="3" t="str">
        <f ca="1">IFERROR(__xludf.DUMMYFUNCTION("googletranslate(D522,""en"",""ne"")"),"अध्यक्ष")</f>
        <v>अध्यक्ष</v>
      </c>
      <c r="E522" s="2" t="s">
        <v>11</v>
      </c>
      <c r="F522" s="2" t="s">
        <v>1152</v>
      </c>
      <c r="G522" s="2" t="s">
        <v>8</v>
      </c>
      <c r="H522" s="2" t="s">
        <v>479</v>
      </c>
      <c r="I522" s="2" t="s">
        <v>1153</v>
      </c>
    </row>
    <row r="523" spans="1:9" ht="15.75" customHeight="1">
      <c r="A523" s="2" t="s">
        <v>933</v>
      </c>
      <c r="B523" s="2" t="s">
        <v>1129</v>
      </c>
      <c r="C523" s="2" t="str">
        <f ca="1">IFERROR(__xludf.DUMMYFUNCTION("googletranslate(C523,""en"",""ne"")"),"सम्मरीमाई गाउँपालिका")</f>
        <v>सम्मरीमाई गाउँपालिका</v>
      </c>
      <c r="D523" s="3" t="str">
        <f ca="1">IFERROR(__xludf.DUMMYFUNCTION("googletranslate(D523,""en"",""ne"")"),"अध्यक्ष")</f>
        <v>अध्यक्ष</v>
      </c>
      <c r="E523" s="2" t="s">
        <v>11</v>
      </c>
      <c r="F523" s="2" t="s">
        <v>1154</v>
      </c>
      <c r="G523" s="2" t="s">
        <v>8</v>
      </c>
      <c r="H523" s="2" t="s">
        <v>86</v>
      </c>
      <c r="I523" s="2" t="s">
        <v>1155</v>
      </c>
    </row>
    <row r="524" spans="1:9" ht="15.75" customHeight="1">
      <c r="A524" s="2" t="s">
        <v>933</v>
      </c>
      <c r="B524" s="2" t="s">
        <v>1129</v>
      </c>
      <c r="C524" s="2" t="str">
        <f ca="1">IFERROR(__xludf.DUMMYFUNCTION("googletranslate(C524,""en"",""ne"")"),"सिद्धार्थनगर नगरपालिका")</f>
        <v>सिद्धार्थनगर नगरपालिका</v>
      </c>
      <c r="D524" s="3" t="str">
        <f ca="1">IFERROR(__xludf.DUMMYFUNCTION("googletranslate(D524,""en"",""ne"")"),"मेयर")</f>
        <v>मेयर</v>
      </c>
      <c r="E524" s="2" t="s">
        <v>11</v>
      </c>
      <c r="F524" s="2" t="s">
        <v>1156</v>
      </c>
      <c r="G524" s="2" t="s">
        <v>8</v>
      </c>
      <c r="H524" s="2" t="s">
        <v>67</v>
      </c>
      <c r="I524" s="2" t="s">
        <v>1157</v>
      </c>
    </row>
    <row r="525" spans="1:9" ht="15.75" customHeight="1">
      <c r="A525" s="2" t="s">
        <v>933</v>
      </c>
      <c r="B525" s="2" t="s">
        <v>1129</v>
      </c>
      <c r="C525" s="2" t="str">
        <f ca="1">IFERROR(__xludf.DUMMYFUNCTION("googletranslate(C525,""en"",""ne"")"),"सियारी गाउँपालिका")</f>
        <v>सियारी गाउँपालिका</v>
      </c>
      <c r="D525" s="3" t="str">
        <f ca="1">IFERROR(__xludf.DUMMYFUNCTION("googletranslate(D525,""en"",""ne"")"),"अध्यक्ष")</f>
        <v>अध्यक्ष</v>
      </c>
      <c r="E525" s="2" t="s">
        <v>11</v>
      </c>
      <c r="F525" s="2" t="s">
        <v>1158</v>
      </c>
      <c r="G525" s="2" t="s">
        <v>8</v>
      </c>
      <c r="H525" s="2" t="s">
        <v>61</v>
      </c>
      <c r="I525" s="2" t="s">
        <v>1159</v>
      </c>
    </row>
    <row r="526" spans="1:9" ht="15.75" customHeight="1">
      <c r="A526" s="2" t="s">
        <v>933</v>
      </c>
      <c r="B526" s="2" t="s">
        <v>1129</v>
      </c>
      <c r="C526" s="2" t="str">
        <f ca="1">IFERROR(__xludf.DUMMYFUNCTION("googletranslate(C526,""en"",""ne"")"),"सैनामैना नगरपालिका")</f>
        <v>सैनामैना नगरपालिका</v>
      </c>
      <c r="D526" s="3" t="str">
        <f ca="1">IFERROR(__xludf.DUMMYFUNCTION("googletranslate(D526,""en"",""ne"")"),"मेयर")</f>
        <v>मेयर</v>
      </c>
      <c r="E526" s="2" t="s">
        <v>11</v>
      </c>
      <c r="F526" s="2" t="s">
        <v>1160</v>
      </c>
      <c r="G526" s="2" t="s">
        <v>8</v>
      </c>
      <c r="H526" s="2" t="s">
        <v>86</v>
      </c>
      <c r="I526" s="2" t="s">
        <v>1161</v>
      </c>
    </row>
    <row r="527" spans="1:9" ht="15.75" customHeight="1">
      <c r="A527" s="2" t="s">
        <v>1162</v>
      </c>
      <c r="B527" s="2" t="s">
        <v>1163</v>
      </c>
      <c r="C527" s="2" t="str">
        <f ca="1">IFERROR(__xludf.DUMMYFUNCTION("googletranslate(C527,""en"",""ne"")"),"आदर्श कोतवाल गाउँपालिका")</f>
        <v>आदर्श कोतवाल गाउँपालिका</v>
      </c>
      <c r="D527" s="3" t="str">
        <f ca="1">IFERROR(__xludf.DUMMYFUNCTION("googletranslate(D527,""en"",""ne"")"),"अध्यक्ष")</f>
        <v>अध्यक्ष</v>
      </c>
      <c r="E527" s="2" t="s">
        <v>11</v>
      </c>
      <c r="F527" s="2" t="s">
        <v>1164</v>
      </c>
      <c r="G527" s="2" t="s">
        <v>8</v>
      </c>
      <c r="H527" s="2" t="s">
        <v>411</v>
      </c>
      <c r="I527" s="2" t="s">
        <v>1165</v>
      </c>
    </row>
    <row r="528" spans="1:9" ht="15.75" customHeight="1">
      <c r="A528" s="2" t="s">
        <v>1162</v>
      </c>
      <c r="B528" s="2" t="s">
        <v>1163</v>
      </c>
      <c r="C528" s="2" t="str">
        <f ca="1">IFERROR(__xludf.DUMMYFUNCTION("googletranslate(C528,""en"",""ne"")"),"बारागढी गाउँपालिका")</f>
        <v>बारागढी गाउँपालिका</v>
      </c>
      <c r="D528" s="3" t="str">
        <f ca="1">IFERROR(__xludf.DUMMYFUNCTION("googletranslate(D528,""en"",""ne"")"),"अध्यक्ष")</f>
        <v>अध्यक्ष</v>
      </c>
      <c r="E528" s="2" t="s">
        <v>789</v>
      </c>
      <c r="F528" s="2" t="s">
        <v>1166</v>
      </c>
      <c r="G528" s="2" t="s">
        <v>8</v>
      </c>
      <c r="H528" s="2" t="s">
        <v>23</v>
      </c>
      <c r="I528" s="2" t="s">
        <v>1167</v>
      </c>
    </row>
    <row r="529" spans="1:9" ht="15.75" customHeight="1">
      <c r="A529" s="2" t="s">
        <v>1162</v>
      </c>
      <c r="B529" s="2" t="s">
        <v>1163</v>
      </c>
      <c r="C529" s="2" t="str">
        <f ca="1">IFERROR(__xludf.DUMMYFUNCTION("googletranslate(C529,""en"",""ne"")"),"जितपुर सिमरा उपमहानगरपालिका")</f>
        <v>जितपुर सिमरा उपमहानगरपालिका</v>
      </c>
      <c r="D529" s="3" t="str">
        <f ca="1">IFERROR(__xludf.DUMMYFUNCTION("googletranslate(D529,""en"",""ne"")"),"मेयर")</f>
        <v>मेयर</v>
      </c>
      <c r="E529" s="2" t="s">
        <v>30</v>
      </c>
      <c r="F529" s="2" t="s">
        <v>1168</v>
      </c>
      <c r="G529" s="2" t="s">
        <v>8</v>
      </c>
      <c r="H529" s="2" t="s">
        <v>58</v>
      </c>
      <c r="I529" s="2" t="s">
        <v>1169</v>
      </c>
    </row>
    <row r="530" spans="1:9" ht="15.75" customHeight="1">
      <c r="A530" s="2" t="s">
        <v>1162</v>
      </c>
      <c r="B530" s="2" t="s">
        <v>1163</v>
      </c>
      <c r="C530" s="2" t="str">
        <f ca="1">IFERROR(__xludf.DUMMYFUNCTION("googletranslate(C530,""en"",""ne"")"),"कलैया उपमहानगरपालिका")</f>
        <v>कलैया उपमहानगरपालिका</v>
      </c>
      <c r="D530" s="3" t="str">
        <f ca="1">IFERROR(__xludf.DUMMYFUNCTION("googletranslate(D530,""en"",""ne"")"),"मेयर")</f>
        <v>मेयर</v>
      </c>
      <c r="E530" s="2" t="s">
        <v>18</v>
      </c>
      <c r="F530" s="2" t="s">
        <v>1170</v>
      </c>
      <c r="G530" s="2" t="s">
        <v>8</v>
      </c>
      <c r="H530" s="2" t="s">
        <v>86</v>
      </c>
      <c r="I530" s="2" t="s">
        <v>1171</v>
      </c>
    </row>
    <row r="531" spans="1:9" ht="15.75" customHeight="1">
      <c r="A531" s="2" t="s">
        <v>1162</v>
      </c>
      <c r="B531" s="2" t="s">
        <v>1163</v>
      </c>
      <c r="C531" s="2" t="str">
        <f ca="1">IFERROR(__xludf.DUMMYFUNCTION("googletranslate(C531,""en"",""ne"")"),"करैयामाई गाउँपालिका")</f>
        <v>करैयामाई गाउँपालिका</v>
      </c>
      <c r="D531" s="3" t="str">
        <f ca="1">IFERROR(__xludf.DUMMYFUNCTION("googletranslate(D531,""en"",""ne"")"),"अध्यक्ष")</f>
        <v>अध्यक्ष</v>
      </c>
      <c r="E531" s="2" t="s">
        <v>789</v>
      </c>
      <c r="F531" s="2" t="s">
        <v>1172</v>
      </c>
      <c r="G531" s="2" t="s">
        <v>8</v>
      </c>
      <c r="H531" s="2" t="s">
        <v>26</v>
      </c>
      <c r="I531" s="2" t="s">
        <v>1173</v>
      </c>
    </row>
    <row r="532" spans="1:9" ht="15.75" customHeight="1">
      <c r="A532" s="2" t="s">
        <v>1162</v>
      </c>
      <c r="B532" s="2" t="s">
        <v>1163</v>
      </c>
      <c r="C532" s="2" t="str">
        <f ca="1">IFERROR(__xludf.DUMMYFUNCTION("googletranslate(C532,""en"",""ne"")"),"कोल्हवी नगरपालिका")</f>
        <v>कोल्हवी नगरपालिका</v>
      </c>
      <c r="D532" s="3" t="str">
        <f ca="1">IFERROR(__xludf.DUMMYFUNCTION("googletranslate(D532,""en"",""ne"")"),"मेयर")</f>
        <v>मेयर</v>
      </c>
      <c r="E532" s="2" t="s">
        <v>11</v>
      </c>
      <c r="F532" s="2" t="s">
        <v>1174</v>
      </c>
      <c r="G532" s="2" t="s">
        <v>8</v>
      </c>
      <c r="H532" s="2" t="s">
        <v>45</v>
      </c>
      <c r="I532" s="2" t="s">
        <v>1175</v>
      </c>
    </row>
    <row r="533" spans="1:9" ht="15.75" customHeight="1">
      <c r="A533" s="2" t="s">
        <v>1162</v>
      </c>
      <c r="B533" s="2" t="s">
        <v>1163</v>
      </c>
      <c r="C533" s="2" t="str">
        <f ca="1">IFERROR(__xludf.DUMMYFUNCTION("googletranslate(C533,""en"",""ne"")"),"देवताल गाउँपालिका")</f>
        <v>देवताल गाउँपालिका</v>
      </c>
      <c r="D533" s="3" t="str">
        <f ca="1">IFERROR(__xludf.DUMMYFUNCTION("googletranslate(D533,""en"",""ne"")"),"अध्यक्ष")</f>
        <v>अध्यक्ष</v>
      </c>
      <c r="E533" s="2" t="s">
        <v>789</v>
      </c>
      <c r="F533" s="2" t="s">
        <v>1176</v>
      </c>
      <c r="G533" s="2" t="s">
        <v>8</v>
      </c>
      <c r="H533" s="2" t="s">
        <v>41</v>
      </c>
      <c r="I533" s="2" t="s">
        <v>1177</v>
      </c>
    </row>
    <row r="534" spans="1:9" ht="15.75" customHeight="1">
      <c r="A534" s="2" t="s">
        <v>1162</v>
      </c>
      <c r="B534" s="2" t="s">
        <v>1163</v>
      </c>
      <c r="C534" s="2" t="str">
        <f ca="1">IFERROR(__xludf.DUMMYFUNCTION("googletranslate(C534,""en"",""ne"")"),"निजगढ नगरपालिका")</f>
        <v>निजगढ नगरपालिका</v>
      </c>
      <c r="D534" s="3" t="str">
        <f ca="1">IFERROR(__xludf.DUMMYFUNCTION("googletranslate(D534,""en"",""ne"")"),"मेयर")</f>
        <v>मेयर</v>
      </c>
      <c r="E534" s="2" t="s">
        <v>18</v>
      </c>
      <c r="F534" s="2" t="s">
        <v>1178</v>
      </c>
      <c r="G534" s="2" t="s">
        <v>8</v>
      </c>
      <c r="H534" s="2" t="s">
        <v>33</v>
      </c>
      <c r="I534" s="2" t="s">
        <v>1179</v>
      </c>
    </row>
    <row r="535" spans="1:9" ht="15.75" customHeight="1">
      <c r="A535" s="2" t="s">
        <v>1162</v>
      </c>
      <c r="B535" s="2" t="s">
        <v>1163</v>
      </c>
      <c r="C535" s="2" t="str">
        <f ca="1">IFERROR(__xludf.DUMMYFUNCTION("googletranslate(C535,""en"",""ne"")"),"पचरौता नगरपालिका")</f>
        <v>पचरौता नगरपालिका</v>
      </c>
      <c r="D535" s="3" t="str">
        <f ca="1">IFERROR(__xludf.DUMMYFUNCTION("googletranslate(D535,""en"",""ne"")"),"मेयर")</f>
        <v>मेयर</v>
      </c>
      <c r="E535" s="2" t="s">
        <v>18</v>
      </c>
      <c r="F535" s="2" t="s">
        <v>1180</v>
      </c>
      <c r="G535" s="2" t="s">
        <v>8</v>
      </c>
      <c r="H535" s="2" t="s">
        <v>26</v>
      </c>
      <c r="I535" s="2" t="s">
        <v>1181</v>
      </c>
    </row>
    <row r="536" spans="1:9" ht="15.75" customHeight="1">
      <c r="A536" s="2" t="s">
        <v>1162</v>
      </c>
      <c r="B536" s="2" t="s">
        <v>1163</v>
      </c>
      <c r="C536" s="2" t="str">
        <f ca="1">IFERROR(__xludf.DUMMYFUNCTION("googletranslate(C536,""en"",""ne"")"),"परवानीपुर गाउँपालिका")</f>
        <v>परवानीपुर गाउँपालिका</v>
      </c>
      <c r="D536" s="3" t="str">
        <f ca="1">IFERROR(__xludf.DUMMYFUNCTION("googletranslate(D536,""en"",""ne"")"),"अध्यक्ष")</f>
        <v>अध्यक्ष</v>
      </c>
      <c r="E536" s="2" t="s">
        <v>18</v>
      </c>
      <c r="F536" s="2" t="s">
        <v>1182</v>
      </c>
      <c r="G536" s="2" t="s">
        <v>8</v>
      </c>
      <c r="H536" s="2" t="s">
        <v>45</v>
      </c>
      <c r="I536" s="2" t="s">
        <v>1183</v>
      </c>
    </row>
    <row r="537" spans="1:9" ht="15.75" customHeight="1">
      <c r="A537" s="2" t="s">
        <v>1162</v>
      </c>
      <c r="B537" s="2" t="s">
        <v>1163</v>
      </c>
      <c r="C537" s="2" t="str">
        <f ca="1">IFERROR(__xludf.DUMMYFUNCTION("googletranslate(C537,""en"",""ne"")"),"प्रसौनी गाउँपालिका")</f>
        <v>प्रसौनी गाउँपालिका</v>
      </c>
      <c r="D537" s="3" t="str">
        <f ca="1">IFERROR(__xludf.DUMMYFUNCTION("googletranslate(D537,""en"",""ne"")"),"अध्यक्ष")</f>
        <v>अध्यक्ष</v>
      </c>
      <c r="E537" s="2" t="s">
        <v>18</v>
      </c>
      <c r="F537" s="2" t="s">
        <v>1184</v>
      </c>
      <c r="G537" s="2" t="s">
        <v>8</v>
      </c>
      <c r="H537" s="2" t="s">
        <v>91</v>
      </c>
      <c r="I537" s="2" t="s">
        <v>1185</v>
      </c>
    </row>
    <row r="538" spans="1:9" ht="15.75" customHeight="1">
      <c r="A538" s="2" t="s">
        <v>1162</v>
      </c>
      <c r="B538" s="2" t="s">
        <v>1163</v>
      </c>
      <c r="C538" s="2" t="str">
        <f ca="1">IFERROR(__xludf.DUMMYFUNCTION("googletranslate(C538,""en"",""ne"")"),"फेटा गाउँपालिका")</f>
        <v>फेटा गाउँपालिका</v>
      </c>
      <c r="D538" s="3" t="str">
        <f ca="1">IFERROR(__xludf.DUMMYFUNCTION("googletranslate(D538,""en"",""ne"")"),"अध्यक्ष")</f>
        <v>अध्यक्ष</v>
      </c>
      <c r="E538" s="2" t="s">
        <v>1186</v>
      </c>
      <c r="F538" s="2" t="s">
        <v>1187</v>
      </c>
      <c r="G538" s="2" t="s">
        <v>8</v>
      </c>
      <c r="H538" s="2" t="s">
        <v>58</v>
      </c>
      <c r="I538" s="2" t="s">
        <v>132</v>
      </c>
    </row>
    <row r="539" spans="1:9" ht="15.75" customHeight="1">
      <c r="A539" s="2" t="s">
        <v>1162</v>
      </c>
      <c r="B539" s="2" t="s">
        <v>1163</v>
      </c>
      <c r="C539" s="2" t="str">
        <f ca="1">IFERROR(__xludf.DUMMYFUNCTION("googletranslate(C539,""en"",""ne"")"),"महागढी माई नगरपालिका")</f>
        <v>महागढी माई नगरपालिका</v>
      </c>
      <c r="D539" s="3" t="str">
        <f ca="1">IFERROR(__xludf.DUMMYFUNCTION("googletranslate(D539,""en"",""ne"")"),"मेयर")</f>
        <v>मेयर</v>
      </c>
      <c r="E539" s="2" t="s">
        <v>11</v>
      </c>
      <c r="F539" s="2" t="s">
        <v>1188</v>
      </c>
      <c r="G539" s="2" t="s">
        <v>8</v>
      </c>
      <c r="H539" s="2" t="s">
        <v>58</v>
      </c>
      <c r="I539" s="2" t="s">
        <v>1189</v>
      </c>
    </row>
    <row r="540" spans="1:9" ht="15.75" customHeight="1">
      <c r="A540" s="2" t="s">
        <v>1162</v>
      </c>
      <c r="B540" s="2" t="s">
        <v>1163</v>
      </c>
      <c r="C540" s="2" t="str">
        <f ca="1">IFERROR(__xludf.DUMMYFUNCTION("googletranslate(C540,""en"",""ne"")"),"विश्रामपुर गाउँपालिका")</f>
        <v>विश्रामपुर गाउँपालिका</v>
      </c>
      <c r="D540" s="3" t="str">
        <f ca="1">IFERROR(__xludf.DUMMYFUNCTION("googletranslate(D540,""en"",""ne"")"),"अध्यक्ष")</f>
        <v>अध्यक्ष</v>
      </c>
      <c r="E540" s="2" t="s">
        <v>1044</v>
      </c>
      <c r="F540" s="2" t="s">
        <v>1190</v>
      </c>
      <c r="G540" s="2" t="s">
        <v>8</v>
      </c>
      <c r="H540" s="2" t="s">
        <v>23</v>
      </c>
      <c r="I540" s="2" t="s">
        <v>1191</v>
      </c>
    </row>
    <row r="541" spans="1:9" ht="15.75" customHeight="1">
      <c r="A541" s="2" t="s">
        <v>1162</v>
      </c>
      <c r="B541" s="2" t="s">
        <v>1163</v>
      </c>
      <c r="C541" s="2" t="str">
        <f ca="1">IFERROR(__xludf.DUMMYFUNCTION("googletranslate(C541,""en"",""ne"")"),"सिम्रौनगढ नगरपालिका")</f>
        <v>सिम्रौनगढ नगरपालिका</v>
      </c>
      <c r="D541" s="3" t="str">
        <f ca="1">IFERROR(__xludf.DUMMYFUNCTION("googletranslate(D541,""en"",""ne"")"),"मेयर")</f>
        <v>मेयर</v>
      </c>
      <c r="E541" s="2" t="s">
        <v>1044</v>
      </c>
      <c r="F541" s="2" t="s">
        <v>1192</v>
      </c>
      <c r="G541" s="2" t="s">
        <v>8</v>
      </c>
      <c r="H541" s="2" t="s">
        <v>479</v>
      </c>
      <c r="I541" s="2" t="s">
        <v>1193</v>
      </c>
    </row>
    <row r="542" spans="1:9" ht="15.75" customHeight="1">
      <c r="A542" s="2" t="s">
        <v>1162</v>
      </c>
      <c r="B542" s="2" t="s">
        <v>1163</v>
      </c>
      <c r="C542" s="2" t="str">
        <f ca="1">IFERROR(__xludf.DUMMYFUNCTION("googletranslate(C542,""en"",""ne"")"),"स्वर्णपालिका गाउँपालिका")</f>
        <v>स्वर्णपालिका गाउँपालिका</v>
      </c>
      <c r="D542" s="3" t="str">
        <f ca="1">IFERROR(__xludf.DUMMYFUNCTION("googletranslate(D542,""en"",""ne"")"),"अध्यक्ष")</f>
        <v>अध्यक्ष</v>
      </c>
      <c r="E542" s="2" t="s">
        <v>11</v>
      </c>
      <c r="F542" s="2" t="s">
        <v>1194</v>
      </c>
      <c r="G542" s="2" t="s">
        <v>8</v>
      </c>
      <c r="H542" s="2" t="s">
        <v>190</v>
      </c>
      <c r="I542" s="2" t="s">
        <v>1195</v>
      </c>
    </row>
    <row r="543" spans="1:9" ht="15.75" customHeight="1">
      <c r="A543" s="2" t="s">
        <v>1162</v>
      </c>
      <c r="B543" s="2" t="s">
        <v>1196</v>
      </c>
      <c r="C543" s="2" t="str">
        <f ca="1">IFERROR(__xludf.DUMMYFUNCTION("googletranslate(C543,""en"",""ne"")"),"धनुषाधाम नगरपालिका")</f>
        <v>धनुषाधाम नगरपालिका</v>
      </c>
      <c r="D543" s="3" t="str">
        <f ca="1">IFERROR(__xludf.DUMMYFUNCTION("googletranslate(D543,""en"",""ne"")"),"मेयर")</f>
        <v>मेयर</v>
      </c>
      <c r="E543" s="2" t="s">
        <v>11</v>
      </c>
      <c r="F543" s="2" t="s">
        <v>1197</v>
      </c>
      <c r="G543" s="2" t="s">
        <v>8</v>
      </c>
      <c r="H543" s="2" t="s">
        <v>151</v>
      </c>
      <c r="I543" s="2" t="s">
        <v>1198</v>
      </c>
    </row>
    <row r="544" spans="1:9" ht="15.75" customHeight="1">
      <c r="A544" s="2" t="s">
        <v>1162</v>
      </c>
      <c r="B544" s="2" t="s">
        <v>1196</v>
      </c>
      <c r="C544" s="2" t="str">
        <f ca="1">IFERROR(__xludf.DUMMYFUNCTION("googletranslate(C544,""en"",""ne"")"),"कमला नगरपालिका")</f>
        <v>कमला नगरपालिका</v>
      </c>
      <c r="D544" s="3" t="str">
        <f ca="1">IFERROR(__xludf.DUMMYFUNCTION("googletranslate(D544,""en"",""ne"")"),"मेयर")</f>
        <v>मेयर</v>
      </c>
      <c r="E544" s="2" t="s">
        <v>11</v>
      </c>
      <c r="F544" s="2" t="s">
        <v>1199</v>
      </c>
      <c r="G544" s="2" t="s">
        <v>8</v>
      </c>
      <c r="H544" s="2" t="s">
        <v>140</v>
      </c>
      <c r="I544" s="2" t="s">
        <v>1200</v>
      </c>
    </row>
    <row r="545" spans="1:9" ht="15.75" customHeight="1">
      <c r="A545" s="2" t="s">
        <v>1162</v>
      </c>
      <c r="B545" s="2" t="s">
        <v>1196</v>
      </c>
      <c r="C545" s="2" t="str">
        <f ca="1">IFERROR(__xludf.DUMMYFUNCTION("googletranslate(C545,""en"",""ne"")"),"रहीपाल गाउँपालिका")</f>
        <v>रहीपाल गाउँपालिका</v>
      </c>
      <c r="D545" s="3" t="str">
        <f ca="1">IFERROR(__xludf.DUMMYFUNCTION("googletranslate(D545,""en"",""ne"")"),"अध्यक्ष")</f>
        <v>अध्यक्ष</v>
      </c>
      <c r="E545" s="2" t="s">
        <v>18</v>
      </c>
      <c r="F545" s="2" t="s">
        <v>1201</v>
      </c>
      <c r="G545" s="2" t="s">
        <v>8</v>
      </c>
      <c r="H545" s="2" t="s">
        <v>98</v>
      </c>
      <c r="I545" s="2" t="s">
        <v>1202</v>
      </c>
    </row>
    <row r="546" spans="1:9" ht="15.75" customHeight="1">
      <c r="A546" s="2" t="s">
        <v>1162</v>
      </c>
      <c r="B546" s="2" t="s">
        <v>1196</v>
      </c>
      <c r="C546" s="2" t="str">
        <f ca="1">IFERROR(__xludf.DUMMYFUNCTION("googletranslate(C546,""en"",""ne"")"),"क्षिरेश्वरनाथ नगरपालिका")</f>
        <v>क्षिरेश्वरनाथ नगरपालिका</v>
      </c>
      <c r="D546" s="3" t="str">
        <f ca="1">IFERROR(__xludf.DUMMYFUNCTION("googletranslate(D546,""en"",""ne"")"),"मेयर")</f>
        <v>मेयर</v>
      </c>
      <c r="E546" s="2" t="s">
        <v>18</v>
      </c>
      <c r="F546" s="2" t="s">
        <v>1203</v>
      </c>
      <c r="G546" s="2" t="s">
        <v>8</v>
      </c>
      <c r="H546" s="2" t="s">
        <v>61</v>
      </c>
      <c r="I546" s="2" t="s">
        <v>1204</v>
      </c>
    </row>
    <row r="547" spans="1:9" ht="15.75" customHeight="1">
      <c r="A547" s="2" t="s">
        <v>1162</v>
      </c>
      <c r="B547" s="2" t="s">
        <v>1196</v>
      </c>
      <c r="C547" s="2" t="str">
        <f ca="1">IFERROR(__xludf.DUMMYFUNCTION("googletranslate(C547,""en"",""ne"")"),"गणेशमान चारनाथ नगरपालिका")</f>
        <v>गणेशमान चारनाथ नगरपालिका</v>
      </c>
      <c r="D547" s="3" t="str">
        <f ca="1">IFERROR(__xludf.DUMMYFUNCTION("googletranslate(D547,""en"",""ne"")"),"मेयर")</f>
        <v>मेयर</v>
      </c>
      <c r="E547" s="2" t="s">
        <v>11</v>
      </c>
      <c r="F547" s="2" t="s">
        <v>1205</v>
      </c>
      <c r="G547" s="2" t="s">
        <v>8</v>
      </c>
      <c r="H547" s="2" t="s">
        <v>70</v>
      </c>
      <c r="I547" s="2" t="s">
        <v>1206</v>
      </c>
    </row>
    <row r="548" spans="1:9" ht="15.75" customHeight="1">
      <c r="A548" s="2" t="s">
        <v>1162</v>
      </c>
      <c r="B548" s="2" t="s">
        <v>1196</v>
      </c>
      <c r="C548" s="2" t="str">
        <f ca="1">IFERROR(__xludf.DUMMYFUNCTION("googletranslate(C548,""en"",""ne"")"),"जननन्दिनी गाउँपालिका")</f>
        <v>जननन्दिनी गाउँपालिका</v>
      </c>
      <c r="D548" s="3" t="str">
        <f ca="1">IFERROR(__xludf.DUMMYFUNCTION("googletranslate(D548,""en"",""ne"")"),"अध्यक्ष")</f>
        <v>अध्यक्ष</v>
      </c>
      <c r="E548" s="2" t="s">
        <v>789</v>
      </c>
      <c r="F548" s="2" t="s">
        <v>1207</v>
      </c>
      <c r="G548" s="2" t="s">
        <v>8</v>
      </c>
      <c r="H548" s="2" t="s">
        <v>200</v>
      </c>
      <c r="I548" s="2" t="s">
        <v>1208</v>
      </c>
    </row>
    <row r="549" spans="1:9" ht="15.75" customHeight="1">
      <c r="A549" s="2" t="s">
        <v>1162</v>
      </c>
      <c r="B549" s="2" t="s">
        <v>1196</v>
      </c>
      <c r="C549" s="2" t="str">
        <f ca="1">IFERROR(__xludf.DUMMYFUNCTION("googletranslate(C549,""en"",""ne"")"),"जनपुरधाम उपमहानगरपालिका")</f>
        <v>जनपुरधाम उपमहानगरपालिका</v>
      </c>
      <c r="D549" s="3" t="str">
        <f ca="1">IFERROR(__xludf.DUMMYFUNCTION("googletranslate(D549,""en"",""ne"")"),"मेयर")</f>
        <v>मेयर</v>
      </c>
      <c r="E549" s="2" t="s">
        <v>11</v>
      </c>
      <c r="F549" s="2" t="s">
        <v>1209</v>
      </c>
      <c r="G549" s="2" t="s">
        <v>8</v>
      </c>
      <c r="H549" s="2" t="s">
        <v>26</v>
      </c>
      <c r="I549" s="2" t="s">
        <v>1210</v>
      </c>
    </row>
    <row r="550" spans="1:9" ht="15.75" customHeight="1">
      <c r="A550" s="2" t="s">
        <v>1162</v>
      </c>
      <c r="B550" s="2" t="s">
        <v>1196</v>
      </c>
      <c r="C550" s="2" t="str">
        <f ca="1">IFERROR(__xludf.DUMMYFUNCTION("googletranslate(C550,""en"",""ne"")"),"धनौजी गाउँपालिका")</f>
        <v>धनौजी गाउँपालिका</v>
      </c>
      <c r="D550" s="3" t="str">
        <f ca="1">IFERROR(__xludf.DUMMYFUNCTION("googletranslate(D550,""en"",""ne"")"),"अध्यक्ष")</f>
        <v>अध्यक्ष</v>
      </c>
      <c r="E550" s="2" t="s">
        <v>11</v>
      </c>
      <c r="F550" s="2" t="s">
        <v>1211</v>
      </c>
      <c r="G550" s="2" t="s">
        <v>8</v>
      </c>
      <c r="H550" s="2" t="s">
        <v>121</v>
      </c>
      <c r="I550" s="2" t="s">
        <v>1212</v>
      </c>
    </row>
    <row r="551" spans="1:9" ht="15.75" customHeight="1">
      <c r="A551" s="2" t="s">
        <v>1162</v>
      </c>
      <c r="B551" s="2" t="s">
        <v>1196</v>
      </c>
      <c r="C551" s="2" t="str">
        <f ca="1">IFERROR(__xludf.DUMMYFUNCTION("googletranslate(C551,""en"",""ne"")"),"नगराइन नगरपालिका")</f>
        <v>नगराइन नगरपालिका</v>
      </c>
      <c r="D551" s="3" t="str">
        <f ca="1">IFERROR(__xludf.DUMMYFUNCTION("googletranslate(D551,""en"",""ne"")"),"मेयर")</f>
        <v>मेयर</v>
      </c>
      <c r="E551" s="2" t="s">
        <v>11</v>
      </c>
      <c r="F551" s="2" t="s">
        <v>1213</v>
      </c>
      <c r="G551" s="2" t="s">
        <v>8</v>
      </c>
      <c r="H551" s="2" t="s">
        <v>45</v>
      </c>
      <c r="I551" s="2" t="s">
        <v>330</v>
      </c>
    </row>
    <row r="552" spans="1:9" ht="15.75" customHeight="1">
      <c r="A552" s="2" t="s">
        <v>1162</v>
      </c>
      <c r="B552" s="2" t="s">
        <v>1196</v>
      </c>
      <c r="C552" s="2" t="str">
        <f ca="1">IFERROR(__xludf.DUMMYFUNCTION("googletranslate(C552,""en"",""ne"")"),"बटेश्वर गाउँपालिका")</f>
        <v>बटेश्वर गाउँपालिका</v>
      </c>
      <c r="D552" s="3" t="str">
        <f ca="1">IFERROR(__xludf.DUMMYFUNCTION("googletranslate(D552,""en"",""ne"")"),"अध्यक्ष")</f>
        <v>अध्यक्ष</v>
      </c>
      <c r="E552" s="2" t="s">
        <v>11</v>
      </c>
      <c r="F552" s="2" t="s">
        <v>1214</v>
      </c>
      <c r="G552" s="2" t="s">
        <v>8</v>
      </c>
      <c r="H552" s="2" t="s">
        <v>758</v>
      </c>
      <c r="I552" s="2" t="s">
        <v>1215</v>
      </c>
    </row>
    <row r="553" spans="1:9" ht="15.75" customHeight="1">
      <c r="A553" s="2" t="s">
        <v>1162</v>
      </c>
      <c r="B553" s="2" t="s">
        <v>1196</v>
      </c>
      <c r="C553" s="2" t="str">
        <f ca="1">IFERROR(__xludf.DUMMYFUNCTION("googletranslate(C553,""en"",""ne"")"),"मिथिला नगरपालिका")</f>
        <v>मिथिला नगरपालिका</v>
      </c>
      <c r="D553" s="3" t="str">
        <f ca="1">IFERROR(__xludf.DUMMYFUNCTION("googletranslate(D553,""en"",""ne"")"),"मेयर")</f>
        <v>मेयर</v>
      </c>
      <c r="E553" s="2" t="s">
        <v>11</v>
      </c>
      <c r="F553" s="2" t="s">
        <v>1216</v>
      </c>
      <c r="G553" s="2" t="s">
        <v>8</v>
      </c>
      <c r="H553" s="2" t="s">
        <v>67</v>
      </c>
      <c r="I553" s="2" t="s">
        <v>1217</v>
      </c>
    </row>
    <row r="554" spans="1:9" ht="15.75" customHeight="1">
      <c r="A554" s="2" t="s">
        <v>1162</v>
      </c>
      <c r="B554" s="2" t="s">
        <v>1196</v>
      </c>
      <c r="C554" s="2" t="str">
        <f ca="1">IFERROR(__xludf.DUMMYFUNCTION("googletranslate(C554,""en"",""ne"")"),"मिथिला बिहारी नगरपालिका")</f>
        <v>मिथिला बिहारी नगरपालिका</v>
      </c>
      <c r="D554" s="3" t="str">
        <f ca="1">IFERROR(__xludf.DUMMYFUNCTION("googletranslate(D554,""en"",""ne"")"),"मेयर")</f>
        <v>मेयर</v>
      </c>
      <c r="E554" s="2" t="s">
        <v>11</v>
      </c>
      <c r="F554" s="2" t="s">
        <v>1218</v>
      </c>
      <c r="G554" s="2" t="s">
        <v>8</v>
      </c>
      <c r="H554" s="2" t="s">
        <v>758</v>
      </c>
      <c r="I554" s="2" t="s">
        <v>1219</v>
      </c>
    </row>
    <row r="555" spans="1:9" ht="15.75" customHeight="1">
      <c r="A555" s="2" t="s">
        <v>1162</v>
      </c>
      <c r="B555" s="2" t="s">
        <v>1196</v>
      </c>
      <c r="C555" s="2" t="str">
        <f ca="1">IFERROR(__xludf.DUMMYFUNCTION("googletranslate(C555,""en"",""ne"")"),"मुखियापट्टी मुसहमिया गाउँपालिका")</f>
        <v>मुखियापट्टी मुसहमिया गाउँपालिका</v>
      </c>
      <c r="D555" s="3" t="str">
        <f ca="1">IFERROR(__xludf.DUMMYFUNCTION("googletranslate(D555,""en"",""ne"")"),"अध्यक्ष")</f>
        <v>अध्यक्ष</v>
      </c>
      <c r="E555" s="2" t="s">
        <v>789</v>
      </c>
      <c r="F555" s="2" t="s">
        <v>1220</v>
      </c>
      <c r="G555" s="2" t="s">
        <v>8</v>
      </c>
      <c r="H555" s="2" t="s">
        <v>242</v>
      </c>
      <c r="I555" s="2" t="s">
        <v>1221</v>
      </c>
    </row>
    <row r="556" spans="1:9" ht="15.75" customHeight="1">
      <c r="A556" s="2" t="s">
        <v>1162</v>
      </c>
      <c r="B556" s="2" t="s">
        <v>1196</v>
      </c>
      <c r="C556" s="2" t="str">
        <f ca="1">IFERROR(__xludf.DUMMYFUNCTION("googletranslate(C556,""en"",""ne"")"),"लक्ष्मीनिया गाउँपालिका")</f>
        <v>लक्ष्मीनिया गाउँपालिका</v>
      </c>
      <c r="D556" s="3" t="str">
        <f ca="1">IFERROR(__xludf.DUMMYFUNCTION("googletranslate(D556,""en"",""ne"")"),"अध्यक्ष")</f>
        <v>अध्यक्ष</v>
      </c>
      <c r="E556" s="2" t="s">
        <v>11</v>
      </c>
      <c r="F556" s="2" t="s">
        <v>1222</v>
      </c>
      <c r="G556" s="2" t="s">
        <v>8</v>
      </c>
      <c r="H556" s="2" t="s">
        <v>306</v>
      </c>
      <c r="I556" s="2" t="s">
        <v>1223</v>
      </c>
    </row>
    <row r="557" spans="1:9" ht="15.75" customHeight="1">
      <c r="A557" s="2" t="s">
        <v>1162</v>
      </c>
      <c r="B557" s="2" t="s">
        <v>1196</v>
      </c>
      <c r="C557" s="2" t="str">
        <f ca="1">IFERROR(__xludf.DUMMYFUNCTION("googletranslate(C557,""en"",""ne"")"),"विदेह नगरपालिका")</f>
        <v>विदेह नगरपालिका</v>
      </c>
      <c r="D557" s="3" t="str">
        <f ca="1">IFERROR(__xludf.DUMMYFUNCTION("googletranslate(D557,""en"",""ne"")"),"मेयर")</f>
        <v>मेयर</v>
      </c>
      <c r="E557" s="2" t="s">
        <v>18</v>
      </c>
      <c r="F557" s="2" t="s">
        <v>1224</v>
      </c>
      <c r="G557" s="2" t="s">
        <v>8</v>
      </c>
      <c r="H557" s="2" t="s">
        <v>26</v>
      </c>
      <c r="I557" s="2" t="s">
        <v>1225</v>
      </c>
    </row>
    <row r="558" spans="1:9" ht="15.75" customHeight="1">
      <c r="A558" s="2" t="s">
        <v>1162</v>
      </c>
      <c r="B558" s="2" t="s">
        <v>1196</v>
      </c>
      <c r="C558" s="2" t="str">
        <f ca="1">IFERROR(__xludf.DUMMYFUNCTION("googletranslate(C558,""en"",""ne"")"),"शहीदनगर नगरपालिका")</f>
        <v>शहीदनगर नगरपालिका</v>
      </c>
      <c r="D558" s="3" t="str">
        <f ca="1">IFERROR(__xludf.DUMMYFUNCTION("googletranslate(D558,""en"",""ne"")"),"मेयर")</f>
        <v>मेयर</v>
      </c>
      <c r="E558" s="2" t="s">
        <v>789</v>
      </c>
      <c r="F558" s="2" t="s">
        <v>1226</v>
      </c>
      <c r="G558" s="2" t="s">
        <v>8</v>
      </c>
      <c r="H558" s="2" t="s">
        <v>58</v>
      </c>
      <c r="I558" s="2" t="s">
        <v>1227</v>
      </c>
    </row>
    <row r="559" spans="1:9" ht="15.75" customHeight="1">
      <c r="A559" s="2" t="s">
        <v>1162</v>
      </c>
      <c r="B559" s="2" t="s">
        <v>1196</v>
      </c>
      <c r="C559" s="2" t="str">
        <f ca="1">IFERROR(__xludf.DUMMYFUNCTION("googletranslate(C559,""en"",""ne"")"),"सबैला नगरपालिका")</f>
        <v>सबैला नगरपालिका</v>
      </c>
      <c r="D559" s="3" t="str">
        <f ca="1">IFERROR(__xludf.DUMMYFUNCTION("googletranslate(D559,""en"",""ne"")"),"मेयर")</f>
        <v>मेयर</v>
      </c>
      <c r="E559" s="2" t="s">
        <v>30</v>
      </c>
      <c r="F559" s="2" t="s">
        <v>1228</v>
      </c>
      <c r="G559" s="2" t="s">
        <v>8</v>
      </c>
      <c r="H559" s="2" t="s">
        <v>91</v>
      </c>
      <c r="I559" s="2" t="s">
        <v>1229</v>
      </c>
    </row>
    <row r="560" spans="1:9" ht="15.75" customHeight="1">
      <c r="A560" s="2" t="s">
        <v>1162</v>
      </c>
      <c r="B560" s="2" t="s">
        <v>1196</v>
      </c>
      <c r="C560" s="2" t="str">
        <f ca="1">IFERROR(__xludf.DUMMYFUNCTION("googletranslate(C560,""en"",""ne"")"),"हंसपुर नगरपालिका")</f>
        <v>हंसपुर नगरपालिका</v>
      </c>
      <c r="D560" s="3" t="str">
        <f ca="1">IFERROR(__xludf.DUMMYFUNCTION("googletranslate(D560,""en"",""ne"")"),"मेयर")</f>
        <v>मेयर</v>
      </c>
      <c r="E560" s="2" t="s">
        <v>11</v>
      </c>
      <c r="F560" s="2" t="s">
        <v>1230</v>
      </c>
      <c r="G560" s="2" t="s">
        <v>8</v>
      </c>
      <c r="H560" s="2" t="s">
        <v>172</v>
      </c>
      <c r="I560" s="2" t="s">
        <v>1231</v>
      </c>
    </row>
    <row r="561" spans="1:9" ht="15.75" customHeight="1">
      <c r="A561" s="2" t="s">
        <v>1162</v>
      </c>
      <c r="B561" s="2" t="s">
        <v>1232</v>
      </c>
      <c r="C561" s="2" t="str">
        <f ca="1">IFERROR(__xludf.DUMMYFUNCTION("googletranslate(C561,""en"",""ne"")"),"महोत्तरी गाउँपालिका")</f>
        <v>महोत्तरी गाउँपालिका</v>
      </c>
      <c r="D561" s="3" t="str">
        <f ca="1">IFERROR(__xludf.DUMMYFUNCTION("googletranslate(D561,""en"",""ne"")"),"अध्यक्ष")</f>
        <v>अध्यक्ष</v>
      </c>
      <c r="E561" s="2" t="s">
        <v>1233</v>
      </c>
      <c r="F561" s="2" t="s">
        <v>1234</v>
      </c>
      <c r="G561" s="2" t="s">
        <v>8</v>
      </c>
      <c r="H561" s="2" t="s">
        <v>50</v>
      </c>
      <c r="I561" s="2" t="s">
        <v>1235</v>
      </c>
    </row>
    <row r="562" spans="1:9" ht="15.75" customHeight="1">
      <c r="A562" s="2" t="s">
        <v>1162</v>
      </c>
      <c r="B562" s="2" t="s">
        <v>1232</v>
      </c>
      <c r="C562" s="2" t="str">
        <f ca="1">IFERROR(__xludf.DUMMYFUNCTION("googletranslate(C562,""en"",""ne"")"),"एकडारा गाउँपालिका")</f>
        <v>एकडारा गाउँपालिका</v>
      </c>
      <c r="D562" s="3" t="str">
        <f ca="1">IFERROR(__xludf.DUMMYFUNCTION("googletranslate(D562,""en"",""ne"")"),"अध्यक्ष")</f>
        <v>अध्यक्ष</v>
      </c>
      <c r="E562" s="2" t="s">
        <v>789</v>
      </c>
      <c r="F562" s="2" t="s">
        <v>1236</v>
      </c>
      <c r="G562" s="2" t="s">
        <v>8</v>
      </c>
      <c r="H562" s="2" t="s">
        <v>86</v>
      </c>
      <c r="I562" s="2" t="s">
        <v>1237</v>
      </c>
    </row>
    <row r="563" spans="1:9" ht="15.75" customHeight="1">
      <c r="A563" s="2" t="s">
        <v>1162</v>
      </c>
      <c r="B563" s="2" t="s">
        <v>1232</v>
      </c>
      <c r="C563" s="2" t="str">
        <f ca="1">IFERROR(__xludf.DUMMYFUNCTION("googletranslate(C563,""en"",""ne"")"),"रही नगरपालिका")</f>
        <v>रही नगरपालिका</v>
      </c>
      <c r="D563" s="3" t="str">
        <f ca="1">IFERROR(__xludf.DUMMYFUNCTION("googletranslate(D563,""en"",""ne"")"),"मेयर")</f>
        <v>मेयर</v>
      </c>
      <c r="E563" s="2" t="s">
        <v>1044</v>
      </c>
      <c r="F563" s="2" t="s">
        <v>1238</v>
      </c>
      <c r="G563" s="2" t="s">
        <v>8</v>
      </c>
      <c r="H563" s="2" t="s">
        <v>86</v>
      </c>
      <c r="I563" s="2" t="s">
        <v>1239</v>
      </c>
    </row>
    <row r="564" spans="1:9" ht="15.75" customHeight="1">
      <c r="A564" s="2" t="s">
        <v>1162</v>
      </c>
      <c r="B564" s="2" t="s">
        <v>1232</v>
      </c>
      <c r="C564" s="2" t="str">
        <f ca="1">IFERROR(__xludf.DUMMYFUNCTION("googletranslate(C564,""en"",""ne"")"),"गौशाला नगरपालिका")</f>
        <v>गौशाला नगरपालिका</v>
      </c>
      <c r="D564" s="3" t="str">
        <f ca="1">IFERROR(__xludf.DUMMYFUNCTION("googletranslate(D564,""en"",""ne"")"),"मेयर")</f>
        <v>मेयर</v>
      </c>
      <c r="E564" s="2" t="s">
        <v>789</v>
      </c>
      <c r="F564" s="2" t="s">
        <v>1240</v>
      </c>
      <c r="G564" s="2" t="s">
        <v>8</v>
      </c>
      <c r="H564" s="2" t="s">
        <v>73</v>
      </c>
      <c r="I564" s="2" t="s">
        <v>1241</v>
      </c>
    </row>
    <row r="565" spans="1:9" ht="15.75" customHeight="1">
      <c r="A565" s="2" t="s">
        <v>1162</v>
      </c>
      <c r="B565" s="2" t="s">
        <v>1232</v>
      </c>
      <c r="C565" s="2" t="str">
        <f ca="1">IFERROR(__xludf.DUMMYFUNCTION("googletranslate(C565,""en"",""ne"")"),"जलेश्वर नगरपालिका")</f>
        <v>जलेश्वर नगरपालिका</v>
      </c>
      <c r="D565" s="3" t="str">
        <f ca="1">IFERROR(__xludf.DUMMYFUNCTION("googletranslate(D565,""en"",""ne"")"),"मेयर")</f>
        <v>मेयर</v>
      </c>
      <c r="E565" s="2" t="s">
        <v>789</v>
      </c>
      <c r="F565" s="2" t="s">
        <v>1242</v>
      </c>
      <c r="G565" s="2" t="s">
        <v>8</v>
      </c>
      <c r="H565" s="2" t="s">
        <v>70</v>
      </c>
      <c r="I565" s="2" t="s">
        <v>1243</v>
      </c>
    </row>
    <row r="566" spans="1:9" ht="15.75" customHeight="1">
      <c r="A566" s="2" t="s">
        <v>1162</v>
      </c>
      <c r="B566" s="2" t="s">
        <v>1232</v>
      </c>
      <c r="C566" s="2" t="str">
        <f ca="1">IFERROR(__xludf.DUMMYFUNCTION("googletranslate(C566,""en"",""ne"")"),"पिपरा गाउँपालिका")</f>
        <v>पिपरा गाउँपालिका</v>
      </c>
      <c r="D566" s="3" t="str">
        <f ca="1">IFERROR(__xludf.DUMMYFUNCTION("googletranslate(D566,""en"",""ne"")"),"अध्यक्ष")</f>
        <v>अध्यक्ष</v>
      </c>
      <c r="E566" s="2" t="s">
        <v>789</v>
      </c>
      <c r="F566" s="2" t="s">
        <v>1244</v>
      </c>
      <c r="G566" s="2" t="s">
        <v>8</v>
      </c>
      <c r="H566" s="2" t="s">
        <v>64</v>
      </c>
      <c r="I566" s="2" t="s">
        <v>1245</v>
      </c>
    </row>
    <row r="567" spans="1:9" ht="15.75" customHeight="1">
      <c r="A567" s="2" t="s">
        <v>1162</v>
      </c>
      <c r="B567" s="2" t="s">
        <v>1232</v>
      </c>
      <c r="C567" s="2" t="str">
        <f ca="1">IFERROR(__xludf.DUMMYFUNCTION("googletranslate(C567,""en"",""ne"")"),"बर्दिवास नगरपालिका")</f>
        <v>बर्दिवास नगरपालिका</v>
      </c>
      <c r="D567" s="3" t="str">
        <f ca="1">IFERROR(__xludf.DUMMYFUNCTION("googletranslate(D567,""en"",""ne"")"),"मेयर")</f>
        <v>मेयर</v>
      </c>
      <c r="E567" s="2" t="s">
        <v>11</v>
      </c>
      <c r="F567" s="2" t="s">
        <v>1246</v>
      </c>
      <c r="G567" s="2" t="s">
        <v>8</v>
      </c>
      <c r="H567" s="2" t="s">
        <v>33</v>
      </c>
      <c r="I567" s="2" t="s">
        <v>1247</v>
      </c>
    </row>
    <row r="568" spans="1:9" ht="15.75" customHeight="1">
      <c r="A568" s="2" t="s">
        <v>1162</v>
      </c>
      <c r="B568" s="2" t="s">
        <v>1232</v>
      </c>
      <c r="C568" s="2" t="str">
        <f ca="1">IFERROR(__xludf.DUMMYFUNCTION("googletranslate(C568,""en"",""ne"")"),"बलवा नगरपालिका")</f>
        <v>बलवा नगरपालिका</v>
      </c>
      <c r="D568" s="3" t="str">
        <f ca="1">IFERROR(__xludf.DUMMYFUNCTION("googletranslate(D568,""en"",""ne"")"),"मेयर")</f>
        <v>मेयर</v>
      </c>
      <c r="E568" s="2" t="s">
        <v>1044</v>
      </c>
      <c r="F568" s="2" t="s">
        <v>1248</v>
      </c>
      <c r="G568" s="2" t="s">
        <v>8</v>
      </c>
      <c r="H568" s="2" t="s">
        <v>45</v>
      </c>
      <c r="I568" s="2" t="s">
        <v>1249</v>
      </c>
    </row>
    <row r="569" spans="1:9" ht="15.75" customHeight="1">
      <c r="A569" s="2" t="s">
        <v>1162</v>
      </c>
      <c r="B569" s="2" t="s">
        <v>1232</v>
      </c>
      <c r="C569" s="2" t="str">
        <f ca="1">IFERROR(__xludf.DUMMYFUNCTION("googletranslate(C569,""en"",""ne"")"),"भङ्गाहा नगरपालिका")</f>
        <v>भङ्गाहा नगरपालिका</v>
      </c>
      <c r="D569" s="3" t="str">
        <f ca="1">IFERROR(__xludf.DUMMYFUNCTION("googletranslate(D569,""en"",""ne"")"),"मेयर")</f>
        <v>मेयर</v>
      </c>
      <c r="E569" s="2" t="s">
        <v>1044</v>
      </c>
      <c r="F569" s="2" t="s">
        <v>1250</v>
      </c>
      <c r="G569" s="2" t="s">
        <v>8</v>
      </c>
      <c r="H569" s="2" t="s">
        <v>190</v>
      </c>
      <c r="I569" s="2" t="s">
        <v>1251</v>
      </c>
    </row>
    <row r="570" spans="1:9" ht="15.75" customHeight="1">
      <c r="A570" s="2" t="s">
        <v>1162</v>
      </c>
      <c r="B570" s="2" t="s">
        <v>1232</v>
      </c>
      <c r="C570" s="2" t="str">
        <f ca="1">IFERROR(__xludf.DUMMYFUNCTION("googletranslate(C570,""en"",""ne"")"),"मतिहानी नगरपालिका")</f>
        <v>मतिहानी नगरपालिका</v>
      </c>
      <c r="D570" s="3" t="str">
        <f ca="1">IFERROR(__xludf.DUMMYFUNCTION("googletranslate(D570,""en"",""ne"")"),"मेयर")</f>
        <v>मेयर</v>
      </c>
      <c r="E570" s="2" t="s">
        <v>1044</v>
      </c>
      <c r="F570" s="2" t="s">
        <v>1252</v>
      </c>
      <c r="G570" s="2" t="s">
        <v>8</v>
      </c>
      <c r="H570" s="2" t="s">
        <v>55</v>
      </c>
      <c r="I570" s="2" t="s">
        <v>1253</v>
      </c>
    </row>
    <row r="571" spans="1:9" ht="15.75" customHeight="1">
      <c r="A571" s="2" t="s">
        <v>1162</v>
      </c>
      <c r="B571" s="2" t="s">
        <v>1232</v>
      </c>
      <c r="C571" s="2" t="str">
        <f ca="1">IFERROR(__xludf.DUMMYFUNCTION("googletranslate(C571,""en"",""ne"")"),"मनरा शिवा नगरपालिका")</f>
        <v>मनरा शिवा नगरपालिका</v>
      </c>
      <c r="D571" s="3" t="str">
        <f ca="1">IFERROR(__xludf.DUMMYFUNCTION("googletranslate(D571,""en"",""ne"")"),"मेयर")</f>
        <v>मेयर</v>
      </c>
      <c r="E571" s="2" t="s">
        <v>11</v>
      </c>
      <c r="F571" s="2" t="s">
        <v>1254</v>
      </c>
      <c r="G571" s="2" t="s">
        <v>8</v>
      </c>
      <c r="H571" s="2" t="s">
        <v>41</v>
      </c>
      <c r="I571" s="2" t="s">
        <v>1255</v>
      </c>
    </row>
    <row r="572" spans="1:9" ht="15.75" customHeight="1">
      <c r="A572" s="2" t="s">
        <v>1162</v>
      </c>
      <c r="B572" s="2" t="s">
        <v>1232</v>
      </c>
      <c r="C572" s="2" t="str">
        <f ca="1">IFERROR(__xludf.DUMMYFUNCTION("googletranslate(C572,""en"",""ne"")"),"रामगोपालपुर नगरपालिका")</f>
        <v>रामगोपालपुर नगरपालिका</v>
      </c>
      <c r="D572" s="3" t="str">
        <f ca="1">IFERROR(__xludf.DUMMYFUNCTION("googletranslate(D572,""en"",""ne"")"),"मेयर")</f>
        <v>मेयर</v>
      </c>
      <c r="E572" s="2" t="s">
        <v>18</v>
      </c>
      <c r="F572" s="2" t="s">
        <v>1256</v>
      </c>
      <c r="G572" s="2" t="s">
        <v>8</v>
      </c>
      <c r="H572" s="2" t="s">
        <v>58</v>
      </c>
      <c r="I572" s="2" t="s">
        <v>1257</v>
      </c>
    </row>
    <row r="573" spans="1:9" ht="15.75" customHeight="1">
      <c r="A573" s="2" t="s">
        <v>1162</v>
      </c>
      <c r="B573" s="2" t="s">
        <v>1232</v>
      </c>
      <c r="C573" s="2" t="str">
        <f ca="1">IFERROR(__xludf.DUMMYFUNCTION("googletranslate(C573,""en"",""ne"")"),"लोहरपट्टी नगरपालिका")</f>
        <v>लोहरपट्टी नगरपालिका</v>
      </c>
      <c r="D573" s="3" t="str">
        <f ca="1">IFERROR(__xludf.DUMMYFUNCTION("googletranslate(D573,""en"",""ne"")"),"मेयर")</f>
        <v>मेयर</v>
      </c>
      <c r="E573" s="2" t="s">
        <v>11</v>
      </c>
      <c r="F573" s="2" t="s">
        <v>1258</v>
      </c>
      <c r="G573" s="2" t="s">
        <v>8</v>
      </c>
      <c r="H573" s="2" t="s">
        <v>190</v>
      </c>
      <c r="I573" s="2" t="s">
        <v>1259</v>
      </c>
    </row>
    <row r="574" spans="1:9" ht="15.75" customHeight="1">
      <c r="A574" s="2" t="s">
        <v>1162</v>
      </c>
      <c r="B574" s="2" t="s">
        <v>1232</v>
      </c>
      <c r="C574" s="2" t="str">
        <f ca="1">IFERROR(__xludf.DUMMYFUNCTION("googletranslate(C574,""en"",""ne"")"),"सामी गाउँपालिका")</f>
        <v>सामी गाउँपालिका</v>
      </c>
      <c r="D574" s="3" t="str">
        <f ca="1">IFERROR(__xludf.DUMMYFUNCTION("googletranslate(D574,""en"",""ne"")"),"अध्यक्ष")</f>
        <v>अध्यक्ष</v>
      </c>
      <c r="E574" s="2" t="s">
        <v>789</v>
      </c>
      <c r="F574" s="2" t="s">
        <v>1260</v>
      </c>
      <c r="G574" s="2" t="s">
        <v>8</v>
      </c>
      <c r="H574" s="2" t="s">
        <v>64</v>
      </c>
      <c r="I574" s="2" t="s">
        <v>1261</v>
      </c>
    </row>
    <row r="575" spans="1:9" ht="15.75" customHeight="1">
      <c r="A575" s="2" t="s">
        <v>1162</v>
      </c>
      <c r="B575" s="2" t="s">
        <v>1232</v>
      </c>
      <c r="C575" s="2" t="str">
        <f ca="1">IFERROR(__xludf.DUMMYFUNCTION("googletranslate(C575,""en"",""ne"")"),"सोनमापाल गाउँिका")</f>
        <v>सोनमापाल गाउँिका</v>
      </c>
      <c r="D575" s="3" t="str">
        <f ca="1">IFERROR(__xludf.DUMMYFUNCTION("googletranslate(D575,""en"",""ne"")"),"अध्यक्ष")</f>
        <v>अध्यक्ष</v>
      </c>
      <c r="E575" s="2" t="s">
        <v>1044</v>
      </c>
      <c r="F575" s="2" t="s">
        <v>1262</v>
      </c>
      <c r="G575" s="2" t="s">
        <v>8</v>
      </c>
      <c r="H575" s="2" t="s">
        <v>64</v>
      </c>
      <c r="I575" s="2" t="s">
        <v>1263</v>
      </c>
    </row>
    <row r="576" spans="1:9" ht="15.75" customHeight="1">
      <c r="A576" s="2" t="s">
        <v>1162</v>
      </c>
      <c r="B576" s="2" t="s">
        <v>1264</v>
      </c>
      <c r="C576" s="2" t="str">
        <f ca="1">IFERROR(__xludf.DUMMYFUNCTION("googletranslate(C576,""en"",""ne"")"),"पर्सागढी नगरपालिका")</f>
        <v>पर्सागढी नगरपालिका</v>
      </c>
      <c r="D576" s="3" t="str">
        <f ca="1">IFERROR(__xludf.DUMMYFUNCTION("googletranslate(D576,""en"",""ne"")"),"मेयर")</f>
        <v>मेयर</v>
      </c>
      <c r="E576" s="2" t="s">
        <v>18</v>
      </c>
      <c r="F576" s="2" t="s">
        <v>1265</v>
      </c>
      <c r="G576" s="2" t="s">
        <v>8</v>
      </c>
      <c r="H576" s="2" t="s">
        <v>9</v>
      </c>
      <c r="I576" s="2" t="s">
        <v>1266</v>
      </c>
    </row>
    <row r="577" spans="1:9" ht="15.75" customHeight="1">
      <c r="A577" s="2" t="s">
        <v>1162</v>
      </c>
      <c r="B577" s="2" t="s">
        <v>1264</v>
      </c>
      <c r="C577" s="2" t="str">
        <f ca="1">IFERROR(__xludf.DUMMYFUNCTION("googletranslate(C577,""en"",""ne"")"),"कालिकामाई गाउँपालिका")</f>
        <v>कालिकामाई गाउँपालिका</v>
      </c>
      <c r="D577" s="3" t="str">
        <f ca="1">IFERROR(__xludf.DUMMYFUNCTION("googletranslate(D577,""en"",""ne"")"),"अध्यक्ष")</f>
        <v>अध्यक्ष</v>
      </c>
      <c r="E577" s="2" t="s">
        <v>789</v>
      </c>
      <c r="F577" s="2" t="s">
        <v>1267</v>
      </c>
      <c r="G577" s="2" t="s">
        <v>8</v>
      </c>
      <c r="H577" s="2" t="s">
        <v>1268</v>
      </c>
      <c r="I577" s="2" t="s">
        <v>1269</v>
      </c>
    </row>
    <row r="578" spans="1:9" ht="15.75" customHeight="1">
      <c r="A578" s="2" t="s">
        <v>1162</v>
      </c>
      <c r="B578" s="2" t="s">
        <v>1264</v>
      </c>
      <c r="C578" s="2" t="str">
        <f ca="1">IFERROR(__xludf.DUMMYFUNCTION("googletranslate(C578,""en"",""ne"")"),"छिपहरमाई गाउँपालिका")</f>
        <v>छिपहरमाई गाउँपालिका</v>
      </c>
      <c r="D578" s="3" t="str">
        <f ca="1">IFERROR(__xludf.DUMMYFUNCTION("googletranslate(D578,""en"",""ne"")"),"अध्यक्ष")</f>
        <v>अध्यक्ष</v>
      </c>
      <c r="E578" s="2" t="s">
        <v>18</v>
      </c>
      <c r="F578" s="2" t="s">
        <v>1270</v>
      </c>
      <c r="G578" s="2" t="s">
        <v>8</v>
      </c>
      <c r="H578" s="2" t="s">
        <v>322</v>
      </c>
      <c r="I578" s="2" t="s">
        <v>1271</v>
      </c>
    </row>
    <row r="579" spans="1:9" ht="15.75" customHeight="1">
      <c r="A579" s="2" t="s">
        <v>1162</v>
      </c>
      <c r="B579" s="2" t="s">
        <v>1264</v>
      </c>
      <c r="C579" s="2" t="str">
        <f ca="1">IFERROR(__xludf.DUMMYFUNCTION("googletranslate(C579,""en"",""ne"")"),"जगरनाथपुर गाउँपालिका")</f>
        <v>जगरनाथपुर गाउँपालिका</v>
      </c>
      <c r="D579" s="3" t="str">
        <f ca="1">IFERROR(__xludf.DUMMYFUNCTION("googletranslate(D579,""en"",""ne"")"),"अध्यक्ष")</f>
        <v>अध्यक्ष</v>
      </c>
      <c r="E579" s="2" t="s">
        <v>11</v>
      </c>
      <c r="F579" s="2" t="s">
        <v>1272</v>
      </c>
      <c r="G579" s="2" t="s">
        <v>8</v>
      </c>
      <c r="H579" s="2" t="s">
        <v>151</v>
      </c>
      <c r="I579" s="2" t="s">
        <v>357</v>
      </c>
    </row>
    <row r="580" spans="1:9" ht="15.75" customHeight="1">
      <c r="A580" s="2" t="s">
        <v>1162</v>
      </c>
      <c r="B580" s="2" t="s">
        <v>1264</v>
      </c>
      <c r="C580" s="2" t="str">
        <f ca="1">IFERROR(__xludf.DUMMYFUNCTION("googletranslate(C580,""en"",""ne"")"),"जिराभवानी गाउँपालिका")</f>
        <v>जिराभवानी गाउँपालिका</v>
      </c>
      <c r="D580" s="3" t="str">
        <f ca="1">IFERROR(__xludf.DUMMYFUNCTION("googletranslate(D580,""en"",""ne"")"),"अध्यक्ष")</f>
        <v>अध्यक्ष</v>
      </c>
      <c r="E580" s="2" t="s">
        <v>11</v>
      </c>
      <c r="F580" s="2" t="s">
        <v>1273</v>
      </c>
      <c r="G580" s="2" t="s">
        <v>8</v>
      </c>
      <c r="H580" s="2" t="s">
        <v>83</v>
      </c>
      <c r="I580" s="2" t="s">
        <v>1274</v>
      </c>
    </row>
    <row r="581" spans="1:9" ht="15.75" customHeight="1">
      <c r="A581" s="2" t="s">
        <v>1162</v>
      </c>
      <c r="B581" s="2" t="s">
        <v>1264</v>
      </c>
      <c r="C581" s="2" t="str">
        <f ca="1">IFERROR(__xludf.DUMMYFUNCTION("googletranslate(C581,""en"",""ne"")"),"ठोसरी गाउँपालिका")</f>
        <v>ठोसरी गाउँपालिका</v>
      </c>
      <c r="D581" s="3" t="str">
        <f ca="1">IFERROR(__xludf.DUMMYFUNCTION("googletranslate(D581,""en"",""ne"")"),"अध्यक्ष")</f>
        <v>अध्यक्ष</v>
      </c>
      <c r="E581" s="2" t="s">
        <v>18</v>
      </c>
      <c r="F581" s="2" t="s">
        <v>1275</v>
      </c>
      <c r="G581" s="2" t="s">
        <v>8</v>
      </c>
      <c r="H581" s="2" t="s">
        <v>98</v>
      </c>
      <c r="I581" s="2" t="s">
        <v>845</v>
      </c>
    </row>
    <row r="582" spans="1:9" ht="15.75" customHeight="1">
      <c r="A582" s="2" t="s">
        <v>1162</v>
      </c>
      <c r="B582" s="2" t="s">
        <v>1264</v>
      </c>
      <c r="C582" s="2" t="str">
        <f ca="1">IFERROR(__xludf.DUMMYFUNCTION("googletranslate(C582,""en"",""ne"")"),"धोबीनी गाउँपालिका")</f>
        <v>धोबीनी गाउँपालिका</v>
      </c>
      <c r="D582" s="3" t="str">
        <f ca="1">IFERROR(__xludf.DUMMYFUNCTION("googletranslate(D582,""en"",""ne"")"),"अध्यक्ष")</f>
        <v>अध्यक्ष</v>
      </c>
      <c r="E582" s="2" t="s">
        <v>789</v>
      </c>
      <c r="F582" s="2" t="s">
        <v>1276</v>
      </c>
      <c r="G582" s="2" t="s">
        <v>8</v>
      </c>
      <c r="H582" s="2" t="s">
        <v>172</v>
      </c>
      <c r="I582" s="2" t="s">
        <v>405</v>
      </c>
    </row>
    <row r="583" spans="1:9" ht="15.75" customHeight="1">
      <c r="A583" s="2" t="s">
        <v>1162</v>
      </c>
      <c r="B583" s="2" t="s">
        <v>1264</v>
      </c>
      <c r="C583" s="2" t="str">
        <f ca="1">IFERROR(__xludf.DUMMYFUNCTION("googletranslate(C583,""en"",""ne"")"),"पकाहा म्यानपुर गाउँपालिका")</f>
        <v>पकाहा म्यानपुर गाउँपालिका</v>
      </c>
      <c r="D583" s="3" t="str">
        <f ca="1">IFERROR(__xludf.DUMMYFUNCTION("googletranslate(D583,""en"",""ne"")"),"अध्यक्ष")</f>
        <v>अध्यक्ष</v>
      </c>
      <c r="E583" s="2" t="s">
        <v>11</v>
      </c>
      <c r="F583" s="2" t="s">
        <v>1277</v>
      </c>
      <c r="G583" s="2" t="s">
        <v>8</v>
      </c>
      <c r="H583" s="2" t="s">
        <v>64</v>
      </c>
      <c r="I583" s="2" t="s">
        <v>1278</v>
      </c>
    </row>
    <row r="584" spans="1:9" ht="15.75" customHeight="1">
      <c r="A584" s="2" t="s">
        <v>1162</v>
      </c>
      <c r="B584" s="2" t="s">
        <v>1264</v>
      </c>
      <c r="C584" s="2" t="str">
        <f ca="1">IFERROR(__xludf.DUMMYFUNCTION("googletranslate(C584,""en"",""ne"")"),"पटेर्वा सुगौली गाउँपालिका")</f>
        <v>पटेर्वा सुगौली गाउँपालिका</v>
      </c>
      <c r="D584" s="3" t="str">
        <f ca="1">IFERROR(__xludf.DUMMYFUNCTION("googletranslate(D584,""en"",""ne"")"),"अध्यक्ष")</f>
        <v>अध्यक्ष</v>
      </c>
      <c r="E584" s="2" t="s">
        <v>11</v>
      </c>
      <c r="F584" s="2" t="s">
        <v>1279</v>
      </c>
      <c r="G584" s="2" t="s">
        <v>8</v>
      </c>
      <c r="H584" s="2" t="s">
        <v>70</v>
      </c>
      <c r="I584" s="2" t="s">
        <v>1280</v>
      </c>
    </row>
    <row r="585" spans="1:9" ht="15.75" customHeight="1">
      <c r="A585" s="2" t="s">
        <v>1162</v>
      </c>
      <c r="B585" s="2" t="s">
        <v>1264</v>
      </c>
      <c r="C585" s="2" t="str">
        <f ca="1">IFERROR(__xludf.DUMMYFUNCTION("googletranslate(C585,""en"",""ne"")"),"पोखरिया नगरपालिका")</f>
        <v>पोखरिया नगरपालिका</v>
      </c>
      <c r="D585" s="3" t="str">
        <f ca="1">IFERROR(__xludf.DUMMYFUNCTION("googletranslate(D585,""en"",""ne"")"),"मेयर")</f>
        <v>मेयर</v>
      </c>
      <c r="E585" s="2" t="s">
        <v>18</v>
      </c>
      <c r="F585" s="2" t="s">
        <v>1281</v>
      </c>
      <c r="G585" s="2" t="s">
        <v>8</v>
      </c>
      <c r="H585" s="2" t="s">
        <v>9</v>
      </c>
      <c r="I585" s="2" t="s">
        <v>1282</v>
      </c>
    </row>
    <row r="586" spans="1:9" ht="15.75" customHeight="1">
      <c r="A586" s="2" t="s">
        <v>1162</v>
      </c>
      <c r="B586" s="2" t="s">
        <v>1264</v>
      </c>
      <c r="C586" s="2" t="str">
        <f ca="1">IFERROR(__xludf.DUMMYFUNCTION("googletranslate(C586,""en"",""ne"")"),"बहुदरमाई नगरपालिका")</f>
        <v>बहुदरमाई नगरपालिका</v>
      </c>
      <c r="D586" s="3" t="str">
        <f ca="1">IFERROR(__xludf.DUMMYFUNCTION("googletranslate(D586,""en"",""ne"")"),"मेयर")</f>
        <v>मेयर</v>
      </c>
      <c r="E586" s="2" t="s">
        <v>789</v>
      </c>
      <c r="F586" s="2" t="s">
        <v>1283</v>
      </c>
      <c r="G586" s="2" t="s">
        <v>8</v>
      </c>
      <c r="H586" s="2" t="s">
        <v>1014</v>
      </c>
      <c r="I586" s="2" t="s">
        <v>1284</v>
      </c>
    </row>
    <row r="587" spans="1:9" ht="15.75" customHeight="1">
      <c r="A587" s="2" t="s">
        <v>1162</v>
      </c>
      <c r="B587" s="2" t="s">
        <v>1264</v>
      </c>
      <c r="C587" s="2" t="str">
        <f ca="1">IFERROR(__xludf.DUMMYFUNCTION("googletranslate(C587,""en"",""ne"")"),"बिन्दबासिनी गाउँपालिका")</f>
        <v>बिन्दबासिनी गाउँपालिका</v>
      </c>
      <c r="D587" s="3" t="str">
        <f ca="1">IFERROR(__xludf.DUMMYFUNCTION("googletranslate(D587,""en"",""ne"")"),"अध्यक्ष")</f>
        <v>अध्यक्ष</v>
      </c>
      <c r="E587" s="2" t="s">
        <v>1044</v>
      </c>
      <c r="F587" s="2" t="s">
        <v>1285</v>
      </c>
      <c r="G587" s="2" t="s">
        <v>8</v>
      </c>
      <c r="H587" s="2" t="s">
        <v>64</v>
      </c>
      <c r="I587" s="2" t="s">
        <v>1286</v>
      </c>
    </row>
    <row r="588" spans="1:9" ht="15.75" customHeight="1">
      <c r="A588" s="2" t="s">
        <v>1162</v>
      </c>
      <c r="B588" s="2" t="s">
        <v>1264</v>
      </c>
      <c r="C588" s="2" t="str">
        <f ca="1">IFERROR(__xludf.DUMMYFUNCTION("googletranslate(C588,""en"",""ne"")"),"बिरगञ्ज महानगरपालिका")</f>
        <v>बिरगञ्ज महानगरपालिका</v>
      </c>
      <c r="D588" s="3" t="str">
        <f ca="1">IFERROR(__xludf.DUMMYFUNCTION("googletranslate(D588,""en"",""ne"")"),"मेयर")</f>
        <v>मेयर</v>
      </c>
      <c r="E588" s="2" t="s">
        <v>789</v>
      </c>
      <c r="F588" s="2" t="s">
        <v>1287</v>
      </c>
      <c r="G588" s="2" t="s">
        <v>8</v>
      </c>
      <c r="H588" s="2" t="s">
        <v>23</v>
      </c>
      <c r="I588" s="2" t="s">
        <v>1288</v>
      </c>
    </row>
    <row r="589" spans="1:9" ht="15.75" customHeight="1">
      <c r="A589" s="2" t="s">
        <v>1162</v>
      </c>
      <c r="B589" s="2" t="s">
        <v>1264</v>
      </c>
      <c r="C589" s="2" t="str">
        <f ca="1">IFERROR(__xludf.DUMMYFUNCTION("googletranslate(C589,""en"",""ne"")"),"सखुवा प्रसौनी गाउँपालिका")</f>
        <v>सखुवा प्रसौनी गाउँपालिका</v>
      </c>
      <c r="D589" s="3" t="str">
        <f ca="1">IFERROR(__xludf.DUMMYFUNCTION("googletranslate(D589,""en"",""ne"")"),"अध्यक्ष")</f>
        <v>अध्यक्ष</v>
      </c>
      <c r="E589" s="2" t="s">
        <v>18</v>
      </c>
      <c r="F589" s="2" t="s">
        <v>1289</v>
      </c>
      <c r="G589" s="2" t="s">
        <v>8</v>
      </c>
      <c r="H589" s="2" t="s">
        <v>107</v>
      </c>
      <c r="I589" s="2" t="s">
        <v>374</v>
      </c>
    </row>
    <row r="590" spans="1:9" ht="15.75" customHeight="1">
      <c r="A590" s="2" t="s">
        <v>1162</v>
      </c>
      <c r="B590" s="2" t="s">
        <v>1290</v>
      </c>
      <c r="C590" s="2" t="str">
        <f ca="1">IFERROR(__xludf.DUMMYFUNCTION("googletranslate(C590,""en"",""ne"")"),"ईशनाथ नगरपालिका")</f>
        <v>ईशनाथ नगरपालिका</v>
      </c>
      <c r="D590" s="3" t="str">
        <f ca="1">IFERROR(__xludf.DUMMYFUNCTION("googletranslate(D590,""en"",""ne"")"),"मेयर")</f>
        <v>मेयर</v>
      </c>
      <c r="E590" s="2" t="s">
        <v>1044</v>
      </c>
      <c r="F590" s="2" t="s">
        <v>1291</v>
      </c>
      <c r="G590" s="2" t="s">
        <v>32</v>
      </c>
      <c r="H590" s="2" t="s">
        <v>121</v>
      </c>
      <c r="I590" s="2" t="s">
        <v>1292</v>
      </c>
    </row>
    <row r="591" spans="1:9" ht="15.75" customHeight="1">
      <c r="A591" s="2" t="s">
        <v>1162</v>
      </c>
      <c r="B591" s="2" t="s">
        <v>1290</v>
      </c>
      <c r="C591" s="2" t="str">
        <f ca="1">IFERROR(__xludf.DUMMYFUNCTION("googletranslate(C591,""en"",""ne"")"),"कटारिया नगरपालिका")</f>
        <v>कटारिया नगरपालिका</v>
      </c>
      <c r="D591" s="3" t="str">
        <f ca="1">IFERROR(__xludf.DUMMYFUNCTION("googletranslate(D591,""en"",""ne"")"),"मेयर")</f>
        <v>मेयर</v>
      </c>
      <c r="E591" s="2" t="s">
        <v>11</v>
      </c>
      <c r="F591" s="2" t="s">
        <v>1293</v>
      </c>
      <c r="G591" s="2" t="s">
        <v>8</v>
      </c>
      <c r="H591" s="2" t="s">
        <v>1294</v>
      </c>
      <c r="I591" s="2" t="s">
        <v>1295</v>
      </c>
    </row>
    <row r="592" spans="1:9" ht="15.75" customHeight="1">
      <c r="A592" s="2" t="s">
        <v>1162</v>
      </c>
      <c r="B592" s="2" t="s">
        <v>1290</v>
      </c>
      <c r="C592" s="2" t="str">
        <f ca="1">IFERROR(__xludf.DUMMYFUNCTION("googletranslate(C592,""en"",""ne"")"),"गढी माई नगरपालिका")</f>
        <v>गढी माई नगरपालिका</v>
      </c>
      <c r="D592" s="3" t="str">
        <f ca="1">IFERROR(__xludf.DUMMYFUNCTION("googletranslate(D592,""en"",""ne"")"),"मेयर")</f>
        <v>मेयर</v>
      </c>
      <c r="E592" s="2" t="s">
        <v>11</v>
      </c>
      <c r="F592" s="2" t="s">
        <v>1296</v>
      </c>
      <c r="G592" s="2" t="s">
        <v>8</v>
      </c>
      <c r="H592" s="2" t="s">
        <v>23</v>
      </c>
      <c r="I592" s="2" t="s">
        <v>1297</v>
      </c>
    </row>
    <row r="593" spans="1:9" ht="15.75" customHeight="1">
      <c r="A593" s="2" t="s">
        <v>1162</v>
      </c>
      <c r="B593" s="2" t="s">
        <v>1290</v>
      </c>
      <c r="C593" s="2" t="str">
        <f ca="1">IFERROR(__xludf.DUMMYFUNCTION("googletranslate(C593,""en"",""ne"")"),"गरुडा नगरपालिका")</f>
        <v>गरुडा नगरपालिका</v>
      </c>
      <c r="D593" s="3" t="str">
        <f ca="1">IFERROR(__xludf.DUMMYFUNCTION("googletranslate(D593,""en"",""ne"")"),"मेयर")</f>
        <v>मेयर</v>
      </c>
      <c r="E593" s="2" t="s">
        <v>18</v>
      </c>
      <c r="F593" s="2" t="s">
        <v>1298</v>
      </c>
      <c r="G593" s="2" t="s">
        <v>8</v>
      </c>
      <c r="H593" s="2" t="s">
        <v>91</v>
      </c>
      <c r="I593" s="2" t="s">
        <v>1299</v>
      </c>
    </row>
    <row r="594" spans="1:9" ht="15.75" customHeight="1">
      <c r="A594" s="2" t="s">
        <v>1162</v>
      </c>
      <c r="B594" s="2" t="s">
        <v>1290</v>
      </c>
      <c r="C594" s="2" t="str">
        <f ca="1">IFERROR(__xludf.DUMMYFUNCTION("googletranslate(C594,""en"",""ne"")"),"गुजरा नगरपालिका")</f>
        <v>गुजरा नगरपालिका</v>
      </c>
      <c r="D594" s="3" t="str">
        <f ca="1">IFERROR(__xludf.DUMMYFUNCTION("googletranslate(D594,""en"",""ne"")"),"मेयर")</f>
        <v>मेयर</v>
      </c>
      <c r="E594" s="2" t="s">
        <v>789</v>
      </c>
      <c r="F594" s="2" t="s">
        <v>1300</v>
      </c>
      <c r="G594" s="2" t="s">
        <v>8</v>
      </c>
      <c r="H594" s="2" t="s">
        <v>479</v>
      </c>
      <c r="I594" s="2" t="s">
        <v>1301</v>
      </c>
    </row>
    <row r="595" spans="1:9" ht="15.75" customHeight="1">
      <c r="A595" s="2" t="s">
        <v>1162</v>
      </c>
      <c r="B595" s="2" t="s">
        <v>1290</v>
      </c>
      <c r="C595" s="2" t="str">
        <f ca="1">IFERROR(__xludf.DUMMYFUNCTION("googletranslate(C595,""en"",""ne"")"),"गौर नगरपालिका")</f>
        <v>गौर नगरपालिका</v>
      </c>
      <c r="D595" s="3" t="str">
        <f ca="1">IFERROR(__xludf.DUMMYFUNCTION("googletranslate(D595,""en"",""ne"")"),"मेयर")</f>
        <v>मेयर</v>
      </c>
      <c r="E595" s="2" t="s">
        <v>39</v>
      </c>
      <c r="F595" s="2" t="s">
        <v>1302</v>
      </c>
      <c r="G595" s="2" t="s">
        <v>8</v>
      </c>
      <c r="H595" s="2" t="s">
        <v>26</v>
      </c>
      <c r="I595" s="2" t="s">
        <v>1303</v>
      </c>
    </row>
    <row r="596" spans="1:9" ht="15.75" customHeight="1">
      <c r="A596" s="2" t="s">
        <v>1162</v>
      </c>
      <c r="B596" s="2" t="s">
        <v>1290</v>
      </c>
      <c r="C596" s="2" t="str">
        <f ca="1">IFERROR(__xludf.DUMMYFUNCTION("googletranslate(C596,""en"",""ne"")"),"चन्द्रपुर नगरपालिका")</f>
        <v>चन्द्रपुर नगरपालिका</v>
      </c>
      <c r="D596" s="3" t="str">
        <f ca="1">IFERROR(__xludf.DUMMYFUNCTION("googletranslate(D596,""en"",""ne"")"),"मेयर")</f>
        <v>मेयर</v>
      </c>
      <c r="E596" s="2" t="s">
        <v>11</v>
      </c>
      <c r="F596" s="2" t="s">
        <v>1304</v>
      </c>
      <c r="G596" s="2" t="s">
        <v>8</v>
      </c>
      <c r="H596" s="2" t="s">
        <v>159</v>
      </c>
      <c r="I596" s="2" t="s">
        <v>1305</v>
      </c>
    </row>
    <row r="597" spans="1:9" ht="15.75" customHeight="1">
      <c r="A597" s="2" t="s">
        <v>1162</v>
      </c>
      <c r="B597" s="2" t="s">
        <v>1290</v>
      </c>
      <c r="C597" s="2" t="str">
        <f ca="1">IFERROR(__xludf.DUMMYFUNCTION("googletranslate(C597,""en"",""ne"")"),"दुर्गा भगवती गाउँपालिका")</f>
        <v>दुर्गा भगवती गाउँपालिका</v>
      </c>
      <c r="D597" s="3" t="str">
        <f ca="1">IFERROR(__xludf.DUMMYFUNCTION("googletranslate(D597,""en"",""ne"")"),"अध्यक्ष")</f>
        <v>अध्यक्ष</v>
      </c>
      <c r="E597" s="2" t="s">
        <v>30</v>
      </c>
      <c r="F597" s="2" t="s">
        <v>1306</v>
      </c>
      <c r="G597" s="2" t="s">
        <v>8</v>
      </c>
      <c r="H597" s="2" t="s">
        <v>13</v>
      </c>
      <c r="I597" s="2" t="s">
        <v>1307</v>
      </c>
    </row>
    <row r="598" spans="1:9" ht="15.75" customHeight="1">
      <c r="A598" s="2" t="s">
        <v>1162</v>
      </c>
      <c r="B598" s="2" t="s">
        <v>1290</v>
      </c>
      <c r="C598" s="2" t="str">
        <f ca="1">IFERROR(__xludf.DUMMYFUNCTION("googletranslate(C598,""en"",""ne"")"),"देवाही गोनाही नगरपालिका")</f>
        <v>देवाही गोनाही नगरपालिका</v>
      </c>
      <c r="D598" s="3" t="str">
        <f ca="1">IFERROR(__xludf.DUMMYFUNCTION("googletranslate(D598,""en"",""ne"")"),"मेयर")</f>
        <v>मेयर</v>
      </c>
      <c r="E598" s="2" t="s">
        <v>18</v>
      </c>
      <c r="F598" s="2" t="s">
        <v>1308</v>
      </c>
      <c r="G598" s="2" t="s">
        <v>8</v>
      </c>
      <c r="H598" s="2" t="s">
        <v>26</v>
      </c>
      <c r="I598" s="2" t="s">
        <v>1309</v>
      </c>
    </row>
    <row r="599" spans="1:9" ht="15.75" customHeight="1">
      <c r="A599" s="2" t="s">
        <v>1162</v>
      </c>
      <c r="B599" s="2" t="s">
        <v>1290</v>
      </c>
      <c r="C599" s="2" t="str">
        <f ca="1">IFERROR(__xludf.DUMMYFUNCTION("googletranslate(C599,""en"",""ne"")"),"परोहा नगरपालिका")</f>
        <v>परोहा नगरपालिका</v>
      </c>
      <c r="D599" s="3" t="str">
        <f ca="1">IFERROR(__xludf.DUMMYFUNCTION("googletranslate(D599,""en"",""ne"")"),"मेयर")</f>
        <v>मेयर</v>
      </c>
      <c r="E599" s="2" t="s">
        <v>11</v>
      </c>
      <c r="F599" s="2" t="s">
        <v>1310</v>
      </c>
      <c r="G599" s="2" t="s">
        <v>8</v>
      </c>
      <c r="H599" s="2" t="s">
        <v>55</v>
      </c>
      <c r="I599" s="2" t="s">
        <v>1311</v>
      </c>
    </row>
    <row r="600" spans="1:9" ht="15.75" customHeight="1">
      <c r="A600" s="2" t="s">
        <v>1162</v>
      </c>
      <c r="B600" s="2" t="s">
        <v>1290</v>
      </c>
      <c r="C600" s="2" t="str">
        <f ca="1">IFERROR(__xludf.DUMMYFUNCTION("googletranslate(C600,""en"",""ne"")"),"फतुवा बिजयपुर नगरपालिका")</f>
        <v>फतुवा बिजयपुर नगरपालिका</v>
      </c>
      <c r="D600" s="3" t="str">
        <f ca="1">IFERROR(__xludf.DUMMYFUNCTION("googletranslate(D600,""en"",""ne"")"),"मेयर")</f>
        <v>मेयर</v>
      </c>
      <c r="E600" s="2" t="s">
        <v>11</v>
      </c>
      <c r="F600" s="2" t="s">
        <v>1312</v>
      </c>
      <c r="G600" s="2" t="s">
        <v>8</v>
      </c>
      <c r="H600" s="2" t="s">
        <v>16</v>
      </c>
      <c r="I600" s="2" t="s">
        <v>1313</v>
      </c>
    </row>
    <row r="601" spans="1:9" ht="15.75" customHeight="1">
      <c r="A601" s="2" t="s">
        <v>1162</v>
      </c>
      <c r="B601" s="2" t="s">
        <v>1290</v>
      </c>
      <c r="C601" s="2" t="str">
        <f ca="1">IFERROR(__xludf.DUMMYFUNCTION("googletranslate(C601,""en"",""ne"")"),"माधव नारायण नगरपालिका")</f>
        <v>माधव नारायण नगरपालिका</v>
      </c>
      <c r="D601" s="3" t="str">
        <f ca="1">IFERROR(__xludf.DUMMYFUNCTION("googletranslate(D601,""en"",""ne"")"),"मेयर")</f>
        <v>मेयर</v>
      </c>
      <c r="E601" s="2" t="s">
        <v>11</v>
      </c>
      <c r="F601" s="2" t="s">
        <v>1314</v>
      </c>
      <c r="G601" s="2" t="s">
        <v>8</v>
      </c>
      <c r="H601" s="2" t="s">
        <v>151</v>
      </c>
      <c r="I601" s="2" t="s">
        <v>1315</v>
      </c>
    </row>
    <row r="602" spans="1:9" ht="15.75" customHeight="1">
      <c r="A602" s="2" t="s">
        <v>1162</v>
      </c>
      <c r="B602" s="2" t="s">
        <v>1290</v>
      </c>
      <c r="C602" s="2" t="str">
        <f ca="1">IFERROR(__xludf.DUMMYFUNCTION("googletranslate(C602,""en"",""ne"")"),"मौलापुर नगरपालिका")</f>
        <v>मौलापुर नगरपालिका</v>
      </c>
      <c r="D602" s="3" t="str">
        <f ca="1">IFERROR(__xludf.DUMMYFUNCTION("googletranslate(D602,""en"",""ne"")"),"मेयर")</f>
        <v>मेयर</v>
      </c>
      <c r="E602" s="2" t="s">
        <v>18</v>
      </c>
      <c r="F602" s="2" t="s">
        <v>1316</v>
      </c>
      <c r="G602" s="2" t="s">
        <v>32</v>
      </c>
      <c r="H602" s="2" t="s">
        <v>73</v>
      </c>
      <c r="I602" s="2" t="s">
        <v>1317</v>
      </c>
    </row>
    <row r="603" spans="1:9" ht="15.75" customHeight="1">
      <c r="A603" s="2" t="s">
        <v>1162</v>
      </c>
      <c r="B603" s="2" t="s">
        <v>1290</v>
      </c>
      <c r="C603" s="2" t="str">
        <f ca="1">IFERROR(__xludf.DUMMYFUNCTION("googletranslate(C603,""en"",""ne"")"),"यमुनामाई गाउँपालिका")</f>
        <v>यमुनामाई गाउँपालिका</v>
      </c>
      <c r="D603" s="3" t="str">
        <f ca="1">IFERROR(__xludf.DUMMYFUNCTION("googletranslate(D603,""en"",""ne"")"),"अध्यक्ष")</f>
        <v>अध्यक्ष</v>
      </c>
      <c r="E603" s="2" t="s">
        <v>1044</v>
      </c>
      <c r="F603" s="2" t="s">
        <v>1318</v>
      </c>
      <c r="G603" s="2" t="s">
        <v>8</v>
      </c>
      <c r="H603" s="2" t="s">
        <v>200</v>
      </c>
      <c r="I603" s="2" t="s">
        <v>1319</v>
      </c>
    </row>
    <row r="604" spans="1:9" ht="15.75" customHeight="1">
      <c r="A604" s="2" t="s">
        <v>1162</v>
      </c>
      <c r="B604" s="2" t="s">
        <v>1290</v>
      </c>
      <c r="C604" s="2" t="str">
        <f ca="1">IFERROR(__xludf.DUMMYFUNCTION("googletranslate(C604,""en"",""ne"")"),"राजदेवी नगरपालिका")</f>
        <v>राजदेवी नगरपालिका</v>
      </c>
      <c r="D604" s="3" t="str">
        <f ca="1">IFERROR(__xludf.DUMMYFUNCTION("googletranslate(D604,""en"",""ne"")"),"मेयर")</f>
        <v>मेयर</v>
      </c>
      <c r="E604" s="2" t="s">
        <v>39</v>
      </c>
      <c r="F604" s="2" t="s">
        <v>1320</v>
      </c>
      <c r="G604" s="2" t="s">
        <v>8</v>
      </c>
      <c r="H604" s="2" t="s">
        <v>86</v>
      </c>
      <c r="I604" s="2" t="s">
        <v>1321</v>
      </c>
    </row>
    <row r="605" spans="1:9" ht="15.75" customHeight="1">
      <c r="A605" s="2" t="s">
        <v>1162</v>
      </c>
      <c r="B605" s="2" t="s">
        <v>1290</v>
      </c>
      <c r="C605" s="2" t="str">
        <f ca="1">IFERROR(__xludf.DUMMYFUNCTION("googletranslate(C605,""en"",""ne"")"),"राजपुर नगरपालिका")</f>
        <v>राजपुर नगरपालिका</v>
      </c>
      <c r="D605" s="3" t="str">
        <f ca="1">IFERROR(__xludf.DUMMYFUNCTION("googletranslate(D605,""en"",""ne"")"),"मेयर")</f>
        <v>मेयर</v>
      </c>
      <c r="E605" s="2" t="s">
        <v>11</v>
      </c>
      <c r="F605" s="2" t="s">
        <v>1322</v>
      </c>
      <c r="G605" s="2" t="s">
        <v>8</v>
      </c>
      <c r="H605" s="2" t="s">
        <v>416</v>
      </c>
      <c r="I605" s="2" t="s">
        <v>1323</v>
      </c>
    </row>
    <row r="606" spans="1:9" ht="15.75" customHeight="1">
      <c r="A606" s="2" t="s">
        <v>1162</v>
      </c>
      <c r="B606" s="2" t="s">
        <v>1290</v>
      </c>
      <c r="C606" s="2" t="str">
        <f ca="1">IFERROR(__xludf.DUMMYFUNCTION("googletranslate(C606,""en"",""ne"")"),"वृन्दावन नगरपालिका")</f>
        <v>वृन्दावन नगरपालिका</v>
      </c>
      <c r="D606" s="3" t="str">
        <f ca="1">IFERROR(__xludf.DUMMYFUNCTION("googletranslate(D606,""en"",""ne"")"),"मेयर")</f>
        <v>मेयर</v>
      </c>
      <c r="E606" s="2" t="s">
        <v>39</v>
      </c>
      <c r="F606" s="2" t="s">
        <v>1324</v>
      </c>
      <c r="G606" s="2" t="s">
        <v>8</v>
      </c>
      <c r="H606" s="2" t="s">
        <v>23</v>
      </c>
      <c r="I606" s="2" t="s">
        <v>1325</v>
      </c>
    </row>
    <row r="607" spans="1:9" ht="15.75" customHeight="1">
      <c r="A607" s="2" t="s">
        <v>1162</v>
      </c>
      <c r="B607" s="2" t="s">
        <v>1326</v>
      </c>
      <c r="C607" s="2" t="str">
        <f ca="1">IFERROR(__xludf.DUMMYFUNCTION("googletranslate(C607,""en"",""ne"")"),"अग्निसाइर कृष्णासवरण गाउँपालिका")</f>
        <v>अग्निसाइर कृष्णासवरण गाउँपालिका</v>
      </c>
      <c r="D607" s="3" t="str">
        <f ca="1">IFERROR(__xludf.DUMMYFUNCTION("googletranslate(D607,""en"",""ne"")"),"अध्यक्ष")</f>
        <v>अध्यक्ष</v>
      </c>
      <c r="E607" s="2" t="s">
        <v>18</v>
      </c>
      <c r="F607" s="2" t="s">
        <v>1327</v>
      </c>
      <c r="G607" s="2" t="s">
        <v>8</v>
      </c>
      <c r="H607" s="2" t="s">
        <v>70</v>
      </c>
      <c r="I607" s="2" t="s">
        <v>1328</v>
      </c>
    </row>
    <row r="608" spans="1:9" ht="15.75" customHeight="1">
      <c r="A608" s="2" t="s">
        <v>1162</v>
      </c>
      <c r="B608" s="2" t="s">
        <v>1326</v>
      </c>
      <c r="C608" s="2" t="str">
        <f ca="1">IFERROR(__xludf.DUMMYFUNCTION("googletranslate(C608,""en"",""ne"")"),"कञ्चन रुप नगरपालिका")</f>
        <v>कञ्चन रुप नगरपालिका</v>
      </c>
      <c r="D608" s="3" t="str">
        <f ca="1">IFERROR(__xludf.DUMMYFUNCTION("googletranslate(D608,""en"",""ne"")"),"मेयर")</f>
        <v>मेयर</v>
      </c>
      <c r="E608" s="2" t="s">
        <v>11</v>
      </c>
      <c r="F608" s="2" t="s">
        <v>1329</v>
      </c>
      <c r="G608" s="2" t="s">
        <v>8</v>
      </c>
      <c r="H608" s="2" t="s">
        <v>64</v>
      </c>
      <c r="I608" s="2" t="s">
        <v>1330</v>
      </c>
    </row>
    <row r="609" spans="1:9" ht="15.75" customHeight="1">
      <c r="A609" s="2" t="s">
        <v>1162</v>
      </c>
      <c r="B609" s="2" t="s">
        <v>1326</v>
      </c>
      <c r="C609" s="2" t="str">
        <f ca="1">IFERROR(__xludf.DUMMYFUNCTION("googletranslate(C609,""en"",""ne"")"),"खडक नगरपालिका")</f>
        <v>खडक नगरपालिका</v>
      </c>
      <c r="D609" s="3" t="str">
        <f ca="1">IFERROR(__xludf.DUMMYFUNCTION("googletranslate(D609,""en"",""ne"")"),"मेयर")</f>
        <v>मेयर</v>
      </c>
      <c r="E609" s="2" t="s">
        <v>30</v>
      </c>
      <c r="F609" s="2" t="s">
        <v>1331</v>
      </c>
      <c r="G609" s="2" t="s">
        <v>8</v>
      </c>
      <c r="H609" s="2" t="s">
        <v>190</v>
      </c>
      <c r="I609" s="2" t="s">
        <v>1332</v>
      </c>
    </row>
    <row r="610" spans="1:9" ht="15.75" customHeight="1">
      <c r="A610" s="2" t="s">
        <v>1162</v>
      </c>
      <c r="B610" s="2" t="s">
        <v>1326</v>
      </c>
      <c r="C610" s="2" t="str">
        <f ca="1">IFERROR(__xludf.DUMMYFUNCTION("googletranslate(C610,""en"",""ne"")"),"छिन्नमस्ता गाउँपालिका")</f>
        <v>छिन्नमस्ता गाउँपालिका</v>
      </c>
      <c r="D610" s="3" t="str">
        <f ca="1">IFERROR(__xludf.DUMMYFUNCTION("googletranslate(D610,""en"",""ne"")"),"अध्यक्ष")</f>
        <v>अध्यक्ष</v>
      </c>
      <c r="E610" s="2" t="s">
        <v>1044</v>
      </c>
      <c r="F610" s="2" t="s">
        <v>1333</v>
      </c>
      <c r="G610" s="2" t="s">
        <v>8</v>
      </c>
      <c r="H610" s="2" t="s">
        <v>1334</v>
      </c>
      <c r="I610" s="2" t="s">
        <v>1335</v>
      </c>
    </row>
    <row r="611" spans="1:9" ht="15.75" customHeight="1">
      <c r="A611" s="2" t="s">
        <v>1162</v>
      </c>
      <c r="B611" s="2" t="s">
        <v>1326</v>
      </c>
      <c r="C611" s="2" t="str">
        <f ca="1">IFERROR(__xludf.DUMMYFUNCTION("googletranslate(C611,""en"",""ne"")"),"डाक्नेश्वरी नगरपालिका")</f>
        <v>डाक्नेश्वरी नगरपालिका</v>
      </c>
      <c r="D611" s="3" t="str">
        <f ca="1">IFERROR(__xludf.DUMMYFUNCTION("googletranslate(D611,""en"",""ne"")"),"मेयर")</f>
        <v>मेयर</v>
      </c>
      <c r="E611" s="2" t="s">
        <v>18</v>
      </c>
      <c r="F611" s="2" t="s">
        <v>1336</v>
      </c>
      <c r="G611" s="2" t="s">
        <v>8</v>
      </c>
      <c r="H611" s="2" t="s">
        <v>172</v>
      </c>
      <c r="I611" s="2" t="s">
        <v>1337</v>
      </c>
    </row>
    <row r="612" spans="1:9" ht="15.75" customHeight="1">
      <c r="A612" s="2" t="s">
        <v>1162</v>
      </c>
      <c r="B612" s="2" t="s">
        <v>1326</v>
      </c>
      <c r="C612" s="2" t="str">
        <f ca="1">IFERROR(__xludf.DUMMYFUNCTION("googletranslate(C612,""en"",""ne"")"),"तिरहुत गाउँपालिका")</f>
        <v>तिरहुत गाउँपालिका</v>
      </c>
      <c r="D612" s="3" t="str">
        <f ca="1">IFERROR(__xludf.DUMMYFUNCTION("googletranslate(D612,""en"",""ne"")"),"अध्यक्ष")</f>
        <v>अध्यक्ष</v>
      </c>
      <c r="E612" s="2" t="s">
        <v>11</v>
      </c>
      <c r="F612" s="2" t="s">
        <v>1338</v>
      </c>
      <c r="G612" s="2" t="s">
        <v>8</v>
      </c>
      <c r="H612" s="2" t="s">
        <v>26</v>
      </c>
      <c r="I612" s="2" t="s">
        <v>1339</v>
      </c>
    </row>
    <row r="613" spans="1:9" ht="15.75" customHeight="1">
      <c r="A613" s="2" t="s">
        <v>1162</v>
      </c>
      <c r="B613" s="2" t="s">
        <v>1326</v>
      </c>
      <c r="C613" s="2" t="str">
        <f ca="1">IFERROR(__xludf.DUMMYFUNCTION("googletranslate(C613,""en"",""ne"")"),"तिलाठी कुनैलाडी गाउँपालिका")</f>
        <v>तिलाठी कुनैलाडी गाउँपालिका</v>
      </c>
      <c r="D613" s="3" t="str">
        <f ca="1">IFERROR(__xludf.DUMMYFUNCTION("googletranslate(D613,""en"",""ne"")"),"अध्यक्ष")</f>
        <v>अध्यक्ष</v>
      </c>
      <c r="E613" s="2" t="s">
        <v>11</v>
      </c>
      <c r="F613" s="2" t="s">
        <v>1340</v>
      </c>
      <c r="G613" s="2" t="s">
        <v>8</v>
      </c>
      <c r="H613" s="2" t="s">
        <v>16</v>
      </c>
      <c r="I613" s="2" t="s">
        <v>344</v>
      </c>
    </row>
    <row r="614" spans="1:9" ht="15.75" customHeight="1">
      <c r="A614" s="2" t="s">
        <v>1162</v>
      </c>
      <c r="B614" s="2" t="s">
        <v>1326</v>
      </c>
      <c r="C614" s="2" t="str">
        <f ca="1">IFERROR(__xludf.DUMMYFUNCTION("googletranslate(C614,""en"",""ne"")"),"बोदे बरसाइन नगरपालिका")</f>
        <v>बोदे बरसाइन नगरपालिका</v>
      </c>
      <c r="D614" s="3" t="str">
        <f ca="1">IFERROR(__xludf.DUMMYFUNCTION("googletranslate(D614,""en"",""ne"")"),"मेयर")</f>
        <v>मेयर</v>
      </c>
      <c r="E614" s="2" t="s">
        <v>789</v>
      </c>
      <c r="F614" s="2" t="s">
        <v>1341</v>
      </c>
      <c r="G614" s="2" t="s">
        <v>8</v>
      </c>
      <c r="H614" s="2" t="s">
        <v>41</v>
      </c>
      <c r="I614" s="2" t="s">
        <v>1342</v>
      </c>
    </row>
    <row r="615" spans="1:9" ht="15.75" customHeight="1">
      <c r="A615" s="2" t="s">
        <v>1162</v>
      </c>
      <c r="B615" s="2" t="s">
        <v>1326</v>
      </c>
      <c r="C615" s="2" t="str">
        <f ca="1">IFERROR(__xludf.DUMMYFUNCTION("googletranslate(C615,""en"",""ne"")"),"महादेव गाउँपालिका")</f>
        <v>महादेव गाउँपालिका</v>
      </c>
      <c r="D615" s="3" t="str">
        <f ca="1">IFERROR(__xludf.DUMMYFUNCTION("googletranslate(D615,""en"",""ne"")"),"अध्यक्ष")</f>
        <v>अध्यक्ष</v>
      </c>
      <c r="E615" s="2" t="s">
        <v>1044</v>
      </c>
      <c r="F615" s="2" t="s">
        <v>1343</v>
      </c>
      <c r="G615" s="2" t="s">
        <v>8</v>
      </c>
      <c r="H615" s="2" t="s">
        <v>26</v>
      </c>
      <c r="I615" s="2" t="s">
        <v>1344</v>
      </c>
    </row>
    <row r="616" spans="1:9" ht="15.75" customHeight="1">
      <c r="A616" s="2" t="s">
        <v>1162</v>
      </c>
      <c r="B616" s="2" t="s">
        <v>1326</v>
      </c>
      <c r="C616" s="2" t="str">
        <f ca="1">IFERROR(__xludf.DUMMYFUNCTION("googletranslate(C616,""en"",""ne"")"),"राजगढ गाउँपालिका")</f>
        <v>राजगढ गाउँपालिका</v>
      </c>
      <c r="D616" s="3" t="str">
        <f ca="1">IFERROR(__xludf.DUMMYFUNCTION("googletranslate(D616,""en"",""ne"")"),"अध्यक्ष")</f>
        <v>अध्यक्ष</v>
      </c>
      <c r="E616" s="2" t="s">
        <v>18</v>
      </c>
      <c r="F616" s="2" t="s">
        <v>1345</v>
      </c>
      <c r="G616" s="2" t="s">
        <v>8</v>
      </c>
      <c r="H616" s="2" t="s">
        <v>50</v>
      </c>
      <c r="I616" s="2" t="s">
        <v>1346</v>
      </c>
    </row>
    <row r="617" spans="1:9" ht="15.75" customHeight="1">
      <c r="A617" s="2" t="s">
        <v>1162</v>
      </c>
      <c r="B617" s="2" t="s">
        <v>1326</v>
      </c>
      <c r="C617" s="2" t="str">
        <f ca="1">IFERROR(__xludf.DUMMYFUNCTION("googletranslate(C617,""en"",""ne"")"),"राजविराज नगरपालिका")</f>
        <v>राजविराज नगरपालिका</v>
      </c>
      <c r="D617" s="3" t="str">
        <f ca="1">IFERROR(__xludf.DUMMYFUNCTION("googletranslate(D617,""en"",""ne"")"),"मेयर")</f>
        <v>मेयर</v>
      </c>
      <c r="E617" s="2" t="s">
        <v>789</v>
      </c>
      <c r="F617" s="2" t="s">
        <v>1347</v>
      </c>
      <c r="G617" s="2" t="s">
        <v>8</v>
      </c>
      <c r="H617" s="2" t="s">
        <v>172</v>
      </c>
      <c r="I617" s="2" t="s">
        <v>1348</v>
      </c>
    </row>
    <row r="618" spans="1:9" ht="15.75" customHeight="1">
      <c r="A618" s="2" t="s">
        <v>1162</v>
      </c>
      <c r="B618" s="2" t="s">
        <v>1326</v>
      </c>
      <c r="C618" s="2" t="str">
        <f ca="1">IFERROR(__xludf.DUMMYFUNCTION("googletranslate(C618,""en"",""ne"")"),"रुपनीपाल गाउँिका")</f>
        <v>रुपनीपाल गाउँिका</v>
      </c>
      <c r="D618" s="3" t="str">
        <f ca="1">IFERROR(__xludf.DUMMYFUNCTION("googletranslate(D618,""en"",""ne"")"),"अध्यक्ष")</f>
        <v>अध्यक्ष</v>
      </c>
      <c r="E618" s="2" t="s">
        <v>1044</v>
      </c>
      <c r="F618" s="2" t="s">
        <v>1349</v>
      </c>
      <c r="G618" s="2" t="s">
        <v>8</v>
      </c>
      <c r="H618" s="2" t="s">
        <v>50</v>
      </c>
      <c r="I618" s="2" t="s">
        <v>1350</v>
      </c>
    </row>
    <row r="619" spans="1:9" ht="15.75" customHeight="1">
      <c r="A619" s="2" t="s">
        <v>1162</v>
      </c>
      <c r="B619" s="2" t="s">
        <v>1326</v>
      </c>
      <c r="C619" s="2" t="str">
        <f ca="1">IFERROR(__xludf.DUMMYFUNCTION("googletranslate(C619,""en"",""ne"")"),"वलन-विहुल गाउँपालिका")</f>
        <v>वलन-विहुल गाउँपालिका</v>
      </c>
      <c r="D619" s="3" t="str">
        <f ca="1">IFERROR(__xludf.DUMMYFUNCTION("googletranslate(D619,""en"",""ne"")"),"अध्यक्ष")</f>
        <v>अध्यक्ष</v>
      </c>
      <c r="E619" s="2" t="s">
        <v>1351</v>
      </c>
      <c r="F619" s="2" t="s">
        <v>1352</v>
      </c>
      <c r="G619" s="2" t="s">
        <v>8</v>
      </c>
      <c r="H619" s="2" t="s">
        <v>322</v>
      </c>
      <c r="I619" s="2" t="s">
        <v>1353</v>
      </c>
    </row>
    <row r="620" spans="1:9" ht="15.75" customHeight="1">
      <c r="A620" s="2" t="s">
        <v>1162</v>
      </c>
      <c r="B620" s="2" t="s">
        <v>1326</v>
      </c>
      <c r="C620" s="2" t="str">
        <f ca="1">IFERROR(__xludf.DUMMYFUNCTION("googletranslate(C620,""en"",""ne"")"),"विष्णुपुर गाउँपालिका")</f>
        <v>विष्णुपुर गाउँपालिका</v>
      </c>
      <c r="D620" s="3" t="str">
        <f ca="1">IFERROR(__xludf.DUMMYFUNCTION("googletranslate(D620,""en"",""ne"")"),"अध्यक्ष")</f>
        <v>अध्यक्ष</v>
      </c>
      <c r="E620" s="2" t="s">
        <v>789</v>
      </c>
      <c r="F620" s="2" t="s">
        <v>1354</v>
      </c>
      <c r="G620" s="2" t="s">
        <v>8</v>
      </c>
      <c r="H620" s="2" t="s">
        <v>64</v>
      </c>
      <c r="I620" s="2" t="s">
        <v>1355</v>
      </c>
    </row>
    <row r="621" spans="1:9" ht="15.75" customHeight="1">
      <c r="A621" s="2" t="s">
        <v>1162</v>
      </c>
      <c r="B621" s="2" t="s">
        <v>1326</v>
      </c>
      <c r="C621" s="2" t="str">
        <f ca="1">IFERROR(__xludf.DUMMYFUNCTION("googletranslate(C621,""en"",""ne"")"),"शम्भुनाथ नगरपालिका")</f>
        <v>शम्भुनाथ नगरपालिका</v>
      </c>
      <c r="D621" s="3" t="str">
        <f ca="1">IFERROR(__xludf.DUMMYFUNCTION("googletranslate(D621,""en"",""ne"")"),"मेयर")</f>
        <v>मेयर</v>
      </c>
      <c r="E621" s="2" t="s">
        <v>39</v>
      </c>
      <c r="F621" s="2" t="s">
        <v>1356</v>
      </c>
      <c r="G621" s="2" t="s">
        <v>8</v>
      </c>
      <c r="H621" s="2" t="s">
        <v>70</v>
      </c>
      <c r="I621" s="2" t="s">
        <v>1357</v>
      </c>
    </row>
    <row r="622" spans="1:9" ht="15.75" customHeight="1">
      <c r="A622" s="2" t="s">
        <v>1162</v>
      </c>
      <c r="B622" s="2" t="s">
        <v>1326</v>
      </c>
      <c r="C622" s="2" t="str">
        <f ca="1">IFERROR(__xludf.DUMMYFUNCTION("googletranslate(C622,""en"",""ne"")"),"सप्तकोशी नगरपालिका")</f>
        <v>सप्तकोशी नगरपालिका</v>
      </c>
      <c r="D622" s="3" t="str">
        <f ca="1">IFERROR(__xludf.DUMMYFUNCTION("googletranslate(D622,""en"",""ne"")"),"मेयर")</f>
        <v>मेयर</v>
      </c>
      <c r="E622" s="2" t="s">
        <v>11</v>
      </c>
      <c r="F622" s="2" t="s">
        <v>1358</v>
      </c>
      <c r="G622" s="2" t="s">
        <v>8</v>
      </c>
      <c r="H622" s="2" t="s">
        <v>26</v>
      </c>
      <c r="I622" s="2" t="s">
        <v>1359</v>
      </c>
    </row>
    <row r="623" spans="1:9" ht="15.75" customHeight="1">
      <c r="A623" s="2" t="s">
        <v>1162</v>
      </c>
      <c r="B623" s="2" t="s">
        <v>1326</v>
      </c>
      <c r="C623" s="2" t="str">
        <f ca="1">IFERROR(__xludf.DUMMYFUNCTION("googletranslate(C623,""en"",""ne"")"),"सुरुङ्गा नगरपालिका")</f>
        <v>सुरुङ्गा नगरपालिका</v>
      </c>
      <c r="D623" s="3" t="str">
        <f ca="1">IFERROR(__xludf.DUMMYFUNCTION("googletranslate(D623,""en"",""ne"")"),"मेयर")</f>
        <v>मेयर</v>
      </c>
      <c r="E623" s="2" t="s">
        <v>11</v>
      </c>
      <c r="F623" s="2" t="s">
        <v>1360</v>
      </c>
      <c r="G623" s="2" t="s">
        <v>32</v>
      </c>
      <c r="H623" s="2" t="s">
        <v>58</v>
      </c>
      <c r="I623" s="2" t="s">
        <v>1361</v>
      </c>
    </row>
    <row r="624" spans="1:9" ht="15.75" customHeight="1">
      <c r="A624" s="2" t="s">
        <v>1162</v>
      </c>
      <c r="B624" s="2" t="s">
        <v>1326</v>
      </c>
      <c r="C624" s="2" t="str">
        <f ca="1">IFERROR(__xludf.DUMMYFUNCTION("googletranslate(C624,""en"",""ne"")"),"हनुमाननगर कन्कालिनी नगरपालिका")</f>
        <v>हनुमाननगर कन्कालिनी नगरपालिका</v>
      </c>
      <c r="D624" s="3" t="str">
        <f ca="1">IFERROR(__xludf.DUMMYFUNCTION("googletranslate(D624,""en"",""ne"")"),"मेयर")</f>
        <v>मेयर</v>
      </c>
      <c r="E624" s="2" t="s">
        <v>1351</v>
      </c>
      <c r="F624" s="2" t="s">
        <v>1362</v>
      </c>
      <c r="G624" s="2" t="s">
        <v>8</v>
      </c>
      <c r="H624" s="2" t="s">
        <v>16</v>
      </c>
      <c r="I624" s="2" t="s">
        <v>1363</v>
      </c>
    </row>
    <row r="625" spans="1:9" ht="15.75" customHeight="1">
      <c r="A625" s="2" t="s">
        <v>1162</v>
      </c>
      <c r="B625" s="2" t="s">
        <v>1364</v>
      </c>
      <c r="C625" s="2" t="str">
        <f ca="1">IFERROR(__xludf.DUMMYFUNCTION("googletranslate(C625,""en"",""ne"")"),"पर्सा गाउँपालिका")</f>
        <v>पर्सा गाउँपालिका</v>
      </c>
      <c r="D625" s="3" t="str">
        <f ca="1">IFERROR(__xludf.DUMMYFUNCTION("googletranslate(D625,""en"",""ne"")"),"अध्यक्ष")</f>
        <v>अध्यक्ष</v>
      </c>
      <c r="E625" s="2" t="s">
        <v>11</v>
      </c>
      <c r="F625" s="2" t="s">
        <v>1365</v>
      </c>
      <c r="G625" s="2" t="s">
        <v>8</v>
      </c>
      <c r="H625" s="2" t="s">
        <v>83</v>
      </c>
      <c r="I625" s="2" t="s">
        <v>1366</v>
      </c>
    </row>
    <row r="626" spans="1:9" ht="15.75" customHeight="1">
      <c r="A626" s="2" t="s">
        <v>1162</v>
      </c>
      <c r="B626" s="2" t="s">
        <v>1364</v>
      </c>
      <c r="C626" s="2" t="str">
        <f ca="1">IFERROR(__xludf.DUMMYFUNCTION("googletranslate(C626,""en"",""ne"")"),"पुर ईश्वर नगरपालिका")</f>
        <v>पुर ईश्वर नगरपालिका</v>
      </c>
      <c r="D626" s="3" t="str">
        <f ca="1">IFERROR(__xludf.DUMMYFUNCTION("googletranslate(D626,""en"",""ne"")"),"मेयर")</f>
        <v>मेयर</v>
      </c>
      <c r="E626" s="2" t="s">
        <v>11</v>
      </c>
      <c r="F626" s="2" t="s">
        <v>1367</v>
      </c>
      <c r="G626" s="2" t="s">
        <v>8</v>
      </c>
      <c r="H626" s="2" t="s">
        <v>50</v>
      </c>
      <c r="I626" s="2" t="s">
        <v>1368</v>
      </c>
    </row>
    <row r="627" spans="1:9" ht="15.75" customHeight="1">
      <c r="A627" s="2" t="s">
        <v>1162</v>
      </c>
      <c r="B627" s="2" t="s">
        <v>1364</v>
      </c>
      <c r="C627" s="2" t="str">
        <f ca="1">IFERROR(__xludf.DUMMYFUNCTION("googletranslate(C627,""en"",""ne"")"),"कविलासी नगरपालिका")</f>
        <v>कविलासी नगरपालिका</v>
      </c>
      <c r="D627" s="3" t="str">
        <f ca="1">IFERROR(__xludf.DUMMYFUNCTION("googletranslate(D627,""en"",""ne"")"),"मेयर")</f>
        <v>मेयर</v>
      </c>
      <c r="E627" s="2" t="s">
        <v>11</v>
      </c>
      <c r="F627" s="2" t="s">
        <v>1369</v>
      </c>
      <c r="G627" s="2" t="s">
        <v>8</v>
      </c>
      <c r="H627" s="2" t="s">
        <v>121</v>
      </c>
      <c r="I627" s="2" t="s">
        <v>1370</v>
      </c>
    </row>
    <row r="628" spans="1:9" ht="15.75" customHeight="1">
      <c r="A628" s="2" t="s">
        <v>1162</v>
      </c>
      <c r="B628" s="2" t="s">
        <v>1364</v>
      </c>
      <c r="C628" s="2" t="str">
        <f ca="1">IFERROR(__xludf.DUMMYFUNCTION("googletranslate(C628,""en"",""ne"")"),"कौडेना गाउँपालिका")</f>
        <v>कौडेना गाउँपालिका</v>
      </c>
      <c r="D628" s="3" t="str">
        <f ca="1">IFERROR(__xludf.DUMMYFUNCTION("googletranslate(D628,""en"",""ne"")"),"अध्यक्ष")</f>
        <v>अध्यक्ष</v>
      </c>
      <c r="E628" s="2" t="s">
        <v>11</v>
      </c>
      <c r="F628" s="2" t="s">
        <v>1371</v>
      </c>
      <c r="G628" s="2" t="s">
        <v>8</v>
      </c>
      <c r="H628" s="2" t="s">
        <v>200</v>
      </c>
      <c r="I628" s="2" t="s">
        <v>1372</v>
      </c>
    </row>
    <row r="629" spans="1:9" ht="15.75" customHeight="1">
      <c r="A629" s="2" t="s">
        <v>1162</v>
      </c>
      <c r="B629" s="2" t="s">
        <v>1364</v>
      </c>
      <c r="C629" s="2" t="str">
        <f ca="1">IFERROR(__xludf.DUMMYFUNCTION("googletranslate(C629,""en"",""ne"")"),"गोडैटा नगरपालिका")</f>
        <v>गोडैटा नगरपालिका</v>
      </c>
      <c r="D629" s="3" t="str">
        <f ca="1">IFERROR(__xludf.DUMMYFUNCTION("googletranslate(D629,""en"",""ne"")"),"मेयर")</f>
        <v>मेयर</v>
      </c>
      <c r="E629" s="2" t="s">
        <v>1044</v>
      </c>
      <c r="F629" s="2" t="s">
        <v>1373</v>
      </c>
      <c r="G629" s="2" t="s">
        <v>8</v>
      </c>
      <c r="H629" s="2" t="s">
        <v>64</v>
      </c>
      <c r="I629" s="2" t="s">
        <v>1374</v>
      </c>
    </row>
    <row r="630" spans="1:9" ht="15.75" customHeight="1">
      <c r="A630" s="2" t="s">
        <v>1162</v>
      </c>
      <c r="B630" s="2" t="s">
        <v>1364</v>
      </c>
      <c r="C630" s="2" t="str">
        <f ca="1">IFERROR(__xludf.DUMMYFUNCTION("googletranslate(C630,""en"",""ne"")"),"चक्रघट्टा गाउँपालिका")</f>
        <v>चक्रघट्टा गाउँपालिका</v>
      </c>
      <c r="D630" s="3" t="str">
        <f ca="1">IFERROR(__xludf.DUMMYFUNCTION("googletranslate(D630,""en"",""ne"")"),"अध्यक्ष")</f>
        <v>अध्यक्ष</v>
      </c>
      <c r="E630" s="2" t="s">
        <v>789</v>
      </c>
      <c r="F630" s="2" t="s">
        <v>1375</v>
      </c>
      <c r="G630" s="2" t="s">
        <v>8</v>
      </c>
      <c r="H630" s="2" t="s">
        <v>159</v>
      </c>
      <c r="I630" s="2" t="s">
        <v>1376</v>
      </c>
    </row>
    <row r="631" spans="1:9" ht="15.75" customHeight="1">
      <c r="A631" s="2" t="s">
        <v>1162</v>
      </c>
      <c r="B631" s="2" t="s">
        <v>1364</v>
      </c>
      <c r="C631" s="2" t="str">
        <f ca="1">IFERROR(__xludf.DUMMYFUNCTION("googletranslate(C631,""en"",""ne"")"),"चन्द्रनगर गाउँपालिका")</f>
        <v>चन्द्रनगर गाउँपालिका</v>
      </c>
      <c r="D631" s="3" t="str">
        <f ca="1">IFERROR(__xludf.DUMMYFUNCTION("googletranslate(D631,""en"",""ne"")"),"अध्यक्ष")</f>
        <v>अध्यक्ष</v>
      </c>
      <c r="E631" s="2" t="s">
        <v>11</v>
      </c>
      <c r="F631" s="2" t="s">
        <v>1377</v>
      </c>
      <c r="G631" s="2" t="s">
        <v>8</v>
      </c>
      <c r="H631" s="2" t="s">
        <v>16</v>
      </c>
      <c r="I631" s="2" t="s">
        <v>1378</v>
      </c>
    </row>
    <row r="632" spans="1:9" ht="15.75" customHeight="1">
      <c r="A632" s="2" t="s">
        <v>1162</v>
      </c>
      <c r="B632" s="2" t="s">
        <v>1364</v>
      </c>
      <c r="C632" s="2" t="str">
        <f ca="1">IFERROR(__xludf.DUMMYFUNCTION("googletranslate(C632,""en"",""ne"")"),"धनकौल गाउँपालिका")</f>
        <v>धनकौल गाउँपालिका</v>
      </c>
      <c r="D632" s="3" t="str">
        <f ca="1">IFERROR(__xludf.DUMMYFUNCTION("googletranslate(D632,""en"",""ne"")"),"अध्यक्ष")</f>
        <v>अध्यक्ष</v>
      </c>
      <c r="E632" s="2" t="s">
        <v>11</v>
      </c>
      <c r="F632" s="2" t="s">
        <v>1379</v>
      </c>
      <c r="G632" s="2" t="s">
        <v>8</v>
      </c>
      <c r="H632" s="2" t="s">
        <v>1380</v>
      </c>
      <c r="I632" s="2" t="s">
        <v>1381</v>
      </c>
    </row>
    <row r="633" spans="1:9" ht="15.75" customHeight="1">
      <c r="A633" s="2" t="s">
        <v>1162</v>
      </c>
      <c r="B633" s="2" t="s">
        <v>1364</v>
      </c>
      <c r="C633" s="2" t="str">
        <f ca="1">IFERROR(__xludf.DUMMYFUNCTION("googletranslate(C633,""en"",""ne"")"),"बरथवा नगरपालिका")</f>
        <v>बरथवा नगरपालिका</v>
      </c>
      <c r="D633" s="3" t="str">
        <f ca="1">IFERROR(__xludf.DUMMYFUNCTION("googletranslate(D633,""en"",""ne"")"),"मेयर")</f>
        <v>मेयर</v>
      </c>
      <c r="E633" s="2" t="s">
        <v>18</v>
      </c>
      <c r="F633" s="2" t="s">
        <v>1382</v>
      </c>
      <c r="G633" s="2" t="s">
        <v>32</v>
      </c>
      <c r="H633" s="2" t="s">
        <v>91</v>
      </c>
      <c r="I633" s="2" t="s">
        <v>1383</v>
      </c>
    </row>
    <row r="634" spans="1:9" ht="15.75" customHeight="1">
      <c r="A634" s="2" t="s">
        <v>1162</v>
      </c>
      <c r="B634" s="2" t="s">
        <v>1364</v>
      </c>
      <c r="C634" s="2" t="str">
        <f ca="1">IFERROR(__xludf.DUMMYFUNCTION("googletranslate(C634,""en"",""ne"")"),"बलरा नगरपालिका")</f>
        <v>बलरा नगरपालिका</v>
      </c>
      <c r="D634" s="3" t="str">
        <f ca="1">IFERROR(__xludf.DUMMYFUNCTION("googletranslate(D634,""en"",""ne"")"),"मेयर")</f>
        <v>मेयर</v>
      </c>
      <c r="E634" s="2" t="s">
        <v>30</v>
      </c>
      <c r="F634" s="2" t="s">
        <v>1384</v>
      </c>
      <c r="G634" s="2" t="s">
        <v>8</v>
      </c>
      <c r="H634" s="2" t="s">
        <v>41</v>
      </c>
      <c r="I634" s="2" t="s">
        <v>1385</v>
      </c>
    </row>
    <row r="635" spans="1:9" ht="15.75" customHeight="1">
      <c r="A635" s="2" t="s">
        <v>1162</v>
      </c>
      <c r="B635" s="2" t="s">
        <v>1364</v>
      </c>
      <c r="C635" s="2" t="str">
        <f ca="1">IFERROR(__xludf.DUMMYFUNCTION("googletranslate(C635,""en"",""ne"")"),"बसबरिया गाउँपालिका")</f>
        <v>बसबरिया गाउँपालिका</v>
      </c>
      <c r="D635" s="3" t="str">
        <f ca="1">IFERROR(__xludf.DUMMYFUNCTION("googletranslate(D635,""en"",""ne"")"),"अध्यक्ष")</f>
        <v>अध्यक्ष</v>
      </c>
      <c r="E635" s="2" t="s">
        <v>789</v>
      </c>
      <c r="F635" s="2" t="s">
        <v>1386</v>
      </c>
      <c r="G635" s="2" t="s">
        <v>8</v>
      </c>
      <c r="H635" s="2" t="s">
        <v>55</v>
      </c>
      <c r="I635" s="2" t="s">
        <v>1387</v>
      </c>
    </row>
    <row r="636" spans="1:9" ht="15.75" customHeight="1">
      <c r="A636" s="2" t="s">
        <v>1162</v>
      </c>
      <c r="B636" s="2" t="s">
        <v>1364</v>
      </c>
      <c r="C636" s="2" t="str">
        <f ca="1">IFERROR(__xludf.DUMMYFUNCTION("googletranslate(C636,""en"",""ne"")"),"बागमती नगरपालिका")</f>
        <v>बागमती नगरपालिका</v>
      </c>
      <c r="D636" s="3" t="str">
        <f ca="1">IFERROR(__xludf.DUMMYFUNCTION("googletranslate(D636,""en"",""ne"")"),"मेयर")</f>
        <v>मेयर</v>
      </c>
      <c r="E636" s="2" t="s">
        <v>30</v>
      </c>
      <c r="F636" s="2" t="s">
        <v>1116</v>
      </c>
      <c r="G636" s="2" t="s">
        <v>8</v>
      </c>
      <c r="H636" s="2" t="s">
        <v>58</v>
      </c>
      <c r="I636" s="2" t="s">
        <v>1388</v>
      </c>
    </row>
    <row r="637" spans="1:9" ht="15.75" customHeight="1">
      <c r="A637" s="2" t="s">
        <v>1162</v>
      </c>
      <c r="B637" s="2" t="s">
        <v>1364</v>
      </c>
      <c r="C637" s="2" t="str">
        <f ca="1">IFERROR(__xludf.DUMMYFUNCTION("googletranslate(C637,""en"",""ne"")"),"ब्रह्मपुरी गाउँपालिका")</f>
        <v>ब्रह्मपुरी गाउँपालिका</v>
      </c>
      <c r="D637" s="3" t="str">
        <f ca="1">IFERROR(__xludf.DUMMYFUNCTION("googletranslate(D637,""en"",""ne"")"),"अध्यक्ष")</f>
        <v>अध्यक्ष</v>
      </c>
      <c r="E637" s="2" t="s">
        <v>11</v>
      </c>
      <c r="F637" s="2" t="s">
        <v>1389</v>
      </c>
      <c r="G637" s="2" t="s">
        <v>8</v>
      </c>
      <c r="H637" s="2" t="s">
        <v>1390</v>
      </c>
      <c r="I637" s="2" t="s">
        <v>1391</v>
      </c>
    </row>
    <row r="638" spans="1:9" ht="15.75" customHeight="1">
      <c r="A638" s="2" t="s">
        <v>1162</v>
      </c>
      <c r="B638" s="2" t="s">
        <v>1364</v>
      </c>
      <c r="C638" s="2" t="str">
        <f ca="1">IFERROR(__xludf.DUMMYFUNCTION("googletranslate(C638,""en"",""ne"")"),"मलंगवा नगरपालिका")</f>
        <v>मलंगवा नगरपालिका</v>
      </c>
      <c r="D638" s="3" t="str">
        <f ca="1">IFERROR(__xludf.DUMMYFUNCTION("googletranslate(D638,""en"",""ne"")"),"मेयर")</f>
        <v>मेयर</v>
      </c>
      <c r="E638" s="2" t="s">
        <v>11</v>
      </c>
      <c r="F638" s="2" t="s">
        <v>1392</v>
      </c>
      <c r="G638" s="2" t="s">
        <v>8</v>
      </c>
      <c r="H638" s="2" t="s">
        <v>1014</v>
      </c>
      <c r="I638" s="2" t="s">
        <v>1393</v>
      </c>
    </row>
    <row r="639" spans="1:9" ht="15.75" customHeight="1">
      <c r="A639" s="2" t="s">
        <v>1162</v>
      </c>
      <c r="B639" s="2" t="s">
        <v>1364</v>
      </c>
      <c r="C639" s="2" t="str">
        <f ca="1">IFERROR(__xludf.DUMMYFUNCTION("googletranslate(C639,""en"",""ne"")"),"रामनगर गाउँपालिका")</f>
        <v>रामनगर गाउँपालिका</v>
      </c>
      <c r="D639" s="3" t="str">
        <f ca="1">IFERROR(__xludf.DUMMYFUNCTION("googletranslate(D639,""en"",""ne"")"),"अध्यक्ष")</f>
        <v>अध्यक्ष</v>
      </c>
      <c r="E639" s="2" t="s">
        <v>30</v>
      </c>
      <c r="F639" s="2" t="s">
        <v>1394</v>
      </c>
      <c r="G639" s="2" t="s">
        <v>8</v>
      </c>
      <c r="H639" s="2" t="s">
        <v>1395</v>
      </c>
      <c r="I639" s="2" t="s">
        <v>1396</v>
      </c>
    </row>
    <row r="640" spans="1:9" ht="15.75" customHeight="1">
      <c r="A640" s="2" t="s">
        <v>1162</v>
      </c>
      <c r="B640" s="2" t="s">
        <v>1364</v>
      </c>
      <c r="C640" s="2" t="str">
        <f ca="1">IFERROR(__xludf.DUMMYFUNCTION("googletranslate(C640,""en"",""ne"")"),"लालबन्दी नगरपालिका")</f>
        <v>लालबन्दी नगरपालिका</v>
      </c>
      <c r="D640" s="3" t="str">
        <f ca="1">IFERROR(__xludf.DUMMYFUNCTION("googletranslate(D640,""en"",""ne"")"),"मेयर")</f>
        <v>मेयर</v>
      </c>
      <c r="E640" s="2" t="s">
        <v>11</v>
      </c>
      <c r="F640" s="2" t="s">
        <v>1397</v>
      </c>
      <c r="G640" s="2" t="s">
        <v>8</v>
      </c>
      <c r="H640" s="2" t="s">
        <v>1061</v>
      </c>
      <c r="I640" s="2" t="s">
        <v>1398</v>
      </c>
    </row>
    <row r="641" spans="1:9" ht="15.75" customHeight="1">
      <c r="A641" s="2" t="s">
        <v>1162</v>
      </c>
      <c r="B641" s="2" t="s">
        <v>1364</v>
      </c>
      <c r="C641" s="2" t="str">
        <f ca="1">IFERROR(__xludf.DUMMYFUNCTION("googletranslate(C641,""en"",""ne"")"),"विष्णु गाउँपालिका")</f>
        <v>विष्णु गाउँपालिका</v>
      </c>
      <c r="D641" s="3" t="str">
        <f ca="1">IFERROR(__xludf.DUMMYFUNCTION("googletranslate(D641,""en"",""ne"")"),"अध्यक्ष")</f>
        <v>अध्यक्ष</v>
      </c>
      <c r="E641" s="2" t="s">
        <v>11</v>
      </c>
      <c r="F641" s="2" t="s">
        <v>1399</v>
      </c>
      <c r="G641" s="2" t="s">
        <v>8</v>
      </c>
      <c r="H641" s="2" t="s">
        <v>114</v>
      </c>
      <c r="I641" s="2" t="s">
        <v>1400</v>
      </c>
    </row>
    <row r="642" spans="1:9" ht="15.75" customHeight="1">
      <c r="A642" s="2" t="s">
        <v>1162</v>
      </c>
      <c r="B642" s="2" t="s">
        <v>1364</v>
      </c>
      <c r="C642" s="2" t="str">
        <f ca="1">IFERROR(__xludf.DUMMYFUNCTION("googletranslate(C642,""en"",""ne"")"),"हरिपुर नगरपालिका")</f>
        <v>हरिपुर नगरपालिका</v>
      </c>
      <c r="D642" s="3" t="str">
        <f ca="1">IFERROR(__xludf.DUMMYFUNCTION("googletranslate(D642,""en"",""ne"")"),"मेयर")</f>
        <v>मेयर</v>
      </c>
      <c r="E642" s="2" t="s">
        <v>11</v>
      </c>
      <c r="F642" s="2" t="s">
        <v>1401</v>
      </c>
      <c r="G642" s="2" t="s">
        <v>8</v>
      </c>
      <c r="H642" s="2" t="s">
        <v>172</v>
      </c>
      <c r="I642" s="2" t="s">
        <v>1402</v>
      </c>
    </row>
    <row r="643" spans="1:9" ht="15.75" customHeight="1">
      <c r="A643" s="2" t="s">
        <v>1162</v>
      </c>
      <c r="B643" s="2" t="s">
        <v>1364</v>
      </c>
      <c r="C643" s="2" t="str">
        <f ca="1">IFERROR(__xludf.DUMMYFUNCTION("googletranslate(C643,""en"",""ne"")"),"हरिपुर्वा नगरपालिका")</f>
        <v>हरिपुर्वा नगरपालिका</v>
      </c>
      <c r="D643" s="3" t="str">
        <f ca="1">IFERROR(__xludf.DUMMYFUNCTION("googletranslate(D643,""en"",""ne"")"),"मेयर")</f>
        <v>मेयर</v>
      </c>
      <c r="E643" s="2" t="s">
        <v>11</v>
      </c>
      <c r="F643" s="2" t="s">
        <v>1403</v>
      </c>
      <c r="G643" s="2" t="s">
        <v>8</v>
      </c>
      <c r="H643" s="2" t="s">
        <v>55</v>
      </c>
      <c r="I643" s="2" t="s">
        <v>1404</v>
      </c>
    </row>
    <row r="644" spans="1:9" ht="15.75" customHeight="1">
      <c r="A644" s="2" t="s">
        <v>1162</v>
      </c>
      <c r="B644" s="2" t="s">
        <v>1364</v>
      </c>
      <c r="C644" s="2" t="str">
        <f ca="1">IFERROR(__xludf.DUMMYFUNCTION("googletranslate(C644,""en"",""ne"")"),"हरिवन नगरपालिका")</f>
        <v>हरिवन नगरपालिका</v>
      </c>
      <c r="D644" s="3" t="str">
        <f ca="1">IFERROR(__xludf.DUMMYFUNCTION("googletranslate(D644,""en"",""ne"")"),"मेयर")</f>
        <v>मेयर</v>
      </c>
      <c r="E644" s="2" t="s">
        <v>30</v>
      </c>
      <c r="F644" s="2" t="s">
        <v>1405</v>
      </c>
      <c r="G644" s="2" t="s">
        <v>8</v>
      </c>
      <c r="H644" s="2" t="s">
        <v>172</v>
      </c>
      <c r="I644" s="2" t="s">
        <v>1406</v>
      </c>
    </row>
    <row r="645" spans="1:9" ht="15.75" customHeight="1">
      <c r="A645" s="2" t="s">
        <v>1162</v>
      </c>
      <c r="B645" s="2" t="s">
        <v>1407</v>
      </c>
      <c r="C645" s="2" t="str">
        <f ca="1">IFERROR(__xludf.DUMMYFUNCTION("googletranslate(C645,""en"",""ne"")"),"कल्याणपुर नगरपालिका")</f>
        <v>कल्याणपुर नगरपालिका</v>
      </c>
      <c r="D645" s="3" t="str">
        <f ca="1">IFERROR(__xludf.DUMMYFUNCTION("googletranslate(D645,""en"",""ne"")"),"मेयर")</f>
        <v>मेयर</v>
      </c>
      <c r="E645" s="2" t="s">
        <v>18</v>
      </c>
      <c r="F645" s="2" t="s">
        <v>1408</v>
      </c>
      <c r="G645" s="2" t="s">
        <v>8</v>
      </c>
      <c r="H645" s="2" t="s">
        <v>758</v>
      </c>
      <c r="I645" s="2" t="s">
        <v>1409</v>
      </c>
    </row>
    <row r="646" spans="1:9" ht="15.75" customHeight="1">
      <c r="A646" s="2" t="s">
        <v>1162</v>
      </c>
      <c r="B646" s="2" t="s">
        <v>1407</v>
      </c>
      <c r="C646" s="2" t="str">
        <f ca="1">IFERROR(__xludf.DUMMYFUNCTION("googletranslate(C646,""en"",""ne"")"),"सिरहा नगरपालिका")</f>
        <v>सिरहा नगरपालिका</v>
      </c>
      <c r="D646" s="3" t="str">
        <f ca="1">IFERROR(__xludf.DUMMYFUNCTION("googletranslate(D646,""en"",""ne"")"),"मेयर")</f>
        <v>मेयर</v>
      </c>
      <c r="E646" s="2" t="s">
        <v>18</v>
      </c>
      <c r="F646" s="2" t="s">
        <v>1410</v>
      </c>
      <c r="G646" s="2" t="s">
        <v>8</v>
      </c>
      <c r="H646" s="2" t="s">
        <v>33</v>
      </c>
      <c r="I646" s="2" t="s">
        <v>1411</v>
      </c>
    </row>
    <row r="647" spans="1:9" ht="15.75" customHeight="1">
      <c r="A647" s="2" t="s">
        <v>1162</v>
      </c>
      <c r="B647" s="2" t="s">
        <v>1407</v>
      </c>
      <c r="C647" s="2" t="str">
        <f ca="1">IFERROR(__xludf.DUMMYFUNCTION("googletranslate(C647,""en"",""ne"")"),"अर्नामा गाउँपालिका")</f>
        <v>अर्नामा गाउँपालिका</v>
      </c>
      <c r="D647" s="3" t="str">
        <f ca="1">IFERROR(__xludf.DUMMYFUNCTION("googletranslate(D647,""en"",""ne"")"),"अध्यक्ष")</f>
        <v>अध्यक्ष</v>
      </c>
      <c r="E647" s="2" t="s">
        <v>789</v>
      </c>
      <c r="F647" s="2" t="s">
        <v>1412</v>
      </c>
      <c r="G647" s="2" t="s">
        <v>8</v>
      </c>
      <c r="H647" s="2" t="s">
        <v>242</v>
      </c>
      <c r="I647" s="2" t="s">
        <v>1413</v>
      </c>
    </row>
    <row r="648" spans="1:9" ht="15.75" customHeight="1">
      <c r="A648" s="2" t="s">
        <v>1162</v>
      </c>
      <c r="B648" s="2" t="s">
        <v>1407</v>
      </c>
      <c r="C648" s="2" t="str">
        <f ca="1">IFERROR(__xludf.DUMMYFUNCTION("googletranslate(C648,""en"",""ne"")"),"रहीपाल गाउँपालिका")</f>
        <v>रहीपाल गाउँपालिका</v>
      </c>
      <c r="D648" s="3" t="str">
        <f ca="1">IFERROR(__xludf.DUMMYFUNCTION("googletranslate(D648,""en"",""ne"")"),"अध्यक्ष")</f>
        <v>अध्यक्ष</v>
      </c>
      <c r="E648" s="2" t="s">
        <v>789</v>
      </c>
      <c r="F648" s="2" t="s">
        <v>1414</v>
      </c>
      <c r="G648" s="2" t="s">
        <v>8</v>
      </c>
      <c r="H648" s="2" t="s">
        <v>55</v>
      </c>
      <c r="I648" s="2" t="s">
        <v>1415</v>
      </c>
    </row>
    <row r="649" spans="1:9" ht="15.75" customHeight="1">
      <c r="A649" s="2" t="s">
        <v>1162</v>
      </c>
      <c r="B649" s="2" t="s">
        <v>1407</v>
      </c>
      <c r="C649" s="2" t="str">
        <f ca="1">IFERROR(__xludf.DUMMYFUNCTION("googletranslate(C649,""en"",""ne"")"),"कर्जा नगरपालिका")</f>
        <v>कर्जा नगरपालिका</v>
      </c>
      <c r="D649" s="3" t="str">
        <f ca="1">IFERROR(__xludf.DUMMYFUNCTION("googletranslate(D649,""en"",""ne"")"),"मेयर")</f>
        <v>मेयर</v>
      </c>
      <c r="E649" s="2" t="s">
        <v>18</v>
      </c>
      <c r="F649" s="2" t="s">
        <v>1416</v>
      </c>
      <c r="G649" s="2" t="s">
        <v>8</v>
      </c>
      <c r="H649" s="2" t="s">
        <v>45</v>
      </c>
      <c r="I649" s="2" t="s">
        <v>1417</v>
      </c>
    </row>
    <row r="650" spans="1:9" ht="15.75" customHeight="1">
      <c r="A650" s="2" t="s">
        <v>1162</v>
      </c>
      <c r="B650" s="2" t="s">
        <v>1407</v>
      </c>
      <c r="C650" s="2" t="str">
        <f ca="1">IFERROR(__xludf.DUMMYFUNCTION("googletranslate(C650,""en"",""ne"")"),"गोलबजार नगरपालिका")</f>
        <v>गोलबजार नगरपालिका</v>
      </c>
      <c r="D650" s="3" t="str">
        <f ca="1">IFERROR(__xludf.DUMMYFUNCTION("googletranslate(D650,""en"",""ne"")"),"मेयर")</f>
        <v>मेयर</v>
      </c>
      <c r="E650" s="2" t="s">
        <v>18</v>
      </c>
      <c r="F650" s="2" t="s">
        <v>1418</v>
      </c>
      <c r="G650" s="2" t="s">
        <v>8</v>
      </c>
      <c r="H650" s="2" t="s">
        <v>67</v>
      </c>
      <c r="I650" s="2" t="s">
        <v>1419</v>
      </c>
    </row>
    <row r="651" spans="1:9" ht="15.75" customHeight="1">
      <c r="A651" s="2" t="s">
        <v>1162</v>
      </c>
      <c r="B651" s="2" t="s">
        <v>1407</v>
      </c>
      <c r="C651" s="2" t="str">
        <f ca="1">IFERROR(__xludf.DUMMYFUNCTION("googletranslate(C651,""en"",""ne"")"),"धनगढी माई नगरपालिका")</f>
        <v>धनगढी माई नगरपालिका</v>
      </c>
      <c r="D651" s="3" t="str">
        <f ca="1">IFERROR(__xludf.DUMMYFUNCTION("googletranslate(D651,""en"",""ne"")"),"मेयर")</f>
        <v>मेयर</v>
      </c>
      <c r="E651" s="2" t="s">
        <v>18</v>
      </c>
      <c r="F651" s="2" t="s">
        <v>1420</v>
      </c>
      <c r="G651" s="2" t="s">
        <v>8</v>
      </c>
      <c r="H651" s="2" t="s">
        <v>98</v>
      </c>
      <c r="I651" s="2" t="s">
        <v>1421</v>
      </c>
    </row>
    <row r="652" spans="1:9" ht="15.75" customHeight="1">
      <c r="A652" s="2" t="s">
        <v>1162</v>
      </c>
      <c r="B652" s="2" t="s">
        <v>1407</v>
      </c>
      <c r="C652" s="2" t="str">
        <f ca="1">IFERROR(__xludf.DUMMYFUNCTION("googletranslate(C652,""en"",""ne"")"),"नरहापालिका गाउँपालिका")</f>
        <v>नरहापालिका गाउँपालिका</v>
      </c>
      <c r="D652" s="3" t="str">
        <f ca="1">IFERROR(__xludf.DUMMYFUNCTION("googletranslate(D652,""en"",""ne"")"),"अध्यक्ष")</f>
        <v>अध्यक्ष</v>
      </c>
      <c r="E652" s="2" t="s">
        <v>18</v>
      </c>
      <c r="F652" s="2" t="s">
        <v>1422</v>
      </c>
      <c r="G652" s="2" t="s">
        <v>8</v>
      </c>
      <c r="H652" s="2" t="s">
        <v>200</v>
      </c>
      <c r="I652" s="2" t="s">
        <v>1423</v>
      </c>
    </row>
    <row r="653" spans="1:9" ht="15.75" customHeight="1">
      <c r="A653" s="2" t="s">
        <v>1162</v>
      </c>
      <c r="B653" s="2" t="s">
        <v>1407</v>
      </c>
      <c r="C653" s="2" t="str">
        <f ca="1">IFERROR(__xludf.DUMMYFUNCTION("googletranslate(C653,""en"",""ne"")"),"नवराजपुर गाउँपालिका")</f>
        <v>नवराजपुर गाउँपालिका</v>
      </c>
      <c r="D653" s="3" t="str">
        <f ca="1">IFERROR(__xludf.DUMMYFUNCTION("googletranslate(D653,""en"",""ne"")"),"अध्यक्ष")</f>
        <v>अध्यक्ष</v>
      </c>
      <c r="E653" s="2" t="s">
        <v>789</v>
      </c>
      <c r="F653" s="2" t="s">
        <v>1424</v>
      </c>
      <c r="G653" s="2" t="s">
        <v>8</v>
      </c>
      <c r="H653" s="2" t="s">
        <v>151</v>
      </c>
      <c r="I653" s="2" t="s">
        <v>1425</v>
      </c>
    </row>
    <row r="654" spans="1:9" ht="15.75" customHeight="1">
      <c r="A654" s="2" t="s">
        <v>1162</v>
      </c>
      <c r="B654" s="2" t="s">
        <v>1407</v>
      </c>
      <c r="C654" s="2" t="str">
        <f ca="1">IFERROR(__xludf.DUMMYFUNCTION("googletranslate(C654,""en"",""ne"")"),"बरियारपट्टी गाउँपालिका")</f>
        <v>बरियारपट्टी गाउँपालिका</v>
      </c>
      <c r="D654" s="3" t="str">
        <f ca="1">IFERROR(__xludf.DUMMYFUNCTION("googletranslate(D654,""en"",""ne"")"),"अध्यक्ष")</f>
        <v>अध्यक्ष</v>
      </c>
      <c r="E654" s="2" t="s">
        <v>789</v>
      </c>
      <c r="F654" s="2" t="s">
        <v>1426</v>
      </c>
      <c r="G654" s="2" t="s">
        <v>8</v>
      </c>
      <c r="H654" s="2" t="s">
        <v>33</v>
      </c>
      <c r="I654" s="2" t="s">
        <v>1427</v>
      </c>
    </row>
    <row r="655" spans="1:9" ht="15.75" customHeight="1">
      <c r="A655" s="2" t="s">
        <v>1162</v>
      </c>
      <c r="B655" s="2" t="s">
        <v>1407</v>
      </c>
      <c r="C655" s="2" t="str">
        <f ca="1">IFERROR(__xludf.DUMMYFUNCTION("googletranslate(C655,""en"",""ne"")"),"भगवानपुर गाउँपालिका")</f>
        <v>भगवानपुर गाउँपालिका</v>
      </c>
      <c r="D655" s="3" t="str">
        <f ca="1">IFERROR(__xludf.DUMMYFUNCTION("googletranslate(D655,""en"",""ne"")"),"अध्यक्ष")</f>
        <v>अध्यक्ष</v>
      </c>
      <c r="E655" s="2" t="s">
        <v>18</v>
      </c>
      <c r="F655" s="2" t="s">
        <v>1428</v>
      </c>
      <c r="G655" s="2" t="s">
        <v>8</v>
      </c>
      <c r="H655" s="2" t="s">
        <v>26</v>
      </c>
      <c r="I655" s="2" t="s">
        <v>1429</v>
      </c>
    </row>
    <row r="656" spans="1:9" ht="15.75" customHeight="1">
      <c r="A656" s="2" t="s">
        <v>1162</v>
      </c>
      <c r="B656" s="2" t="s">
        <v>1407</v>
      </c>
      <c r="C656" s="2" t="str">
        <f ca="1">IFERROR(__xludf.DUMMYFUNCTION("googletranslate(C656,""en"",""ne"")"),"मिर्चैया नगरपालिका")</f>
        <v>मिर्चैया नगरपालिका</v>
      </c>
      <c r="D656" s="3" t="str">
        <f ca="1">IFERROR(__xludf.DUMMYFUNCTION("googletranslate(D656,""en"",""ne"")"),"मेयर")</f>
        <v>मेयर</v>
      </c>
      <c r="E656" s="2" t="s">
        <v>30</v>
      </c>
      <c r="F656" s="2" t="s">
        <v>1430</v>
      </c>
      <c r="G656" s="2" t="s">
        <v>8</v>
      </c>
      <c r="H656" s="2" t="s">
        <v>322</v>
      </c>
      <c r="I656" s="2" t="s">
        <v>1431</v>
      </c>
    </row>
    <row r="657" spans="1:11" ht="15.75" customHeight="1">
      <c r="A657" s="2" t="s">
        <v>1162</v>
      </c>
      <c r="B657" s="2" t="s">
        <v>1407</v>
      </c>
      <c r="C657" s="2" t="str">
        <f ca="1">IFERROR(__xludf.DUMMYFUNCTION("googletranslate(C657,""en"",""ne"")"),"लक्ष्मीपुर पतारी गाउँपालिका")</f>
        <v>लक्ष्मीपुर पतारी गाउँपालिका</v>
      </c>
      <c r="D657" s="3" t="str">
        <f ca="1">IFERROR(__xludf.DUMMYFUNCTION("googletranslate(D657,""en"",""ne"")"),"अध्यक्ष")</f>
        <v>अध्यक्ष</v>
      </c>
      <c r="E657" s="2" t="s">
        <v>11</v>
      </c>
      <c r="F657" s="2" t="s">
        <v>1432</v>
      </c>
      <c r="G657" s="2" t="s">
        <v>8</v>
      </c>
      <c r="H657" s="2" t="s">
        <v>758</v>
      </c>
      <c r="I657" s="2" t="s">
        <v>1433</v>
      </c>
    </row>
    <row r="658" spans="1:11" ht="15.75" customHeight="1">
      <c r="A658" s="2" t="s">
        <v>1162</v>
      </c>
      <c r="B658" s="2" t="s">
        <v>1407</v>
      </c>
      <c r="C658" s="2" t="str">
        <f ca="1">IFERROR(__xludf.DUMMYFUNCTION("googletranslate(C658,""en"",""ne"")"),"सानो नगरपालिका")</f>
        <v>सानो नगरपालिका</v>
      </c>
      <c r="D658" s="3" t="str">
        <f ca="1">IFERROR(__xludf.DUMMYFUNCTION("googletranslate(D658,""en"",""ne"")"),"मेयर")</f>
        <v>मेयर</v>
      </c>
      <c r="E658" s="2" t="s">
        <v>11</v>
      </c>
      <c r="F658" s="2" t="s">
        <v>1434</v>
      </c>
      <c r="G658" s="2" t="s">
        <v>8</v>
      </c>
      <c r="H658" s="2" t="s">
        <v>26</v>
      </c>
      <c r="I658" s="2" t="s">
        <v>1435</v>
      </c>
    </row>
    <row r="659" spans="1:11" ht="15.75" customHeight="1">
      <c r="A659" s="2" t="s">
        <v>1162</v>
      </c>
      <c r="B659" s="2" t="s">
        <v>1407</v>
      </c>
      <c r="C659" s="2" t="str">
        <f ca="1">IFERROR(__xludf.DUMMYFUNCTION("googletranslate(C659,""en"",""ne"")"),"विष्णुपुर गाउँपालिका")</f>
        <v>विष्णुपुर गाउँपालिका</v>
      </c>
      <c r="D659" s="3" t="str">
        <f ca="1">IFERROR(__xludf.DUMMYFUNCTION("googletranslate(D659,""en"",""ne"")"),"अध्यक्ष")</f>
        <v>अध्यक्ष</v>
      </c>
      <c r="E659" s="2" t="s">
        <v>18</v>
      </c>
      <c r="F659" s="2" t="s">
        <v>1436</v>
      </c>
      <c r="G659" s="2" t="s">
        <v>8</v>
      </c>
      <c r="H659" s="2" t="s">
        <v>1061</v>
      </c>
      <c r="I659" s="2" t="s">
        <v>1437</v>
      </c>
    </row>
    <row r="660" spans="1:11" ht="15.75" customHeight="1">
      <c r="A660" s="2" t="s">
        <v>1162</v>
      </c>
      <c r="B660" s="2" t="s">
        <v>1407</v>
      </c>
      <c r="C660" s="2" t="str">
        <f ca="1">IFERROR(__xludf.DUMMYFUNCTION("googletranslate(C660,""en"",""ne"")"),"सखुवानान्कारकट्टी गाउँपालिका")</f>
        <v>सखुवानान्कारकट्टी गाउँपालिका</v>
      </c>
      <c r="D660" s="3" t="str">
        <f ca="1">IFERROR(__xludf.DUMMYFUNCTION("googletranslate(D660,""en"",""ne"")"),"अध्यक्ष")</f>
        <v>अध्यक्ष</v>
      </c>
      <c r="E660" s="2" t="s">
        <v>39</v>
      </c>
      <c r="F660" s="2" t="s">
        <v>1438</v>
      </c>
      <c r="G660" s="2" t="s">
        <v>8</v>
      </c>
      <c r="H660" s="2" t="s">
        <v>151</v>
      </c>
      <c r="I660" s="2" t="s">
        <v>1439</v>
      </c>
    </row>
    <row r="661" spans="1:11" ht="15.75" customHeight="1">
      <c r="A661" s="2" t="s">
        <v>1162</v>
      </c>
      <c r="B661" s="2" t="s">
        <v>1407</v>
      </c>
      <c r="C661" s="2" t="str">
        <f ca="1">IFERROR(__xludf.DUMMYFUNCTION("googletranslate(C661,""en"",""ne"")"),"सुखीपुर नगरपालिका")</f>
        <v>सुखीपुर नगरपालिका</v>
      </c>
      <c r="D661" s="3" t="str">
        <f ca="1">IFERROR(__xludf.DUMMYFUNCTION("googletranslate(D661,""en"",""ne"")"),"मेयर")</f>
        <v>मेयर</v>
      </c>
      <c r="E661" s="2" t="s">
        <v>18</v>
      </c>
      <c r="F661" s="2" t="s">
        <v>1440</v>
      </c>
      <c r="G661" s="2" t="s">
        <v>8</v>
      </c>
      <c r="H661" s="2" t="s">
        <v>114</v>
      </c>
      <c r="I661" s="2" t="s">
        <v>1441</v>
      </c>
    </row>
    <row r="662" spans="1:11" ht="15.75" customHeight="1">
      <c r="A662" s="2" t="s">
        <v>1442</v>
      </c>
      <c r="B662" s="2" t="s">
        <v>1443</v>
      </c>
      <c r="C662" s="2" t="str">
        <f ca="1">IFERROR(__xludf.DUMMYFUNCTION("googletranslate(C662,""en"",""ne"")"),"चौरपाटी गाउँपालिका")</f>
        <v>चौरपाटी गाउँपालिका</v>
      </c>
      <c r="D662" s="3" t="str">
        <f ca="1">IFERROR(__xludf.DUMMYFUNCTION("googletranslate(D662,""en"",""ne"")"),"अध्यक्ष")</f>
        <v>अध्यक्ष</v>
      </c>
      <c r="E662" s="2" t="s">
        <v>11</v>
      </c>
      <c r="F662" s="2" t="s">
        <v>1444</v>
      </c>
      <c r="G662" s="2" t="s">
        <v>8</v>
      </c>
      <c r="H662" s="2" t="s">
        <v>159</v>
      </c>
      <c r="I662" s="2" t="s">
        <v>1445</v>
      </c>
      <c r="J662" s="2" t="s">
        <v>1446</v>
      </c>
      <c r="K662" s="2" t="s">
        <v>1447</v>
      </c>
    </row>
    <row r="663" spans="1:11" ht="15.75" customHeight="1">
      <c r="A663" s="2" t="s">
        <v>1442</v>
      </c>
      <c r="B663" s="2" t="s">
        <v>1443</v>
      </c>
      <c r="C663" s="2" t="str">
        <f ca="1">IFERROR(__xludf.DUMMYFUNCTION("googletranslate(C663,""en"",""ne"")"),"ढकारी गाउँपालिका")</f>
        <v>ढकारी गाउँपालिका</v>
      </c>
      <c r="D663" s="3" t="str">
        <f ca="1">IFERROR(__xludf.DUMMYFUNCTION("googletranslate(D663,""en"",""ne"")"),"अध्यक्ष")</f>
        <v>अध्यक्ष</v>
      </c>
      <c r="E663" s="2" t="s">
        <v>11</v>
      </c>
      <c r="F663" s="2" t="s">
        <v>1448</v>
      </c>
      <c r="G663" s="2" t="s">
        <v>8</v>
      </c>
      <c r="H663" s="2" t="s">
        <v>16</v>
      </c>
      <c r="I663" s="2" t="s">
        <v>747</v>
      </c>
      <c r="J663" s="2" t="s">
        <v>1449</v>
      </c>
      <c r="K663" s="2" t="s">
        <v>1450</v>
      </c>
    </row>
    <row r="664" spans="1:11" ht="15.75" customHeight="1">
      <c r="A664" s="2" t="s">
        <v>1442</v>
      </c>
      <c r="B664" s="2" t="s">
        <v>1443</v>
      </c>
      <c r="C664" s="2" t="str">
        <f ca="1">IFERROR(__xludf.DUMMYFUNCTION("googletranslate(C664,""en"",""ne"")"),"कमलबजार नगरपालिका")</f>
        <v>कमलबजार नगरपालिका</v>
      </c>
      <c r="D664" s="3" t="str">
        <f ca="1">IFERROR(__xludf.DUMMYFUNCTION("googletranslate(D664,""en"",""ne"")"),"मेयर")</f>
        <v>मेयर</v>
      </c>
      <c r="E664" s="2" t="s">
        <v>11</v>
      </c>
      <c r="F664" s="2" t="s">
        <v>640</v>
      </c>
      <c r="G664" s="2" t="s">
        <v>8</v>
      </c>
      <c r="H664" s="2" t="s">
        <v>26</v>
      </c>
      <c r="I664" s="2" t="s">
        <v>1315</v>
      </c>
      <c r="K664" s="2" t="s">
        <v>1451</v>
      </c>
    </row>
    <row r="665" spans="1:11" ht="15.75" customHeight="1">
      <c r="A665" s="2" t="s">
        <v>1442</v>
      </c>
      <c r="B665" s="2" t="s">
        <v>1443</v>
      </c>
      <c r="C665" s="2" t="str">
        <f ca="1">IFERROR(__xludf.DUMMYFUNCTION("googletranslate(C665,""en"",""ne"")"),"तुर्माखाँद गाउँपालिका")</f>
        <v>तुर्माखाँद गाउँपालिका</v>
      </c>
      <c r="D665" s="3" t="str">
        <f ca="1">IFERROR(__xludf.DUMMYFUNCTION("googletranslate(D665,""en"",""ne"")"),"अध्यक्ष")</f>
        <v>अध्यक्ष</v>
      </c>
      <c r="E665" s="2" t="s">
        <v>18</v>
      </c>
      <c r="F665" s="2" t="s">
        <v>1452</v>
      </c>
      <c r="G665" s="2" t="s">
        <v>8</v>
      </c>
      <c r="H665" s="2" t="s">
        <v>242</v>
      </c>
      <c r="I665" s="2" t="s">
        <v>1453</v>
      </c>
      <c r="J665" s="2" t="s">
        <v>1454</v>
      </c>
      <c r="K665" s="2" t="s">
        <v>1455</v>
      </c>
    </row>
    <row r="666" spans="1:11" ht="15.75" customHeight="1">
      <c r="A666" s="2" t="s">
        <v>1442</v>
      </c>
      <c r="B666" s="2" t="s">
        <v>1443</v>
      </c>
      <c r="C666" s="2" t="str">
        <f ca="1">IFERROR(__xludf.DUMMYFUNCTION("googletranslate(C666,""en"",""ne"")"),"पञ्चदेवल विनायक नगरपालिका")</f>
        <v>पञ्चदेवल विनायक नगरपालिका</v>
      </c>
      <c r="D666" s="3" t="str">
        <f ca="1">IFERROR(__xludf.DUMMYFUNCTION("googletranslate(D666,""en"",""ne"")"),"मेयर")</f>
        <v>मेयर</v>
      </c>
      <c r="E666" s="2" t="s">
        <v>11</v>
      </c>
      <c r="F666" s="2" t="s">
        <v>1456</v>
      </c>
      <c r="G666" s="2" t="s">
        <v>32</v>
      </c>
      <c r="H666" s="2" t="s">
        <v>83</v>
      </c>
      <c r="I666" s="2" t="s">
        <v>1457</v>
      </c>
      <c r="J666" s="2" t="s">
        <v>1458</v>
      </c>
      <c r="K666" s="2" t="s">
        <v>1459</v>
      </c>
    </row>
    <row r="667" spans="1:11" ht="15.75" customHeight="1">
      <c r="A667" s="2" t="s">
        <v>1442</v>
      </c>
      <c r="B667" s="2" t="s">
        <v>1443</v>
      </c>
      <c r="C667" s="2" t="str">
        <f ca="1">IFERROR(__xludf.DUMMYFUNCTION("googletranslate(C667,""en"",""ne"")"),"बान्नीगढी जयगढपालिका गाउँपालिका")</f>
        <v>बान्नीगढी जयगढपालिका गाउँपालिका</v>
      </c>
      <c r="D667" s="3" t="str">
        <f ca="1">IFERROR(__xludf.DUMMYFUNCTION("googletranslate(D667,""en"",""ne"")"),"अध्यक्ष")</f>
        <v>अध्यक्ष</v>
      </c>
      <c r="E667" s="2" t="s">
        <v>11</v>
      </c>
      <c r="F667" s="2" t="s">
        <v>1460</v>
      </c>
      <c r="G667" s="2" t="s">
        <v>8</v>
      </c>
      <c r="H667" s="2" t="s">
        <v>23</v>
      </c>
      <c r="I667" s="2" t="s">
        <v>1461</v>
      </c>
    </row>
    <row r="668" spans="1:11" ht="15.75" customHeight="1">
      <c r="A668" s="2" t="s">
        <v>1442</v>
      </c>
      <c r="B668" s="2" t="s">
        <v>1443</v>
      </c>
      <c r="C668" s="2" t="str">
        <f ca="1">IFERROR(__xludf.DUMMYFUNCTION("googletranslate(C668,""en"",""ne"")"),"मंगलसेन नगरपालिका")</f>
        <v>मंगलसेन नगरपालिका</v>
      </c>
      <c r="D668" s="3" t="str">
        <f ca="1">IFERROR(__xludf.DUMMYFUNCTION("googletranslate(D668,""en"",""ne"")"),"मेयर")</f>
        <v>मेयर</v>
      </c>
      <c r="E668" s="2" t="s">
        <v>18</v>
      </c>
      <c r="F668" s="2" t="s">
        <v>1462</v>
      </c>
      <c r="G668" s="2" t="s">
        <v>8</v>
      </c>
      <c r="H668" s="2" t="s">
        <v>306</v>
      </c>
      <c r="I668" s="2" t="s">
        <v>1463</v>
      </c>
      <c r="J668" s="2" t="s">
        <v>1464</v>
      </c>
      <c r="K668" s="2" t="s">
        <v>1465</v>
      </c>
    </row>
    <row r="669" spans="1:11" ht="15.75" customHeight="1">
      <c r="A669" s="2" t="s">
        <v>1442</v>
      </c>
      <c r="B669" s="2" t="s">
        <v>1443</v>
      </c>
      <c r="C669" s="2" t="str">
        <f ca="1">IFERROR(__xludf.DUMMYFUNCTION("googletranslate(C669,""en"",""ne"")"),"मेलेक गाउँपालिका")</f>
        <v>मेलेक गाउँपालिका</v>
      </c>
      <c r="D669" s="3" t="str">
        <f ca="1">IFERROR(__xludf.DUMMYFUNCTION("googletranslate(D669,""en"",""ne"")"),"अध्यक्ष")</f>
        <v>अध्यक्ष</v>
      </c>
      <c r="E669" s="2" t="s">
        <v>30</v>
      </c>
      <c r="F669" s="2" t="s">
        <v>1466</v>
      </c>
      <c r="G669" s="2" t="s">
        <v>8</v>
      </c>
      <c r="H669" s="2" t="s">
        <v>200</v>
      </c>
      <c r="I669" s="2" t="s">
        <v>1280</v>
      </c>
    </row>
    <row r="670" spans="1:11" ht="15.75" customHeight="1">
      <c r="A670" s="2" t="s">
        <v>1442</v>
      </c>
      <c r="B670" s="2" t="s">
        <v>1443</v>
      </c>
      <c r="C670" s="2" t="str">
        <f ca="1">IFERROR(__xludf.DUMMYFUNCTION("googletranslate(C670,""en"",""ne"")"),"रामारोशन गाउँपालिका")</f>
        <v>रामारोशन गाउँपालिका</v>
      </c>
      <c r="D670" s="3" t="str">
        <f ca="1">IFERROR(__xludf.DUMMYFUNCTION("googletranslate(D670,""en"",""ne"")"),"अध्यक्ष")</f>
        <v>अध्यक्ष</v>
      </c>
      <c r="E670" s="2" t="s">
        <v>11</v>
      </c>
      <c r="F670" s="2" t="s">
        <v>1467</v>
      </c>
      <c r="G670" s="2" t="s">
        <v>8</v>
      </c>
      <c r="H670" s="2" t="s">
        <v>9</v>
      </c>
      <c r="I670" s="2" t="s">
        <v>1468</v>
      </c>
    </row>
    <row r="671" spans="1:11" ht="15.75" customHeight="1">
      <c r="A671" s="2" t="s">
        <v>1442</v>
      </c>
      <c r="B671" s="2" t="s">
        <v>1443</v>
      </c>
      <c r="C671" s="2" t="str">
        <f ca="1">IFERROR(__xludf.DUMMYFUNCTION("googletranslate(C671,""en"",""ne"")"),"साफेबगर नगरपालिका")</f>
        <v>साफेबगर नगरपालिका</v>
      </c>
      <c r="D671" s="3" t="str">
        <f ca="1">IFERROR(__xludf.DUMMYFUNCTION("googletranslate(D671,""en"",""ne"")"),"मेयर")</f>
        <v>मेयर</v>
      </c>
      <c r="E671" s="2" t="s">
        <v>11</v>
      </c>
      <c r="F671" s="2" t="s">
        <v>1469</v>
      </c>
      <c r="G671" s="2" t="s">
        <v>8</v>
      </c>
      <c r="H671" s="2" t="s">
        <v>55</v>
      </c>
      <c r="I671" s="2" t="s">
        <v>1470</v>
      </c>
      <c r="J671" s="2" t="s">
        <v>1471</v>
      </c>
      <c r="K671" s="2" t="s">
        <v>1472</v>
      </c>
    </row>
    <row r="672" spans="1:11" ht="15.75" customHeight="1">
      <c r="A672" s="2" t="s">
        <v>1442</v>
      </c>
      <c r="B672" s="2" t="s">
        <v>1473</v>
      </c>
      <c r="C672" s="2" t="str">
        <f ca="1">IFERROR(__xludf.DUMMYFUNCTION("googletranslate(C672,""en"",""ne"")"),"डिलासैनी गाउँपालिका")</f>
        <v>डिलासैनी गाउँपालिका</v>
      </c>
      <c r="D672" s="3" t="str">
        <f ca="1">IFERROR(__xludf.DUMMYFUNCTION("googletranslate(D672,""en"",""ne"")"),"अध्यक्ष")</f>
        <v>अध्यक्ष</v>
      </c>
      <c r="E672" s="2" t="s">
        <v>105</v>
      </c>
      <c r="F672" s="2" t="s">
        <v>1474</v>
      </c>
      <c r="G672" s="2" t="s">
        <v>8</v>
      </c>
      <c r="H672" s="2" t="s">
        <v>41</v>
      </c>
      <c r="I672" s="2" t="s">
        <v>1475</v>
      </c>
    </row>
    <row r="673" spans="1:9" ht="15.75" customHeight="1">
      <c r="A673" s="2" t="s">
        <v>1442</v>
      </c>
      <c r="B673" s="2" t="s">
        <v>1473</v>
      </c>
      <c r="C673" s="2" t="str">
        <f ca="1">IFERROR(__xludf.DUMMYFUNCTION("googletranslate(C673,""en"",""ne"")"),"दशरथचन्द नगरपालिका")</f>
        <v>दशरथचन्द नगरपालिका</v>
      </c>
      <c r="D673" s="3" t="str">
        <f ca="1">IFERROR(__xludf.DUMMYFUNCTION("googletranslate(D673,""en"",""ne"")"),"मेयर")</f>
        <v>मेयर</v>
      </c>
      <c r="E673" s="2" t="s">
        <v>18</v>
      </c>
      <c r="F673" s="2" t="s">
        <v>1476</v>
      </c>
      <c r="G673" s="2" t="s">
        <v>8</v>
      </c>
      <c r="H673" s="2" t="s">
        <v>58</v>
      </c>
      <c r="I673" s="2" t="s">
        <v>1477</v>
      </c>
    </row>
    <row r="674" spans="1:9" ht="15.75" customHeight="1">
      <c r="A674" s="2" t="s">
        <v>1442</v>
      </c>
      <c r="B674" s="2" t="s">
        <v>1473</v>
      </c>
      <c r="C674" s="2" t="str">
        <f ca="1">IFERROR(__xludf.DUMMYFUNCTION("googletranslate(C674,""en"",""ne"")"),"दोगडाकेदार गाउँपालिका")</f>
        <v>दोगडाकेदार गाउँपालिका</v>
      </c>
      <c r="D674" s="3" t="str">
        <f ca="1">IFERROR(__xludf.DUMMYFUNCTION("googletranslate(D674,""en"",""ne"")"),"अध्यक्ष")</f>
        <v>अध्यक्ष</v>
      </c>
      <c r="E674" s="2" t="s">
        <v>18</v>
      </c>
      <c r="F674" s="2" t="s">
        <v>1478</v>
      </c>
      <c r="G674" s="2" t="s">
        <v>8</v>
      </c>
      <c r="H674" s="2" t="s">
        <v>70</v>
      </c>
      <c r="I674" s="2" t="s">
        <v>1479</v>
      </c>
    </row>
    <row r="675" spans="1:9" ht="15.75" customHeight="1">
      <c r="A675" s="2" t="s">
        <v>1442</v>
      </c>
      <c r="B675" s="2" t="s">
        <v>1473</v>
      </c>
      <c r="C675" s="2" t="str">
        <f ca="1">IFERROR(__xludf.DUMMYFUNCTION("googletranslate(C675,""en"",""ne"")"),"पञ्चेश्वर गाउँपालिका")</f>
        <v>पञ्चेश्वर गाउँपालिका</v>
      </c>
      <c r="D675" s="3" t="str">
        <f ca="1">IFERROR(__xludf.DUMMYFUNCTION("googletranslate(D675,""en"",""ne"")"),"अध्यक्ष")</f>
        <v>अध्यक्ष</v>
      </c>
      <c r="E675" s="2" t="s">
        <v>18</v>
      </c>
      <c r="F675" s="2" t="s">
        <v>1480</v>
      </c>
      <c r="G675" s="2" t="s">
        <v>8</v>
      </c>
      <c r="H675" s="2" t="s">
        <v>45</v>
      </c>
      <c r="I675" s="2" t="s">
        <v>1481</v>
      </c>
    </row>
    <row r="676" spans="1:9" ht="15.75" customHeight="1">
      <c r="A676" s="2" t="s">
        <v>1442</v>
      </c>
      <c r="B676" s="2" t="s">
        <v>1473</v>
      </c>
      <c r="C676" s="2" t="str">
        <f ca="1">IFERROR(__xludf.DUMMYFUNCTION("googletranslate(C676,""en"",""ne"")"),"पाटन नगरपालिका")</f>
        <v>पाटन नगरपालिका</v>
      </c>
      <c r="D676" s="3" t="str">
        <f ca="1">IFERROR(__xludf.DUMMYFUNCTION("googletranslate(D676,""en"",""ne"")"),"मेयर")</f>
        <v>मेयर</v>
      </c>
      <c r="E676" s="2" t="s">
        <v>11</v>
      </c>
      <c r="F676" s="2" t="s">
        <v>1482</v>
      </c>
      <c r="G676" s="2" t="s">
        <v>8</v>
      </c>
      <c r="H676" s="2" t="s">
        <v>9</v>
      </c>
      <c r="I676" s="2" t="s">
        <v>1483</v>
      </c>
    </row>
    <row r="677" spans="1:9" ht="15.75" customHeight="1">
      <c r="A677" s="2" t="s">
        <v>1442</v>
      </c>
      <c r="B677" s="2" t="s">
        <v>1473</v>
      </c>
      <c r="C677" s="2" t="str">
        <f ca="1">IFERROR(__xludf.DUMMYFUNCTION("googletranslate(C677,""en"",""ne"")"),"पुर्चौडी नगरपालिका")</f>
        <v>पुर्चौडी नगरपालिका</v>
      </c>
      <c r="D677" s="3" t="str">
        <f ca="1">IFERROR(__xludf.DUMMYFUNCTION("googletranslate(D677,""en"",""ne"")"),"मेयर")</f>
        <v>मेयर</v>
      </c>
      <c r="E677" s="2" t="s">
        <v>11</v>
      </c>
      <c r="F677" s="2" t="s">
        <v>1484</v>
      </c>
      <c r="G677" s="2" t="s">
        <v>8</v>
      </c>
      <c r="H677" s="2" t="s">
        <v>26</v>
      </c>
      <c r="I677" s="2" t="s">
        <v>1485</v>
      </c>
    </row>
    <row r="678" spans="1:9" ht="15.75" customHeight="1">
      <c r="A678" s="2" t="s">
        <v>1442</v>
      </c>
      <c r="B678" s="2" t="s">
        <v>1473</v>
      </c>
      <c r="C678" s="2" t="str">
        <f ca="1">IFERROR(__xludf.DUMMYFUNCTION("googletranslate(C678,""en"",""ne"")"),"मेलौली नगरपालिका")</f>
        <v>मेलौली नगरपालिका</v>
      </c>
      <c r="D678" s="3" t="str">
        <f ca="1">IFERROR(__xludf.DUMMYFUNCTION("googletranslate(D678,""en"",""ne"")"),"मेयर")</f>
        <v>मेयर</v>
      </c>
      <c r="E678" s="2" t="s">
        <v>30</v>
      </c>
      <c r="F678" s="2" t="s">
        <v>1486</v>
      </c>
      <c r="G678" s="2" t="s">
        <v>8</v>
      </c>
      <c r="H678" s="2" t="s">
        <v>33</v>
      </c>
      <c r="I678" s="2" t="s">
        <v>1487</v>
      </c>
    </row>
    <row r="679" spans="1:9" ht="15.75" customHeight="1">
      <c r="A679" s="2" t="s">
        <v>1442</v>
      </c>
      <c r="B679" s="2" t="s">
        <v>1473</v>
      </c>
      <c r="C679" s="2" t="str">
        <f ca="1">IFERROR(__xludf.DUMMYFUNCTION("googletranslate(C679,""en"",""ne"")"),"शिवनाथपाल गाउँपालिका")</f>
        <v>शिवनाथपाल गाउँपालिका</v>
      </c>
      <c r="D679" s="3" t="str">
        <f ca="1">IFERROR(__xludf.DUMMYFUNCTION("googletranslate(D679,""en"",""ne"")"),"अध्यक्ष")</f>
        <v>अध्यक्ष</v>
      </c>
      <c r="E679" s="2" t="s">
        <v>11</v>
      </c>
      <c r="F679" s="2" t="s">
        <v>1488</v>
      </c>
      <c r="G679" s="2" t="s">
        <v>8</v>
      </c>
      <c r="H679" s="2" t="s">
        <v>33</v>
      </c>
      <c r="I679" s="2" t="s">
        <v>1489</v>
      </c>
    </row>
    <row r="680" spans="1:9" ht="15.75" customHeight="1">
      <c r="A680" s="2" t="s">
        <v>1442</v>
      </c>
      <c r="B680" s="2" t="s">
        <v>1473</v>
      </c>
      <c r="C680" s="2" t="str">
        <f ca="1">IFERROR(__xludf.DUMMYFUNCTION("googletranslate(C680,""en"",""ne"")"),"सिगास गाउँपालिका")</f>
        <v>सिगास गाउँपालिका</v>
      </c>
      <c r="D680" s="3" t="str">
        <f ca="1">IFERROR(__xludf.DUMMYFUNCTION("googletranslate(D680,""en"",""ne"")"),"अध्यक्ष")</f>
        <v>अध्यक्ष</v>
      </c>
      <c r="E680" s="2" t="s">
        <v>11</v>
      </c>
      <c r="F680" s="2" t="s">
        <v>1490</v>
      </c>
      <c r="G680" s="2" t="s">
        <v>8</v>
      </c>
      <c r="H680" s="2" t="s">
        <v>91</v>
      </c>
      <c r="I680" s="2" t="s">
        <v>1491</v>
      </c>
    </row>
    <row r="681" spans="1:9" ht="15.75" customHeight="1">
      <c r="A681" s="2" t="s">
        <v>1442</v>
      </c>
      <c r="B681" s="2" t="s">
        <v>1473</v>
      </c>
      <c r="C681" s="2" t="str">
        <f ca="1">IFERROR(__xludf.DUMMYFUNCTION("googletranslate(C681,""en"",""ne"")"),"सुर्या गाउँपालिका")</f>
        <v>सुर्या गाउँपालिका</v>
      </c>
      <c r="D681" s="3" t="str">
        <f ca="1">IFERROR(__xludf.DUMMYFUNCTION("googletranslate(D681,""en"",""ne"")"),"अध्यक्ष")</f>
        <v>अध्यक्ष</v>
      </c>
      <c r="E681" s="2" t="s">
        <v>18</v>
      </c>
      <c r="F681" s="2" t="s">
        <v>1492</v>
      </c>
      <c r="G681" s="2" t="s">
        <v>8</v>
      </c>
      <c r="H681" s="2" t="s">
        <v>33</v>
      </c>
      <c r="I681" s="2" t="s">
        <v>1493</v>
      </c>
    </row>
    <row r="682" spans="1:9" ht="15.75" customHeight="1">
      <c r="A682" s="2" t="s">
        <v>1442</v>
      </c>
      <c r="B682" s="2" t="s">
        <v>1494</v>
      </c>
      <c r="C682" s="2" t="str">
        <f ca="1">IFERROR(__xludf.DUMMYFUNCTION("googletranslate(C682,""en"",""ne"")"),"केदारस्युँ गाउँपालिका")</f>
        <v>केदारस्युँ गाउँपालिका</v>
      </c>
      <c r="D682" s="3" t="str">
        <f ca="1">IFERROR(__xludf.DUMMYFUNCTION("googletranslate(D682,""en"",""ne"")"),"अध्यक्ष")</f>
        <v>अध्यक्ष</v>
      </c>
      <c r="E682" s="2" t="s">
        <v>39</v>
      </c>
      <c r="F682" s="2" t="s">
        <v>1495</v>
      </c>
      <c r="G682" s="2" t="s">
        <v>8</v>
      </c>
      <c r="H682" s="2" t="s">
        <v>151</v>
      </c>
      <c r="I682" s="2" t="s">
        <v>1496</v>
      </c>
    </row>
    <row r="683" spans="1:9" ht="15.75" customHeight="1">
      <c r="A683" s="2" t="s">
        <v>1442</v>
      </c>
      <c r="B683" s="2" t="s">
        <v>1494</v>
      </c>
      <c r="C683" s="2" t="str">
        <f ca="1">IFERROR(__xludf.DUMMYFUNCTION("googletranslate(C683,""en"",""ne"")"),"खप्तडछान्ना गाउँपालिका")</f>
        <v>खप्तडछान्ना गाउँपालिका</v>
      </c>
      <c r="D683" s="3" t="str">
        <f ca="1">IFERROR(__xludf.DUMMYFUNCTION("googletranslate(D683,""en"",""ne"")"),"अध्यक्ष")</f>
        <v>अध्यक्ष</v>
      </c>
      <c r="E683" s="2" t="s">
        <v>11</v>
      </c>
      <c r="F683" s="2" t="s">
        <v>1497</v>
      </c>
      <c r="G683" s="2" t="s">
        <v>8</v>
      </c>
      <c r="H683" s="2" t="s">
        <v>190</v>
      </c>
      <c r="I683" s="2" t="s">
        <v>1498</v>
      </c>
    </row>
    <row r="684" spans="1:9" ht="15.75" customHeight="1">
      <c r="A684" s="2" t="s">
        <v>1442</v>
      </c>
      <c r="B684" s="2" t="s">
        <v>1494</v>
      </c>
      <c r="C684" s="2" t="str">
        <f ca="1">IFERROR(__xludf.DUMMYFUNCTION("googletranslate(C684,""en"",""ne"")"),"छबिसपाठीभेरापालिका")</f>
        <v>छबिसपाठीभेरापालिका</v>
      </c>
      <c r="D684" s="3" t="str">
        <f ca="1">IFERROR(__xludf.DUMMYFUNCTION("googletranslate(D684,""en"",""ne"")"),"अध्यक्ष")</f>
        <v>अध्यक्ष</v>
      </c>
      <c r="E684" s="2" t="s">
        <v>30</v>
      </c>
      <c r="F684" s="2" t="s">
        <v>1499</v>
      </c>
      <c r="G684" s="2" t="s">
        <v>8</v>
      </c>
      <c r="H684" s="2" t="s">
        <v>151</v>
      </c>
      <c r="I684" s="2" t="s">
        <v>1500</v>
      </c>
    </row>
    <row r="685" spans="1:9" ht="15.75" customHeight="1">
      <c r="A685" s="2" t="s">
        <v>1442</v>
      </c>
      <c r="B685" s="2" t="s">
        <v>1494</v>
      </c>
      <c r="C685" s="2" t="str">
        <f ca="1">IFERROR(__xludf.DUMMYFUNCTION("googletranslate(C685,""en"",""ne"")"),"जयपृथ्वी नगरपालिका")</f>
        <v>जयपृथ्वी नगरपालिका</v>
      </c>
      <c r="D685" s="3" t="str">
        <f ca="1">IFERROR(__xludf.DUMMYFUNCTION("googletranslate(D685,""en"",""ne"")"),"मेयर")</f>
        <v>मेयर</v>
      </c>
      <c r="E685" s="2" t="s">
        <v>11</v>
      </c>
      <c r="F685" s="2" t="s">
        <v>1501</v>
      </c>
      <c r="G685" s="2" t="s">
        <v>8</v>
      </c>
      <c r="H685" s="2" t="s">
        <v>86</v>
      </c>
      <c r="I685" s="2" t="s">
        <v>1502</v>
      </c>
    </row>
    <row r="686" spans="1:9" ht="15.75" customHeight="1">
      <c r="A686" s="2" t="s">
        <v>1442</v>
      </c>
      <c r="B686" s="2" t="s">
        <v>1494</v>
      </c>
      <c r="C686" s="2" t="str">
        <f ca="1">IFERROR(__xludf.DUMMYFUNCTION("googletranslate(C686,""en"",""ne"")"),"तलकोट गाउँपालिका")</f>
        <v>तलकोट गाउँपालिका</v>
      </c>
      <c r="D686" s="3" t="str">
        <f ca="1">IFERROR(__xludf.DUMMYFUNCTION("googletranslate(D686,""en"",""ne"")"),"अध्यक्ष")</f>
        <v>अध्यक्ष</v>
      </c>
      <c r="E686" s="2" t="s">
        <v>18</v>
      </c>
      <c r="F686" s="2" t="s">
        <v>1503</v>
      </c>
      <c r="G686" s="2" t="s">
        <v>8</v>
      </c>
      <c r="H686" s="2" t="s">
        <v>64</v>
      </c>
      <c r="I686" s="2" t="s">
        <v>1504</v>
      </c>
    </row>
    <row r="687" spans="1:9" ht="15.75" customHeight="1">
      <c r="A687" s="2" t="s">
        <v>1442</v>
      </c>
      <c r="B687" s="2" t="s">
        <v>1494</v>
      </c>
      <c r="C687" s="2" t="str">
        <f ca="1">IFERROR(__xludf.DUMMYFUNCTION("googletranslate(C687,""en"",""ne"")"),"थलारा गाउँपालिका")</f>
        <v>थलारा गाउँपालिका</v>
      </c>
      <c r="D687" s="3" t="str">
        <f ca="1">IFERROR(__xludf.DUMMYFUNCTION("googletranslate(D687,""en"",""ne"")"),"अध्यक्ष")</f>
        <v>अध्यक्ष</v>
      </c>
      <c r="E687" s="2" t="s">
        <v>18</v>
      </c>
      <c r="F687" s="2" t="s">
        <v>1505</v>
      </c>
      <c r="G687" s="2" t="s">
        <v>8</v>
      </c>
      <c r="H687" s="2" t="s">
        <v>151</v>
      </c>
      <c r="I687" s="2" t="s">
        <v>1506</v>
      </c>
    </row>
    <row r="688" spans="1:9" ht="15.75" customHeight="1">
      <c r="A688" s="2" t="s">
        <v>1442</v>
      </c>
      <c r="B688" s="2" t="s">
        <v>1494</v>
      </c>
      <c r="C688" s="2" t="str">
        <f ca="1">IFERROR(__xludf.DUMMYFUNCTION("googletranslate(C688,""en"",""ne"")"),"दुर्गाथली गाउँपालिका")</f>
        <v>दुर्गाथली गाउँपालिका</v>
      </c>
      <c r="D688" s="3" t="str">
        <f ca="1">IFERROR(__xludf.DUMMYFUNCTION("googletranslate(D688,""en"",""ne"")"),"अध्यक्ष")</f>
        <v>अध्यक्ष</v>
      </c>
      <c r="E688" s="2" t="s">
        <v>30</v>
      </c>
      <c r="F688" s="2" t="s">
        <v>1507</v>
      </c>
      <c r="G688" s="2" t="s">
        <v>8</v>
      </c>
      <c r="H688" s="2" t="s">
        <v>73</v>
      </c>
      <c r="I688" s="2" t="s">
        <v>1508</v>
      </c>
    </row>
    <row r="689" spans="1:9" ht="15.75" customHeight="1">
      <c r="A689" s="2" t="s">
        <v>1442</v>
      </c>
      <c r="B689" s="2" t="s">
        <v>1494</v>
      </c>
      <c r="C689" s="2" t="str">
        <f ca="1">IFERROR(__xludf.DUMMYFUNCTION("googletranslate(C689,""en"",""ne"")"),"बुंगल नगरपालिका")</f>
        <v>बुंगल नगरपालिका</v>
      </c>
      <c r="D689" s="3" t="str">
        <f ca="1">IFERROR(__xludf.DUMMYFUNCTION("googletranslate(D689,""en"",""ne"")"),"मेयर")</f>
        <v>मेयर</v>
      </c>
      <c r="E689" s="2" t="s">
        <v>11</v>
      </c>
      <c r="F689" s="2" t="s">
        <v>1509</v>
      </c>
      <c r="G689" s="2" t="s">
        <v>8</v>
      </c>
      <c r="H689" s="2" t="s">
        <v>200</v>
      </c>
      <c r="I689" s="2" t="s">
        <v>1510</v>
      </c>
    </row>
    <row r="690" spans="1:9" ht="15.75" customHeight="1">
      <c r="A690" s="2" t="s">
        <v>1442</v>
      </c>
      <c r="B690" s="2" t="s">
        <v>1494</v>
      </c>
      <c r="C690" s="2" t="str">
        <f ca="1">IFERROR(__xludf.DUMMYFUNCTION("googletranslate(C690,""en"",""ne"")"),"मष्टा गाउँपालिका")</f>
        <v>मष्टा गाउँपालिका</v>
      </c>
      <c r="D690" s="3" t="str">
        <f ca="1">IFERROR(__xludf.DUMMYFUNCTION("googletranslate(D690,""en"",""ne"")"),"अध्यक्ष")</f>
        <v>अध्यक्ष</v>
      </c>
      <c r="E690" s="2" t="s">
        <v>11</v>
      </c>
      <c r="F690" s="2" t="s">
        <v>1511</v>
      </c>
      <c r="G690" s="2" t="s">
        <v>8</v>
      </c>
      <c r="H690" s="2" t="s">
        <v>159</v>
      </c>
      <c r="I690" s="2" t="s">
        <v>1512</v>
      </c>
    </row>
    <row r="691" spans="1:9" ht="15.75" customHeight="1">
      <c r="A691" s="2" t="s">
        <v>1442</v>
      </c>
      <c r="B691" s="2" t="s">
        <v>1494</v>
      </c>
      <c r="C691" s="2" t="str">
        <f ca="1">IFERROR(__xludf.DUMMYFUNCTION("googletranslate(C691,""en"",""ne"")"),"विठ्ठडचिर गाउँपालिका")</f>
        <v>विठ्ठडचिर गाउँपालिका</v>
      </c>
      <c r="D691" s="3" t="str">
        <f ca="1">IFERROR(__xludf.DUMMYFUNCTION("googletranslate(D691,""en"",""ne"")"),"अध्यक्ष")</f>
        <v>अध्यक्ष</v>
      </c>
      <c r="E691" s="2" t="s">
        <v>11</v>
      </c>
      <c r="F691" s="2" t="s">
        <v>1513</v>
      </c>
      <c r="G691" s="2" t="s">
        <v>8</v>
      </c>
      <c r="H691" s="2" t="s">
        <v>23</v>
      </c>
      <c r="I691" s="2" t="s">
        <v>1514</v>
      </c>
    </row>
    <row r="692" spans="1:9" ht="15.75" customHeight="1">
      <c r="A692" s="2" t="s">
        <v>1442</v>
      </c>
      <c r="B692" s="2" t="s">
        <v>1494</v>
      </c>
      <c r="C692" s="2" t="str">
        <f ca="1">IFERROR(__xludf.DUMMYFUNCTION("googletranslate(C692,""en"",""ne"")"),"साइपाल गाउँपालिका")</f>
        <v>साइपाल गाउँपालिका</v>
      </c>
      <c r="D692" s="3" t="str">
        <f ca="1">IFERROR(__xludf.DUMMYFUNCTION("googletranslate(D692,""en"",""ne"")"),"अध्यक्ष")</f>
        <v>अध्यक्ष</v>
      </c>
      <c r="E692" s="2" t="s">
        <v>18</v>
      </c>
      <c r="F692" s="2" t="s">
        <v>1515</v>
      </c>
      <c r="G692" s="2" t="s">
        <v>8</v>
      </c>
      <c r="H692" s="2" t="s">
        <v>26</v>
      </c>
      <c r="I692" s="2" t="s">
        <v>1516</v>
      </c>
    </row>
    <row r="693" spans="1:9" ht="15.75" customHeight="1">
      <c r="A693" s="2" t="s">
        <v>1442</v>
      </c>
      <c r="B693" s="2" t="s">
        <v>1494</v>
      </c>
      <c r="C693" s="2" t="str">
        <f ca="1">IFERROR(__xludf.DUMMYFUNCTION("googletranslate(C693,""en"",""ne"")"),"सुर्मा गाउँपालिका")</f>
        <v>सुर्मा गाउँपालिका</v>
      </c>
      <c r="D693" s="3" t="str">
        <f ca="1">IFERROR(__xludf.DUMMYFUNCTION("googletranslate(D693,""en"",""ne"")"),"अध्यक्ष")</f>
        <v>अध्यक्ष</v>
      </c>
      <c r="E693" s="2" t="s">
        <v>11</v>
      </c>
      <c r="F693" s="2" t="s">
        <v>1517</v>
      </c>
      <c r="G693" s="2" t="s">
        <v>8</v>
      </c>
      <c r="H693" s="2" t="s">
        <v>64</v>
      </c>
      <c r="I693" s="2" t="s">
        <v>1518</v>
      </c>
    </row>
    <row r="694" spans="1:9" ht="15.75" customHeight="1">
      <c r="A694" s="2" t="s">
        <v>1442</v>
      </c>
      <c r="B694" s="2" t="s">
        <v>1519</v>
      </c>
      <c r="C694" s="2" t="str">
        <f ca="1">IFERROR(__xludf.DUMMYFUNCTION("googletranslate(C694,""en"",""ne"")"),"खप्तड छेडेदहपालिका")</f>
        <v>खप्तड छेडेदहपालिका</v>
      </c>
      <c r="D694" s="3" t="str">
        <f ca="1">IFERROR(__xludf.DUMMYFUNCTION("googletranslate(D694,""en"",""ne"")"),"अध्यक्ष")</f>
        <v>अध्यक्ष</v>
      </c>
      <c r="E694" s="2" t="s">
        <v>18</v>
      </c>
      <c r="F694" s="2" t="s">
        <v>1520</v>
      </c>
      <c r="G694" s="2" t="s">
        <v>8</v>
      </c>
      <c r="H694" s="2" t="s">
        <v>26</v>
      </c>
      <c r="I694" s="2" t="s">
        <v>1521</v>
      </c>
    </row>
    <row r="695" spans="1:9" ht="15.75" customHeight="1">
      <c r="A695" s="2" t="s">
        <v>1442</v>
      </c>
      <c r="B695" s="2" t="s">
        <v>1519</v>
      </c>
      <c r="C695" s="2" t="str">
        <f ca="1">IFERROR(__xludf.DUMMYFUNCTION("googletranslate(C695,""en"",""ne"")"),"गौमुला गाउँपालिका")</f>
        <v>गौमुला गाउँपालिका</v>
      </c>
      <c r="D695" s="3" t="str">
        <f ca="1">IFERROR(__xludf.DUMMYFUNCTION("googletranslate(D695,""en"",""ne"")"),"अध्यक्ष")</f>
        <v>अध्यक्ष</v>
      </c>
      <c r="E695" s="2" t="s">
        <v>18</v>
      </c>
      <c r="F695" s="2" t="s">
        <v>1522</v>
      </c>
      <c r="G695" s="2" t="s">
        <v>8</v>
      </c>
      <c r="H695" s="2" t="s">
        <v>190</v>
      </c>
      <c r="I695" s="2" t="s">
        <v>1523</v>
      </c>
    </row>
    <row r="696" spans="1:9" ht="15.75" customHeight="1">
      <c r="A696" s="2" t="s">
        <v>1442</v>
      </c>
      <c r="B696" s="2" t="s">
        <v>1519</v>
      </c>
      <c r="C696" s="2" t="str">
        <f ca="1">IFERROR(__xludf.DUMMYFUNCTION("googletranslate(C696,""en"",""ne"")"),"जगन्नाथ गाउँपालिका")</f>
        <v>जगन्नाथ गाउँपालिका</v>
      </c>
      <c r="D696" s="3" t="str">
        <f ca="1">IFERROR(__xludf.DUMMYFUNCTION("googletranslate(D696,""en"",""ne"")"),"अध्यक्ष")</f>
        <v>अध्यक्ष</v>
      </c>
      <c r="E696" s="2" t="s">
        <v>18</v>
      </c>
      <c r="F696" s="2" t="s">
        <v>1524</v>
      </c>
      <c r="G696" s="2" t="s">
        <v>8</v>
      </c>
      <c r="H696" s="2" t="s">
        <v>23</v>
      </c>
      <c r="I696" s="2" t="s">
        <v>1525</v>
      </c>
    </row>
    <row r="697" spans="1:9" ht="15.75" customHeight="1">
      <c r="A697" s="2" t="s">
        <v>1442</v>
      </c>
      <c r="B697" s="2" t="s">
        <v>1519</v>
      </c>
      <c r="C697" s="2" t="str">
        <f ca="1">IFERROR(__xludf.DUMMYFUNCTION("googletranslate(C697,""en"",""ne"")"),"त्रिवेणी नगरपालिका")</f>
        <v>त्रिवेणी नगरपालिका</v>
      </c>
      <c r="D697" s="3" t="str">
        <f ca="1">IFERROR(__xludf.DUMMYFUNCTION("googletranslate(D697,""en"",""ne"")"),"मेयर")</f>
        <v>मेयर</v>
      </c>
      <c r="E697" s="2" t="s">
        <v>11</v>
      </c>
      <c r="F697" s="2" t="s">
        <v>1526</v>
      </c>
      <c r="G697" s="2" t="s">
        <v>8</v>
      </c>
      <c r="H697" s="2" t="s">
        <v>9</v>
      </c>
      <c r="I697" s="2" t="s">
        <v>1527</v>
      </c>
    </row>
    <row r="698" spans="1:9" ht="15.75" customHeight="1">
      <c r="A698" s="2" t="s">
        <v>1442</v>
      </c>
      <c r="B698" s="2" t="s">
        <v>1519</v>
      </c>
      <c r="C698" s="2" t="str">
        <f ca="1">IFERROR(__xludf.DUMMYFUNCTION("googletranslate(C698,""en"",""ne"")"),"बडीमालिका नगरपालिका")</f>
        <v>बडीमालिका नगरपालिका</v>
      </c>
      <c r="D698" s="3" t="str">
        <f ca="1">IFERROR(__xludf.DUMMYFUNCTION("googletranslate(D698,""en"",""ne"")"),"मेयर")</f>
        <v>मेयर</v>
      </c>
      <c r="E698" s="2" t="s">
        <v>18</v>
      </c>
      <c r="F698" s="2" t="s">
        <v>1528</v>
      </c>
      <c r="G698" s="2" t="s">
        <v>8</v>
      </c>
      <c r="H698" s="2" t="s">
        <v>151</v>
      </c>
      <c r="I698" s="2" t="s">
        <v>1529</v>
      </c>
    </row>
    <row r="699" spans="1:9" ht="15.75" customHeight="1">
      <c r="A699" s="2" t="s">
        <v>1442</v>
      </c>
      <c r="B699" s="2" t="s">
        <v>1519</v>
      </c>
      <c r="C699" s="2" t="str">
        <f ca="1">IFERROR(__xludf.DUMMYFUNCTION("googletranslate(C699,""en"",""ne"")"),"बुढीन्दा नगरपालिका")</f>
        <v>बुढीन्दा नगरपालिका</v>
      </c>
      <c r="D699" s="3" t="str">
        <f ca="1">IFERROR(__xludf.DUMMYFUNCTION("googletranslate(D699,""en"",""ne"")"),"मेयर")</f>
        <v>मेयर</v>
      </c>
      <c r="E699" s="2" t="s">
        <v>18</v>
      </c>
      <c r="F699" s="2" t="s">
        <v>1530</v>
      </c>
      <c r="G699" s="2" t="s">
        <v>8</v>
      </c>
      <c r="H699" s="2" t="s">
        <v>190</v>
      </c>
      <c r="I699" s="2" t="s">
        <v>1531</v>
      </c>
    </row>
    <row r="700" spans="1:9" ht="15.75" customHeight="1">
      <c r="A700" s="2" t="s">
        <v>1442</v>
      </c>
      <c r="B700" s="2" t="s">
        <v>1519</v>
      </c>
      <c r="C700" s="2" t="str">
        <f ca="1">IFERROR(__xludf.DUMMYFUNCTION("googletranslate(C700,""en"",""ne"")"),"स्वामीकार्तिक खापर गाउँपालिका")</f>
        <v>स्वामीकार्तिक खापर गाउँपालिका</v>
      </c>
      <c r="D700" s="3" t="str">
        <f ca="1">IFERROR(__xludf.DUMMYFUNCTION("googletranslate(D700,""en"",""ne"")"),"अध्यक्ष")</f>
        <v>अध्यक्ष</v>
      </c>
      <c r="E700" s="2" t="s">
        <v>11</v>
      </c>
      <c r="F700" s="2" t="s">
        <v>1532</v>
      </c>
      <c r="G700" s="2" t="s">
        <v>8</v>
      </c>
      <c r="H700" s="2" t="s">
        <v>159</v>
      </c>
      <c r="I700" s="2" t="s">
        <v>1533</v>
      </c>
    </row>
    <row r="701" spans="1:9" ht="15.75" customHeight="1">
      <c r="A701" s="2" t="s">
        <v>1442</v>
      </c>
      <c r="B701" s="2" t="s">
        <v>1519</v>
      </c>
      <c r="C701" s="2" t="str">
        <f ca="1">IFERROR(__xludf.DUMMYFUNCTION("googletranslate(C701,""en"",""ne"")"),"हिमाली गाउँपालिका")</f>
        <v>हिमाली गाउँपालिका</v>
      </c>
      <c r="D701" s="3" t="str">
        <f ca="1">IFERROR(__xludf.DUMMYFUNCTION("googletranslate(D701,""en"",""ne"")"),"अध्यक्ष")</f>
        <v>अध्यक्ष</v>
      </c>
      <c r="E701" s="2" t="s">
        <v>11</v>
      </c>
      <c r="F701" s="2" t="s">
        <v>1534</v>
      </c>
      <c r="G701" s="2" t="s">
        <v>8</v>
      </c>
      <c r="H701" s="2" t="s">
        <v>86</v>
      </c>
      <c r="I701" s="2" t="s">
        <v>1535</v>
      </c>
    </row>
    <row r="702" spans="1:9" ht="15.75" customHeight="1">
      <c r="A702" s="2" t="s">
        <v>1442</v>
      </c>
      <c r="B702" s="2" t="s">
        <v>1536</v>
      </c>
      <c r="C702" s="2" t="str">
        <f ca="1">IFERROR(__xludf.DUMMYFUNCTION("googletranslate(C702,""en"",""ne"")"),"अमरगढी नगरपालिका")</f>
        <v>अमरगढी नगरपालिका</v>
      </c>
      <c r="D702" s="3" t="str">
        <f ca="1">IFERROR(__xludf.DUMMYFUNCTION("googletranslate(D702,""en"",""ne"")"),"मेयर")</f>
        <v>मेयर</v>
      </c>
      <c r="E702" s="2" t="s">
        <v>11</v>
      </c>
      <c r="F702" s="2" t="s">
        <v>1537</v>
      </c>
      <c r="G702" s="2" t="s">
        <v>8</v>
      </c>
      <c r="H702" s="2" t="s">
        <v>45</v>
      </c>
      <c r="I702" s="2" t="s">
        <v>1538</v>
      </c>
    </row>
    <row r="703" spans="1:9" ht="15.75" customHeight="1">
      <c r="A703" s="2" t="s">
        <v>1442</v>
      </c>
      <c r="B703" s="2" t="s">
        <v>1536</v>
      </c>
      <c r="C703" s="2" t="str">
        <f ca="1">IFERROR(__xludf.DUMMYFUNCTION("googletranslate(C703,""en"",""ne"")"),"अजयमेरु गाउँपालिका")</f>
        <v>अजयमेरु गाउँपालिका</v>
      </c>
      <c r="D703" s="3" t="str">
        <f ca="1">IFERROR(__xludf.DUMMYFUNCTION("googletranslate(D703,""en"",""ne"")"),"अध्यक्ष")</f>
        <v>अध्यक्ष</v>
      </c>
      <c r="E703" s="2" t="s">
        <v>30</v>
      </c>
      <c r="F703" s="2" t="s">
        <v>1539</v>
      </c>
      <c r="G703" s="2" t="s">
        <v>8</v>
      </c>
      <c r="H703" s="2" t="s">
        <v>200</v>
      </c>
      <c r="I703" s="2" t="s">
        <v>1540</v>
      </c>
    </row>
    <row r="704" spans="1:9" ht="15.75" customHeight="1">
      <c r="A704" s="2" t="s">
        <v>1442</v>
      </c>
      <c r="B704" s="2" t="s">
        <v>1536</v>
      </c>
      <c r="C704" s="2" t="str">
        <f ca="1">IFERROR(__xludf.DUMMYFUNCTION("googletranslate(C704,""en"",""ne"")"),"आलिताल गाउँपालिका")</f>
        <v>आलिताल गाउँपालिका</v>
      </c>
      <c r="D704" s="3" t="str">
        <f ca="1">IFERROR(__xludf.DUMMYFUNCTION("googletranslate(D704,""en"",""ne"")"),"अध्यक्ष")</f>
        <v>अध्यक्ष</v>
      </c>
      <c r="E704" s="2" t="s">
        <v>30</v>
      </c>
      <c r="F704" s="2" t="s">
        <v>1541</v>
      </c>
      <c r="G704" s="2" t="s">
        <v>8</v>
      </c>
      <c r="H704" s="2" t="s">
        <v>13</v>
      </c>
      <c r="I704" s="2" t="s">
        <v>1542</v>
      </c>
    </row>
    <row r="705" spans="1:9" ht="15.75" customHeight="1">
      <c r="A705" s="2" t="s">
        <v>1442</v>
      </c>
      <c r="B705" s="2" t="s">
        <v>1536</v>
      </c>
      <c r="C705" s="2" t="str">
        <f ca="1">IFERROR(__xludf.DUMMYFUNCTION("googletranslate(C705,""en"",""ne"")"),"गन्यापधुरा गाउँपालिका")</f>
        <v>गन्यापधुरा गाउँपालिका</v>
      </c>
      <c r="D705" s="3" t="str">
        <f ca="1">IFERROR(__xludf.DUMMYFUNCTION("googletranslate(D705,""en"",""ne"")"),"अध्यक्ष")</f>
        <v>अध्यक्ष</v>
      </c>
      <c r="E705" s="2" t="s">
        <v>11</v>
      </c>
      <c r="F705" s="2" t="s">
        <v>1543</v>
      </c>
      <c r="G705" s="2" t="s">
        <v>8</v>
      </c>
      <c r="H705" s="2" t="s">
        <v>159</v>
      </c>
      <c r="I705" s="2" t="s">
        <v>1544</v>
      </c>
    </row>
    <row r="706" spans="1:9" ht="15.75" customHeight="1">
      <c r="A706" s="2" t="s">
        <v>1442</v>
      </c>
      <c r="B706" s="2" t="s">
        <v>1536</v>
      </c>
      <c r="C706" s="2" t="str">
        <f ca="1">IFERROR(__xludf.DUMMYFUNCTION("googletranslate(C706,""en"",""ne"")"),"नवदुर्ग गाउँपालिका")</f>
        <v>नवदुर्ग गाउँपालिका</v>
      </c>
      <c r="D706" s="3" t="str">
        <f ca="1">IFERROR(__xludf.DUMMYFUNCTION("googletranslate(D706,""en"",""ne"")"),"अध्यक्ष")</f>
        <v>अध्यक्ष</v>
      </c>
      <c r="E706" s="2" t="s">
        <v>11</v>
      </c>
      <c r="F706" s="2" t="s">
        <v>1545</v>
      </c>
      <c r="G706" s="2" t="s">
        <v>8</v>
      </c>
      <c r="H706" s="2" t="s">
        <v>16</v>
      </c>
      <c r="I706" s="2" t="s">
        <v>1546</v>
      </c>
    </row>
    <row r="707" spans="1:9" ht="15.75" customHeight="1">
      <c r="A707" s="2" t="s">
        <v>1442</v>
      </c>
      <c r="B707" s="2" t="s">
        <v>1536</v>
      </c>
      <c r="C707" s="2" t="str">
        <f ca="1">IFERROR(__xludf.DUMMYFUNCTION("googletranslate(C707,""en"",""ne"")"),"परशुराम नगरपालिका")</f>
        <v>परशुराम नगरपालिका</v>
      </c>
      <c r="D707" s="3" t="str">
        <f ca="1">IFERROR(__xludf.DUMMYFUNCTION("googletranslate(D707,""en"",""ne"")"),"मेयर")</f>
        <v>मेयर</v>
      </c>
      <c r="E707" s="2" t="s">
        <v>11</v>
      </c>
      <c r="F707" s="2" t="s">
        <v>1547</v>
      </c>
      <c r="G707" s="2" t="s">
        <v>8</v>
      </c>
      <c r="H707" s="2" t="s">
        <v>1294</v>
      </c>
      <c r="I707" s="2" t="s">
        <v>1548</v>
      </c>
    </row>
    <row r="708" spans="1:9" ht="15.75" customHeight="1">
      <c r="A708" s="2" t="s">
        <v>1442</v>
      </c>
      <c r="B708" s="2" t="s">
        <v>1536</v>
      </c>
      <c r="C708" s="2" t="str">
        <f ca="1">IFERROR(__xludf.DUMMYFUNCTION("googletranslate(C708,""en"",""ne"")"),"भागेश्वरपालिका गाउँपालिका")</f>
        <v>भागेश्वरपालिका गाउँपालिका</v>
      </c>
      <c r="D708" s="3" t="str">
        <f ca="1">IFERROR(__xludf.DUMMYFUNCTION("googletranslate(D708,""en"",""ne"")"),"अध्यक्ष")</f>
        <v>अध्यक्ष</v>
      </c>
      <c r="E708" s="2" t="s">
        <v>11</v>
      </c>
      <c r="F708" s="2" t="s">
        <v>1549</v>
      </c>
      <c r="G708" s="2" t="s">
        <v>8</v>
      </c>
      <c r="H708" s="2" t="s">
        <v>26</v>
      </c>
      <c r="I708" s="2" t="s">
        <v>1550</v>
      </c>
    </row>
    <row r="709" spans="1:9" ht="15.75" customHeight="1">
      <c r="A709" s="2" t="s">
        <v>1442</v>
      </c>
      <c r="B709" s="2" t="s">
        <v>1551</v>
      </c>
      <c r="C709" s="2" t="str">
        <f ca="1">IFERROR(__xludf.DUMMYFUNCTION("googletranslate(C709,""en"",""ne"")"),"अपहिमाल गाउँपालिका")</f>
        <v>अपहिमाल गाउँपालिका</v>
      </c>
      <c r="D709" s="3" t="str">
        <f ca="1">IFERROR(__xludf.DUMMYFUNCTION("googletranslate(D709,""en"",""ne"")"),"अध्यक्ष")</f>
        <v>अध्यक्ष</v>
      </c>
      <c r="E709" s="2" t="s">
        <v>30</v>
      </c>
      <c r="F709" s="2" t="s">
        <v>1552</v>
      </c>
      <c r="G709" s="2" t="s">
        <v>8</v>
      </c>
      <c r="H709" s="2" t="s">
        <v>267</v>
      </c>
      <c r="I709" s="2" t="s">
        <v>1553</v>
      </c>
    </row>
    <row r="710" spans="1:9" ht="15.75" customHeight="1">
      <c r="A710" s="2" t="s">
        <v>1442</v>
      </c>
      <c r="B710" s="2" t="s">
        <v>1551</v>
      </c>
      <c r="C710" s="2" t="str">
        <f ca="1">IFERROR(__xludf.DUMMYFUNCTION("googletranslate(C710,""en"",""ne"")"),"दुर्गम गाउँपालिका")</f>
        <v>दुर्गम गाउँपालिका</v>
      </c>
      <c r="D710" s="3" t="str">
        <f ca="1">IFERROR(__xludf.DUMMYFUNCTION("googletranslate(D710,""en"",""ne"")"),"अध्यक्ष")</f>
        <v>अध्यक्ष</v>
      </c>
      <c r="E710" s="2" t="s">
        <v>18</v>
      </c>
      <c r="F710" s="2" t="s">
        <v>1554</v>
      </c>
      <c r="G710" s="2" t="s">
        <v>8</v>
      </c>
      <c r="H710" s="2" t="s">
        <v>190</v>
      </c>
      <c r="I710" s="2" t="s">
        <v>1555</v>
      </c>
    </row>
    <row r="711" spans="1:9" ht="15.75" customHeight="1">
      <c r="A711" s="2" t="s">
        <v>1442</v>
      </c>
      <c r="B711" s="2" t="s">
        <v>1551</v>
      </c>
      <c r="C711" s="2" t="str">
        <f ca="1">IFERROR(__xludf.DUMMYFUNCTION("googletranslate(C711,""en"",""ne"")"),"नौगाड गाउँपालिका")</f>
        <v>नौगाड गाउँपालिका</v>
      </c>
      <c r="D711" s="3" t="str">
        <f ca="1">IFERROR(__xludf.DUMMYFUNCTION("googletranslate(D711,""en"",""ne"")"),"अध्यक्ष")</f>
        <v>अध्यक्ष</v>
      </c>
      <c r="E711" s="2" t="s">
        <v>30</v>
      </c>
      <c r="F711" s="2" t="s">
        <v>1556</v>
      </c>
      <c r="G711" s="2" t="s">
        <v>8</v>
      </c>
      <c r="H711" s="2" t="s">
        <v>55</v>
      </c>
      <c r="I711" s="2" t="s">
        <v>1557</v>
      </c>
    </row>
    <row r="712" spans="1:9" ht="15.75" customHeight="1">
      <c r="A712" s="2" t="s">
        <v>1442</v>
      </c>
      <c r="B712" s="2" t="s">
        <v>1551</v>
      </c>
      <c r="C712" s="2" t="str">
        <f ca="1">IFERROR(__xludf.DUMMYFUNCTION("googletranslate(C712,""en"",""ne"")"),"ब्यासपाल गाउँिका")</f>
        <v>ब्यासपाल गाउँिका</v>
      </c>
      <c r="D712" s="3" t="str">
        <f ca="1">IFERROR(__xludf.DUMMYFUNCTION("googletranslate(D712,""en"",""ne"")"),"अध्यक्ष")</f>
        <v>अध्यक्ष</v>
      </c>
      <c r="E712" s="2" t="s">
        <v>18</v>
      </c>
      <c r="F712" s="2" t="s">
        <v>1558</v>
      </c>
      <c r="G712" s="2" t="s">
        <v>8</v>
      </c>
      <c r="H712" s="2" t="s">
        <v>23</v>
      </c>
      <c r="I712" s="2" t="s">
        <v>87</v>
      </c>
    </row>
    <row r="713" spans="1:9" ht="15.75" customHeight="1">
      <c r="A713" s="2" t="s">
        <v>1442</v>
      </c>
      <c r="B713" s="2" t="s">
        <v>1551</v>
      </c>
      <c r="C713" s="2" t="str">
        <f ca="1">IFERROR(__xludf.DUMMYFUNCTION("googletranslate(C713,""en"",""ne"")"),"महाकाली नगरपालिका")</f>
        <v>महाकाली नगरपालिका</v>
      </c>
      <c r="D713" s="3" t="str">
        <f ca="1">IFERROR(__xludf.DUMMYFUNCTION("googletranslate(D713,""en"",""ne"")"),"मेयर")</f>
        <v>मेयर</v>
      </c>
      <c r="E713" s="2" t="s">
        <v>18</v>
      </c>
      <c r="F713" s="2" t="s">
        <v>1559</v>
      </c>
      <c r="G713" s="2" t="s">
        <v>8</v>
      </c>
      <c r="H713" s="2" t="s">
        <v>190</v>
      </c>
      <c r="I713" s="2" t="s">
        <v>1560</v>
      </c>
    </row>
    <row r="714" spans="1:9" ht="15.75" customHeight="1">
      <c r="A714" s="2" t="s">
        <v>1442</v>
      </c>
      <c r="B714" s="2" t="s">
        <v>1551</v>
      </c>
      <c r="C714" s="2" t="str">
        <f ca="1">IFERROR(__xludf.DUMMYFUNCTION("googletranslate(C714,""en"",""ne"")"),"मार्मापालिका गाउँपालिका")</f>
        <v>मार्मापालिका गाउँपालिका</v>
      </c>
      <c r="D714" s="3" t="str">
        <f ca="1">IFERROR(__xludf.DUMMYFUNCTION("googletranslate(D714,""en"",""ne"")"),"अध्यक्ष")</f>
        <v>अध्यक्ष</v>
      </c>
      <c r="E714" s="2" t="s">
        <v>30</v>
      </c>
      <c r="F714" s="2" t="s">
        <v>1561</v>
      </c>
      <c r="G714" s="2" t="s">
        <v>8</v>
      </c>
      <c r="H714" s="2" t="s">
        <v>190</v>
      </c>
      <c r="I714" s="2" t="s">
        <v>1562</v>
      </c>
    </row>
    <row r="715" spans="1:9" ht="15.75" customHeight="1">
      <c r="A715" s="2" t="s">
        <v>1442</v>
      </c>
      <c r="B715" s="2" t="s">
        <v>1551</v>
      </c>
      <c r="C715" s="2" t="str">
        <f ca="1">IFERROR(__xludf.DUMMYFUNCTION("googletranslate(C715,""en"",""ne"")"),"वाराजुन गाउँपालिका")</f>
        <v>वाराजुन गाउँपालिका</v>
      </c>
      <c r="D715" s="3" t="str">
        <f ca="1">IFERROR(__xludf.DUMMYFUNCTION("googletranslate(D715,""en"",""ne"")"),"अध्यक्ष")</f>
        <v>अध्यक्ष</v>
      </c>
      <c r="E715" s="2" t="s">
        <v>18</v>
      </c>
      <c r="F715" s="2" t="s">
        <v>1563</v>
      </c>
      <c r="G715" s="2" t="s">
        <v>8</v>
      </c>
      <c r="H715" s="2" t="s">
        <v>33</v>
      </c>
      <c r="I715" s="2" t="s">
        <v>1564</v>
      </c>
    </row>
    <row r="716" spans="1:9" ht="15.75" customHeight="1">
      <c r="A716" s="2" t="s">
        <v>1442</v>
      </c>
      <c r="B716" s="2" t="s">
        <v>1551</v>
      </c>
      <c r="C716" s="2" t="str">
        <f ca="1">IFERROR(__xludf.DUMMYFUNCTION("googletranslate(C716,""en"",""ne"")"),"लेकमपाल गाउँपालिका")</f>
        <v>लेकमपाल गाउँपालिका</v>
      </c>
      <c r="D716" s="3" t="str">
        <f ca="1">IFERROR(__xludf.DUMMYFUNCTION("googletranslate(D716,""en"",""ne"")"),"अध्यक्ष")</f>
        <v>अध्यक्ष</v>
      </c>
      <c r="E716" s="2" t="s">
        <v>30</v>
      </c>
      <c r="F716" s="2" t="s">
        <v>1565</v>
      </c>
      <c r="G716" s="2" t="s">
        <v>8</v>
      </c>
      <c r="H716" s="2" t="s">
        <v>114</v>
      </c>
      <c r="I716" s="2" t="s">
        <v>1566</v>
      </c>
    </row>
    <row r="717" spans="1:9" ht="15.75" customHeight="1">
      <c r="A717" s="2" t="s">
        <v>1442</v>
      </c>
      <c r="B717" s="2" t="s">
        <v>1551</v>
      </c>
      <c r="C717" s="2" t="str">
        <f ca="1">IFERROR(__xludf.DUMMYFUNCTION("googletranslate(C717,""en"",""ne"")"),"शैल्यशिखर नगरपालिका")</f>
        <v>शैल्यशिखर नगरपालिका</v>
      </c>
      <c r="D717" s="3" t="str">
        <f ca="1">IFERROR(__xludf.DUMMYFUNCTION("googletranslate(D717,""en"",""ne"")"),"मेयर")</f>
        <v>मेयर</v>
      </c>
      <c r="E717" s="2" t="s">
        <v>18</v>
      </c>
      <c r="F717" s="2" t="s">
        <v>1567</v>
      </c>
      <c r="G717" s="2" t="s">
        <v>8</v>
      </c>
      <c r="H717" s="2" t="s">
        <v>408</v>
      </c>
      <c r="I717" s="2" t="s">
        <v>1568</v>
      </c>
    </row>
    <row r="718" spans="1:9" ht="15.75" customHeight="1">
      <c r="A718" s="2" t="s">
        <v>1442</v>
      </c>
      <c r="B718" s="2" t="s">
        <v>1569</v>
      </c>
      <c r="C718" s="2" t="str">
        <f ca="1">IFERROR(__xludf.DUMMYFUNCTION("googletranslate(C718,""en"",""ne"")"),"आदर्शपालिका गाउँ")</f>
        <v>आदर्शपालिका गाउँ</v>
      </c>
      <c r="D718" s="3" t="str">
        <f ca="1">IFERROR(__xludf.DUMMYFUNCTION("googletranslate(D718,""en"",""ne"")"),"अध्यक्ष")</f>
        <v>अध्यक्ष</v>
      </c>
      <c r="E718" s="2" t="s">
        <v>11</v>
      </c>
      <c r="F718" s="2" t="s">
        <v>1570</v>
      </c>
      <c r="G718" s="2" t="s">
        <v>8</v>
      </c>
      <c r="H718" s="2" t="s">
        <v>267</v>
      </c>
      <c r="I718" s="2" t="s">
        <v>1571</v>
      </c>
    </row>
    <row r="719" spans="1:9" ht="15.75" customHeight="1">
      <c r="A719" s="2" t="s">
        <v>1442</v>
      </c>
      <c r="B719" s="2" t="s">
        <v>1569</v>
      </c>
      <c r="C719" s="2" t="str">
        <f ca="1">IFERROR(__xludf.DUMMYFUNCTION("googletranslate(C719,""en"",""ne"")"),"केआई सिं गाउँपालिका")</f>
        <v>केआई सिं गाउँपालिका</v>
      </c>
      <c r="D719" s="3" t="str">
        <f ca="1">IFERROR(__xludf.DUMMYFUNCTION("googletranslate(D719,""en"",""ne"")"),"अध्यक्ष")</f>
        <v>अध्यक्ष</v>
      </c>
      <c r="E719" s="2" t="s">
        <v>11</v>
      </c>
      <c r="F719" s="2" t="s">
        <v>1572</v>
      </c>
      <c r="G719" s="2" t="s">
        <v>8</v>
      </c>
      <c r="H719" s="2" t="s">
        <v>23</v>
      </c>
      <c r="I719" s="2" t="s">
        <v>1573</v>
      </c>
    </row>
    <row r="720" spans="1:9" ht="15.75" customHeight="1">
      <c r="A720" s="2" t="s">
        <v>1442</v>
      </c>
      <c r="B720" s="2" t="s">
        <v>1569</v>
      </c>
      <c r="C720" s="2" t="str">
        <f ca="1">IFERROR(__xludf.DUMMYFUNCTION("googletranslate(C720,""en"",""ne"")"),"जोरायल गाउँपालिका")</f>
        <v>जोरायल गाउँपालिका</v>
      </c>
      <c r="D720" s="3" t="str">
        <f ca="1">IFERROR(__xludf.DUMMYFUNCTION("googletranslate(D720,""en"",""ne"")"),"अध्यक्ष")</f>
        <v>अध्यक्ष</v>
      </c>
      <c r="E720" s="2" t="s">
        <v>18</v>
      </c>
      <c r="F720" s="2" t="s">
        <v>1574</v>
      </c>
      <c r="G720" s="2" t="s">
        <v>8</v>
      </c>
      <c r="H720" s="2" t="s">
        <v>45</v>
      </c>
      <c r="I720" s="2" t="s">
        <v>1491</v>
      </c>
    </row>
    <row r="721" spans="1:9" ht="15.75" customHeight="1">
      <c r="A721" s="2" t="s">
        <v>1442</v>
      </c>
      <c r="B721" s="2" t="s">
        <v>1569</v>
      </c>
      <c r="C721" s="2" t="str">
        <f ca="1">IFERROR(__xludf.DUMMYFUNCTION("googletranslate(C721,""en"",""ne"")"),"दिपायल सिलगढी नगरपालिका")</f>
        <v>दिपायल सिलगढी नगरपालिका</v>
      </c>
      <c r="D721" s="3" t="str">
        <f ca="1">IFERROR(__xludf.DUMMYFUNCTION("googletranslate(D721,""en"",""ne"")"),"मेयर")</f>
        <v>मेयर</v>
      </c>
      <c r="E721" s="2" t="s">
        <v>11</v>
      </c>
      <c r="F721" s="2" t="s">
        <v>1575</v>
      </c>
      <c r="G721" s="2" t="s">
        <v>8</v>
      </c>
      <c r="H721" s="2" t="s">
        <v>16</v>
      </c>
      <c r="I721" s="2" t="s">
        <v>1576</v>
      </c>
    </row>
    <row r="722" spans="1:9" ht="15.75" customHeight="1">
      <c r="A722" s="2" t="s">
        <v>1442</v>
      </c>
      <c r="B722" s="2" t="s">
        <v>1569</v>
      </c>
      <c r="C722" s="2" t="str">
        <f ca="1">IFERROR(__xludf.DUMMYFUNCTION("googletranslate(C722,""en"",""ne"")"),"पूर्वचौकी गाउँपालिका")</f>
        <v>पूर्वचौकी गाउँपालिका</v>
      </c>
      <c r="D722" s="3" t="str">
        <f ca="1">IFERROR(__xludf.DUMMYFUNCTION("googletranslate(D722,""en"",""ne"")"),"अध्यक्ष")</f>
        <v>अध्यक्ष</v>
      </c>
      <c r="E722" s="2" t="s">
        <v>11</v>
      </c>
      <c r="F722" s="2" t="s">
        <v>1577</v>
      </c>
      <c r="G722" s="2" t="s">
        <v>8</v>
      </c>
      <c r="H722" s="2" t="s">
        <v>64</v>
      </c>
      <c r="I722" s="2" t="s">
        <v>1578</v>
      </c>
    </row>
    <row r="723" spans="1:9" ht="15.75" customHeight="1">
      <c r="A723" s="2" t="s">
        <v>1442</v>
      </c>
      <c r="B723" s="2" t="s">
        <v>1569</v>
      </c>
      <c r="C723" s="2" t="str">
        <f ca="1">IFERROR(__xludf.DUMMYFUNCTION("googletranslate(C723,""en"",""ne"")"),"बडीकेदार गाउँपालिका")</f>
        <v>बडीकेदार गाउँपालिका</v>
      </c>
      <c r="D723" s="3" t="str">
        <f ca="1">IFERROR(__xludf.DUMMYFUNCTION("googletranslate(D723,""en"",""ne"")"),"अध्यक्ष")</f>
        <v>अध्यक्ष</v>
      </c>
      <c r="E723" s="2" t="s">
        <v>11</v>
      </c>
      <c r="F723" s="2" t="s">
        <v>1579</v>
      </c>
      <c r="G723" s="2" t="s">
        <v>8</v>
      </c>
      <c r="H723" s="2" t="s">
        <v>64</v>
      </c>
      <c r="I723" s="2" t="s">
        <v>1580</v>
      </c>
    </row>
    <row r="724" spans="1:9" ht="15.75" customHeight="1">
      <c r="A724" s="2" t="s">
        <v>1442</v>
      </c>
      <c r="B724" s="2" t="s">
        <v>1569</v>
      </c>
      <c r="C724" s="2" t="str">
        <f ca="1">IFERROR(__xludf.DUMMYFUNCTION("googletranslate(C724,""en"",""ne"")"),"बोगटान फुड्सिल गाउँपालिका")</f>
        <v>बोगटान फुड्सिल गाउँपालिका</v>
      </c>
      <c r="D724" s="3" t="str">
        <f ca="1">IFERROR(__xludf.DUMMYFUNCTION("googletranslate(D724,""en"",""ne"")"),"अध्यक्ष")</f>
        <v>अध्यक्ष</v>
      </c>
      <c r="E724" s="2" t="s">
        <v>30</v>
      </c>
      <c r="F724" s="2" t="s">
        <v>1581</v>
      </c>
      <c r="G724" s="2" t="s">
        <v>8</v>
      </c>
      <c r="H724" s="2" t="s">
        <v>293</v>
      </c>
      <c r="I724" s="2" t="s">
        <v>1582</v>
      </c>
    </row>
    <row r="725" spans="1:9" ht="15.75" customHeight="1">
      <c r="A725" s="2" t="s">
        <v>1442</v>
      </c>
      <c r="B725" s="2" t="s">
        <v>1569</v>
      </c>
      <c r="C725" s="2" t="str">
        <f ca="1">IFERROR(__xludf.DUMMYFUNCTION("googletranslate(C725,""en"",""ne"")"),"शिखर नगरपालिका")</f>
        <v>शिखर नगरपालिका</v>
      </c>
      <c r="D725" s="3" t="str">
        <f ca="1">IFERROR(__xludf.DUMMYFUNCTION("googletranslate(D725,""en"",""ne"")"),"मेयर")</f>
        <v>मेयर</v>
      </c>
      <c r="E725" s="2" t="s">
        <v>11</v>
      </c>
      <c r="F725" s="2" t="s">
        <v>1583</v>
      </c>
      <c r="G725" s="2" t="s">
        <v>8</v>
      </c>
      <c r="H725" s="2" t="s">
        <v>200</v>
      </c>
      <c r="I725" s="2" t="s">
        <v>1584</v>
      </c>
    </row>
    <row r="726" spans="1:9" ht="15.75" customHeight="1">
      <c r="A726" s="2" t="s">
        <v>1442</v>
      </c>
      <c r="B726" s="2" t="s">
        <v>1569</v>
      </c>
      <c r="C726" s="2" t="str">
        <f ca="1">IFERROR(__xludf.DUMMYFUNCTION("googletranslate(C726,""en"",""ne"")"),"शैलपाल गाउँिका")</f>
        <v>शैलपाल गाउँिका</v>
      </c>
      <c r="D726" s="3" t="str">
        <f ca="1">IFERROR(__xludf.DUMMYFUNCTION("googletranslate(D726,""en"",""ne"")"),"अध्यक्ष")</f>
        <v>अध्यक्ष</v>
      </c>
      <c r="E726" s="2" t="s">
        <v>11</v>
      </c>
      <c r="F726" s="2" t="s">
        <v>1585</v>
      </c>
      <c r="G726" s="2" t="s">
        <v>8</v>
      </c>
      <c r="H726" s="2" t="s">
        <v>159</v>
      </c>
      <c r="I726" s="2" t="s">
        <v>1586</v>
      </c>
    </row>
    <row r="727" spans="1:9" ht="15.75" customHeight="1">
      <c r="A727" s="2" t="s">
        <v>1442</v>
      </c>
      <c r="B727" s="2" t="s">
        <v>1587</v>
      </c>
      <c r="C727" s="2" t="str">
        <f ca="1">IFERROR(__xludf.DUMMYFUNCTION("googletranslate(C727,""en"",""ne"")"),"कैलारी गाउँपालिका")</f>
        <v>कैलारी गाउँपालिका</v>
      </c>
      <c r="D727" s="3" t="str">
        <f ca="1">IFERROR(__xludf.DUMMYFUNCTION("googletranslate(D727,""en"",""ne"")"),"अध्यक्ष")</f>
        <v>अध्यक्ष</v>
      </c>
      <c r="E727" s="2" t="s">
        <v>11</v>
      </c>
      <c r="F727" s="2" t="s">
        <v>1588</v>
      </c>
      <c r="G727" s="2" t="s">
        <v>8</v>
      </c>
      <c r="H727" s="2" t="s">
        <v>26</v>
      </c>
      <c r="I727" s="2" t="s">
        <v>1589</v>
      </c>
    </row>
    <row r="728" spans="1:9" ht="15.75" customHeight="1">
      <c r="A728" s="2" t="s">
        <v>1442</v>
      </c>
      <c r="B728" s="2" t="s">
        <v>1587</v>
      </c>
      <c r="C728" s="2" t="str">
        <f ca="1">IFERROR(__xludf.DUMMYFUNCTION("googletranslate(C728,""en"",""ne"")"),"गोदावरी नगरपालिका")</f>
        <v>गोदावरी नगरपालिका</v>
      </c>
      <c r="D728" s="3" t="str">
        <f ca="1">IFERROR(__xludf.DUMMYFUNCTION("googletranslate(D728,""en"",""ne"")"),"मेयर")</f>
        <v>मेयर</v>
      </c>
      <c r="E728" s="2" t="s">
        <v>11</v>
      </c>
      <c r="F728" s="2" t="s">
        <v>1590</v>
      </c>
      <c r="G728" s="2" t="s">
        <v>8</v>
      </c>
      <c r="H728" s="2" t="s">
        <v>23</v>
      </c>
      <c r="I728" s="2" t="s">
        <v>1591</v>
      </c>
    </row>
    <row r="729" spans="1:9" ht="15.75" customHeight="1">
      <c r="A729" s="2" t="s">
        <v>1442</v>
      </c>
      <c r="B729" s="2" t="s">
        <v>1587</v>
      </c>
      <c r="C729" s="2" t="str">
        <f ca="1">IFERROR(__xludf.DUMMYFUNCTION("googletranslate(C729,""en"",""ne"")"),"गौरीगंगा नगरपालिका")</f>
        <v>गौरीगंगा नगरपालिका</v>
      </c>
      <c r="D729" s="3" t="str">
        <f ca="1">IFERROR(__xludf.DUMMYFUNCTION("googletranslate(D729,""en"",""ne"")"),"मेयर")</f>
        <v>मेयर</v>
      </c>
      <c r="E729" s="2" t="s">
        <v>30</v>
      </c>
      <c r="F729" s="2" t="s">
        <v>1592</v>
      </c>
      <c r="G729" s="2" t="s">
        <v>8</v>
      </c>
      <c r="H729" s="2" t="s">
        <v>45</v>
      </c>
      <c r="I729" s="2" t="s">
        <v>1593</v>
      </c>
    </row>
    <row r="730" spans="1:9" ht="15.75" customHeight="1">
      <c r="A730" s="2" t="s">
        <v>1442</v>
      </c>
      <c r="B730" s="2" t="s">
        <v>1587</v>
      </c>
      <c r="C730" s="2" t="str">
        <f ca="1">IFERROR(__xludf.DUMMYFUNCTION("googletranslate(C730,""en"",""ne"")"),"घोडाघोडी नगरपालिका")</f>
        <v>घोडाघोडी नगरपालिका</v>
      </c>
      <c r="D730" s="3" t="str">
        <f ca="1">IFERROR(__xludf.DUMMYFUNCTION("googletranslate(D730,""en"",""ne"")"),"मेयर")</f>
        <v>मेयर</v>
      </c>
      <c r="E730" s="2" t="s">
        <v>39</v>
      </c>
      <c r="F730" s="2" t="s">
        <v>1594</v>
      </c>
      <c r="G730" s="2" t="s">
        <v>8</v>
      </c>
      <c r="H730" s="2" t="s">
        <v>159</v>
      </c>
      <c r="I730" s="2" t="s">
        <v>1595</v>
      </c>
    </row>
    <row r="731" spans="1:9" ht="15.75" customHeight="1">
      <c r="A731" s="2" t="s">
        <v>1442</v>
      </c>
      <c r="B731" s="2" t="s">
        <v>1587</v>
      </c>
      <c r="C731" s="2" t="str">
        <f ca="1">IFERROR(__xludf.DUMMYFUNCTION("googletranslate(C731,""en"",""ne"")"),"चुरेपालिका गाउँपालिका")</f>
        <v>चुरेपालिका गाउँपालिका</v>
      </c>
      <c r="D731" s="3" t="str">
        <f ca="1">IFERROR(__xludf.DUMMYFUNCTION("googletranslate(D731,""en"",""ne"")"),"अध्यक्ष")</f>
        <v>अध्यक्ष</v>
      </c>
      <c r="E731" s="2" t="s">
        <v>18</v>
      </c>
      <c r="F731" s="2" t="s">
        <v>1596</v>
      </c>
      <c r="G731" s="2" t="s">
        <v>8</v>
      </c>
      <c r="H731" s="2" t="s">
        <v>91</v>
      </c>
      <c r="I731" s="2" t="s">
        <v>1597</v>
      </c>
    </row>
    <row r="732" spans="1:9" ht="15.75" customHeight="1">
      <c r="A732" s="2" t="s">
        <v>1442</v>
      </c>
      <c r="B732" s="2" t="s">
        <v>1587</v>
      </c>
      <c r="C732" s="2" t="str">
        <f ca="1">IFERROR(__xludf.DUMMYFUNCTION("googletranslate(C732,""en"",""ne"")"),"जानकीपाल गाउँपालिका")</f>
        <v>जानकीपाल गाउँपालिका</v>
      </c>
      <c r="D732" s="3" t="str">
        <f ca="1">IFERROR(__xludf.DUMMYFUNCTION("googletranslate(D732,""en"",""ne"")"),"अध्यक्ष")</f>
        <v>अध्यक्ष</v>
      </c>
      <c r="E732" s="2" t="s">
        <v>1598</v>
      </c>
      <c r="F732" s="2" t="s">
        <v>1599</v>
      </c>
      <c r="G732" s="2" t="s">
        <v>8</v>
      </c>
      <c r="H732" s="2" t="s">
        <v>33</v>
      </c>
      <c r="I732" s="2" t="s">
        <v>1600</v>
      </c>
    </row>
    <row r="733" spans="1:9" ht="15.75" customHeight="1">
      <c r="A733" s="2" t="s">
        <v>1442</v>
      </c>
      <c r="B733" s="2" t="s">
        <v>1587</v>
      </c>
      <c r="C733" s="2" t="str">
        <f ca="1">IFERROR(__xludf.DUMMYFUNCTION("googletranslate(C733,""en"",""ne"")"),"जोशीपुर गाउँपालिका")</f>
        <v>जोशीपुर गाउँपालिका</v>
      </c>
      <c r="D733" s="3" t="str">
        <f ca="1">IFERROR(__xludf.DUMMYFUNCTION("googletranslate(D733,""en"",""ne"")"),"अध्यक्ष")</f>
        <v>अध्यक्ष</v>
      </c>
      <c r="E733" s="2" t="s">
        <v>1598</v>
      </c>
      <c r="F733" s="2" t="s">
        <v>1601</v>
      </c>
      <c r="G733" s="2" t="s">
        <v>8</v>
      </c>
      <c r="H733" s="2" t="s">
        <v>33</v>
      </c>
      <c r="I733" s="2" t="s">
        <v>1602</v>
      </c>
    </row>
    <row r="734" spans="1:9" ht="15.75" customHeight="1">
      <c r="A734" s="2" t="s">
        <v>1442</v>
      </c>
      <c r="B734" s="2" t="s">
        <v>1587</v>
      </c>
      <c r="C734" s="2" t="str">
        <f ca="1">IFERROR(__xludf.DUMMYFUNCTION("googletranslate(C734,""en"",""ne"")"),"टिकापुर नगरपालिका")</f>
        <v>टिकापुर नगरपालिका</v>
      </c>
      <c r="D734" s="3" t="str">
        <f ca="1">IFERROR(__xludf.DUMMYFUNCTION("googletranslate(D734,""en"",""ne"")"),"मेयर")</f>
        <v>मेयर</v>
      </c>
      <c r="E734" s="2" t="s">
        <v>1598</v>
      </c>
      <c r="F734" s="2" t="s">
        <v>1603</v>
      </c>
      <c r="G734" s="2" t="s">
        <v>8</v>
      </c>
      <c r="H734" s="2" t="s">
        <v>151</v>
      </c>
      <c r="I734" s="2" t="s">
        <v>1604</v>
      </c>
    </row>
    <row r="735" spans="1:9" ht="15.75" customHeight="1">
      <c r="A735" s="2" t="s">
        <v>1442</v>
      </c>
      <c r="B735" s="2" t="s">
        <v>1587</v>
      </c>
      <c r="C735" s="2" t="str">
        <f ca="1">IFERROR(__xludf.DUMMYFUNCTION("googletranslate(C735,""en"",""ne"")"),"धनगढी उपमहानगरपालिका")</f>
        <v>धनगढी उपमहानगरपालिका</v>
      </c>
      <c r="D735" s="3" t="str">
        <f ca="1">IFERROR(__xludf.DUMMYFUNCTION("googletranslate(D735,""en"",""ne"")"),"मेयर")</f>
        <v>मेयर</v>
      </c>
      <c r="E735" s="2" t="s">
        <v>105</v>
      </c>
      <c r="F735" s="2" t="s">
        <v>1605</v>
      </c>
      <c r="G735" s="2" t="s">
        <v>8</v>
      </c>
      <c r="H735" s="2" t="s">
        <v>61</v>
      </c>
      <c r="I735" s="2" t="s">
        <v>1606</v>
      </c>
    </row>
    <row r="736" spans="1:9" ht="15.75" customHeight="1">
      <c r="A736" s="2" t="s">
        <v>1442</v>
      </c>
      <c r="B736" s="2" t="s">
        <v>1587</v>
      </c>
      <c r="C736" s="2" t="str">
        <f ca="1">IFERROR(__xludf.DUMMYFUNCTION("googletranslate(C736,""en"",""ne"")"),"बर्दगोरी गाउँपालिका")</f>
        <v>बर्दगोरी गाउँपालिका</v>
      </c>
      <c r="D736" s="3" t="str">
        <f ca="1">IFERROR(__xludf.DUMMYFUNCTION("googletranslate(D736,""en"",""ne"")"),"अध्यक्ष")</f>
        <v>अध्यक्ष</v>
      </c>
      <c r="E736" s="2" t="s">
        <v>18</v>
      </c>
      <c r="F736" s="2" t="s">
        <v>1607</v>
      </c>
      <c r="G736" s="2" t="s">
        <v>8</v>
      </c>
      <c r="H736" s="2" t="s">
        <v>67</v>
      </c>
      <c r="I736" s="2" t="s">
        <v>1608</v>
      </c>
    </row>
    <row r="737" spans="1:9" ht="15.75" customHeight="1">
      <c r="A737" s="2" t="s">
        <v>1442</v>
      </c>
      <c r="B737" s="2" t="s">
        <v>1587</v>
      </c>
      <c r="C737" s="2" t="str">
        <f ca="1">IFERROR(__xludf.DUMMYFUNCTION("googletranslate(C737,""en"",""ne"")"),"भजनी नगरपालिका")</f>
        <v>भजनी नगरपालिका</v>
      </c>
      <c r="D737" s="3" t="str">
        <f ca="1">IFERROR(__xludf.DUMMYFUNCTION("googletranslate(D737,""en"",""ne"")"),"मेयर")</f>
        <v>मेयर</v>
      </c>
      <c r="E737" s="2" t="s">
        <v>1598</v>
      </c>
      <c r="F737" s="2" t="s">
        <v>1609</v>
      </c>
      <c r="G737" s="2" t="s">
        <v>8</v>
      </c>
      <c r="H737" s="2" t="s">
        <v>45</v>
      </c>
      <c r="I737" s="2" t="s">
        <v>1610</v>
      </c>
    </row>
    <row r="738" spans="1:9" ht="15.75" customHeight="1">
      <c r="A738" s="2" t="s">
        <v>1442</v>
      </c>
      <c r="B738" s="2" t="s">
        <v>1587</v>
      </c>
      <c r="C738" s="2" t="str">
        <f ca="1">IFERROR(__xludf.DUMMYFUNCTION("googletranslate(C738,""en"",""ne"")"),"मोहन्याल गाउँपालिका")</f>
        <v>मोहन्याल गाउँपालिका</v>
      </c>
      <c r="D738" s="3" t="str">
        <f ca="1">IFERROR(__xludf.DUMMYFUNCTION("googletranslate(D738,""en"",""ne"")"),"अध्यक्ष")</f>
        <v>अध्यक्ष</v>
      </c>
      <c r="E738" s="2" t="s">
        <v>30</v>
      </c>
      <c r="F738" s="2" t="s">
        <v>1611</v>
      </c>
      <c r="G738" s="2" t="s">
        <v>8</v>
      </c>
      <c r="H738" s="2" t="s">
        <v>242</v>
      </c>
      <c r="I738" s="2" t="s">
        <v>1612</v>
      </c>
    </row>
    <row r="739" spans="1:9" ht="15.75" customHeight="1">
      <c r="A739" s="2" t="s">
        <v>1442</v>
      </c>
      <c r="B739" s="2" t="s">
        <v>1587</v>
      </c>
      <c r="C739" s="2" t="str">
        <f ca="1">IFERROR(__xludf.DUMMYFUNCTION("googletranslate(C739,""en"",""ne"")"),"लम्की चुहा नगरपालिका")</f>
        <v>लम्की चुहा नगरपालिका</v>
      </c>
      <c r="D739" s="3" t="str">
        <f ca="1">IFERROR(__xludf.DUMMYFUNCTION("googletranslate(D739,""en"",""ne"")"),"मेयर")</f>
        <v>मेयर</v>
      </c>
      <c r="E739" s="2" t="s">
        <v>11</v>
      </c>
      <c r="F739" s="2" t="s">
        <v>1613</v>
      </c>
      <c r="G739" s="2" t="s">
        <v>32</v>
      </c>
      <c r="H739" s="2" t="s">
        <v>267</v>
      </c>
      <c r="I739" s="2" t="s">
        <v>1614</v>
      </c>
    </row>
    <row r="740" spans="1:9" ht="15.75" customHeight="1">
      <c r="A740" s="2" t="s">
        <v>1442</v>
      </c>
      <c r="B740" s="2" t="s">
        <v>1615</v>
      </c>
      <c r="C740" s="2" t="str">
        <f ca="1">IFERROR(__xludf.DUMMYFUNCTION("googletranslate(C740,""en"",""ne"")"),"कृष्णपुर नगरपालिका")</f>
        <v>कृष्णपुर नगरपालिका</v>
      </c>
      <c r="D740" s="3" t="str">
        <f ca="1">IFERROR(__xludf.DUMMYFUNCTION("googletranslate(D740,""en"",""ne"")"),"मेयर")</f>
        <v>मेयर</v>
      </c>
      <c r="E740" s="2" t="s">
        <v>11</v>
      </c>
      <c r="F740" s="2" t="s">
        <v>1616</v>
      </c>
      <c r="G740" s="2" t="s">
        <v>8</v>
      </c>
      <c r="H740" s="2" t="s">
        <v>16</v>
      </c>
      <c r="I740" s="2" t="s">
        <v>1617</v>
      </c>
    </row>
    <row r="741" spans="1:9" ht="15.75" customHeight="1">
      <c r="A741" s="2" t="s">
        <v>1442</v>
      </c>
      <c r="B741" s="2" t="s">
        <v>1615</v>
      </c>
      <c r="C741" s="2" t="str">
        <f ca="1">IFERROR(__xludf.DUMMYFUNCTION("googletranslate(C741,""en"",""ne"")"),"दोधारा चाँदनी नगरपालिका")</f>
        <v>दोधारा चाँदनी नगरपालिका</v>
      </c>
      <c r="D741" s="3" t="str">
        <f ca="1">IFERROR(__xludf.DUMMYFUNCTION("googletranslate(D741,""en"",""ne"")"),"मेयर")</f>
        <v>मेयर</v>
      </c>
      <c r="E741" s="2" t="s">
        <v>18</v>
      </c>
      <c r="F741" s="2" t="s">
        <v>1618</v>
      </c>
      <c r="G741" s="2" t="s">
        <v>8</v>
      </c>
      <c r="H741" s="2" t="s">
        <v>23</v>
      </c>
      <c r="I741" s="2" t="s">
        <v>1619</v>
      </c>
    </row>
    <row r="742" spans="1:9" ht="15.75" customHeight="1">
      <c r="A742" s="2" t="s">
        <v>1442</v>
      </c>
      <c r="B742" s="2" t="s">
        <v>1615</v>
      </c>
      <c r="C742" s="2" t="str">
        <f ca="1">IFERROR(__xludf.DUMMYFUNCTION("googletranslate(C742,""en"",""ne"")"),"पुनर्वास नगरपालिका")</f>
        <v>पुनर्वास नगरपालिका</v>
      </c>
      <c r="D742" s="3" t="str">
        <f ca="1">IFERROR(__xludf.DUMMYFUNCTION("googletranslate(D742,""en"",""ne"")"),"मेयर")</f>
        <v>मेयर</v>
      </c>
      <c r="E742" s="2" t="s">
        <v>11</v>
      </c>
      <c r="F742" s="2" t="s">
        <v>1620</v>
      </c>
      <c r="G742" s="2" t="s">
        <v>8</v>
      </c>
      <c r="H742" s="2" t="s">
        <v>45</v>
      </c>
      <c r="I742" s="2" t="s">
        <v>1621</v>
      </c>
    </row>
    <row r="743" spans="1:9" ht="15.75" customHeight="1">
      <c r="A743" s="2" t="s">
        <v>1442</v>
      </c>
      <c r="B743" s="2" t="s">
        <v>1615</v>
      </c>
      <c r="C743" s="2" t="str">
        <f ca="1">IFERROR(__xludf.DUMMYFUNCTION("googletranslate(C743,""en"",""ne"")"),"बेलडाडी गाउँपालिका")</f>
        <v>बेलडाडी गाउँपालिका</v>
      </c>
      <c r="D743" s="3" t="str">
        <f ca="1">IFERROR(__xludf.DUMMYFUNCTION("googletranslate(D743,""en"",""ne"")"),"अध्यक्ष")</f>
        <v>अध्यक्ष</v>
      </c>
      <c r="E743" s="2" t="s">
        <v>11</v>
      </c>
      <c r="F743" s="2" t="s">
        <v>1622</v>
      </c>
      <c r="G743" s="2" t="s">
        <v>8</v>
      </c>
      <c r="H743" s="2" t="s">
        <v>151</v>
      </c>
      <c r="I743" s="2" t="s">
        <v>1623</v>
      </c>
    </row>
    <row r="744" spans="1:9" ht="15.75" customHeight="1">
      <c r="A744" s="2" t="s">
        <v>1442</v>
      </c>
      <c r="B744" s="2" t="s">
        <v>1615</v>
      </c>
      <c r="C744" s="2" t="str">
        <f ca="1">IFERROR(__xludf.DUMMYFUNCTION("googletranslate(C744,""en"",""ne"")"),"बेलौरी नगरपालिका")</f>
        <v>बेलौरी नगरपालिका</v>
      </c>
      <c r="D744" s="3" t="str">
        <f ca="1">IFERROR(__xludf.DUMMYFUNCTION("googletranslate(D744,""en"",""ne"")"),"मेयर")</f>
        <v>मेयर</v>
      </c>
      <c r="E744" s="2" t="s">
        <v>30</v>
      </c>
      <c r="F744" s="2" t="s">
        <v>1624</v>
      </c>
      <c r="G744" s="2" t="s">
        <v>8</v>
      </c>
      <c r="H744" s="2" t="s">
        <v>151</v>
      </c>
      <c r="I744" s="2" t="s">
        <v>1625</v>
      </c>
    </row>
    <row r="745" spans="1:9" ht="15.75" customHeight="1">
      <c r="A745" s="2" t="s">
        <v>1442</v>
      </c>
      <c r="B745" s="2" t="s">
        <v>1615</v>
      </c>
      <c r="C745" s="2" t="str">
        <f ca="1">IFERROR(__xludf.DUMMYFUNCTION("googletranslate(C745,""en"",""ne"")"),"भीमदत्त नगरपालिका")</f>
        <v>भीमदत्त नगरपालिका</v>
      </c>
      <c r="D745" s="3" t="str">
        <f ca="1">IFERROR(__xludf.DUMMYFUNCTION("googletranslate(D745,""en"",""ne"")"),"मेयर")</f>
        <v>मेयर</v>
      </c>
      <c r="E745" s="2" t="s">
        <v>11</v>
      </c>
      <c r="F745" s="2" t="s">
        <v>1626</v>
      </c>
      <c r="G745" s="2" t="s">
        <v>8</v>
      </c>
      <c r="H745" s="2" t="s">
        <v>9</v>
      </c>
      <c r="I745" s="2" t="s">
        <v>1627</v>
      </c>
    </row>
    <row r="746" spans="1:9" ht="15.75" customHeight="1">
      <c r="A746" s="2" t="s">
        <v>1442</v>
      </c>
      <c r="B746" s="2" t="s">
        <v>1615</v>
      </c>
      <c r="C746" s="2" t="str">
        <f ca="1">IFERROR(__xludf.DUMMYFUNCTION("googletranslate(C746,""en"",""ne"")"),"लालझाँडी गाउँपालिका")</f>
        <v>लालझाँडी गाउँपालिका</v>
      </c>
      <c r="D746" s="3" t="str">
        <f ca="1">IFERROR(__xludf.DUMMYFUNCTION("googletranslate(D746,""en"",""ne"")"),"अध्यक्ष")</f>
        <v>अध्यक्ष</v>
      </c>
      <c r="E746" s="2" t="s">
        <v>18</v>
      </c>
      <c r="F746" s="2" t="s">
        <v>1628</v>
      </c>
      <c r="G746" s="2" t="s">
        <v>8</v>
      </c>
      <c r="H746" s="2" t="s">
        <v>172</v>
      </c>
      <c r="I746" s="2" t="s">
        <v>1629</v>
      </c>
    </row>
    <row r="747" spans="1:9" ht="15.75" customHeight="1">
      <c r="A747" s="2" t="s">
        <v>1442</v>
      </c>
      <c r="B747" s="2" t="s">
        <v>1615</v>
      </c>
      <c r="C747" s="2" t="str">
        <f ca="1">IFERROR(__xludf.DUMMYFUNCTION("googletranslate(C747,""en"",""ne"")"),"वेदकोट नगरपालिका")</f>
        <v>वेदकोट नगरपालिका</v>
      </c>
      <c r="D747" s="3" t="str">
        <f ca="1">IFERROR(__xludf.DUMMYFUNCTION("googletranslate(D747,""en"",""ne"")"),"मेयर")</f>
        <v>मेयर</v>
      </c>
      <c r="E747" s="2" t="s">
        <v>11</v>
      </c>
      <c r="F747" s="2" t="s">
        <v>1630</v>
      </c>
      <c r="G747" s="2" t="s">
        <v>8</v>
      </c>
      <c r="H747" s="2" t="s">
        <v>9</v>
      </c>
      <c r="I747" s="2" t="s">
        <v>1631</v>
      </c>
    </row>
    <row r="748" spans="1:9" ht="15.75" customHeight="1">
      <c r="A748" s="2" t="s">
        <v>1442</v>
      </c>
      <c r="B748" s="2" t="s">
        <v>1615</v>
      </c>
      <c r="C748" s="2" t="str">
        <f ca="1">IFERROR(__xludf.DUMMYFUNCTION("googletranslate(C748,""en"",""ne"")"),"सुक्लाफाँटा नगरपालिका")</f>
        <v>सुक्लाफाँटा नगरपालिका</v>
      </c>
      <c r="D748" s="3" t="str">
        <f ca="1">IFERROR(__xludf.DUMMYFUNCTION("googletranslate(D748,""en"",""ne"")"),"मेयर")</f>
        <v>मेयर</v>
      </c>
      <c r="E748" s="2" t="s">
        <v>18</v>
      </c>
      <c r="F748" s="2" t="s">
        <v>1632</v>
      </c>
      <c r="G748" s="2" t="s">
        <v>8</v>
      </c>
      <c r="H748" s="2" t="s">
        <v>45</v>
      </c>
      <c r="I748" s="2" t="s">
        <v>1633</v>
      </c>
    </row>
    <row r="749" spans="1:9" ht="15.75" customHeight="1"/>
    <row r="750" spans="1:9" ht="15.75" customHeight="1"/>
    <row r="751" spans="1:9" ht="15.75" customHeight="1"/>
    <row r="752" spans="1:9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2024-05-28T11:34:40Z</dcterms:modified>
</cp:coreProperties>
</file>