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BR\Desktop\physics_labs\level2_labs\coulomb_force\"/>
    </mc:Choice>
  </mc:AlternateContent>
  <xr:revisionPtr revIDLastSave="0" documentId="13_ncr:1_{DA2BB16D-2D96-4001-BAA9-84DE90D1CA18}" xr6:coauthVersionLast="47" xr6:coauthVersionMax="47" xr10:uidLastSave="{00000000-0000-0000-0000-000000000000}"/>
  <bookViews>
    <workbookView xWindow="504" yWindow="564" windowWidth="12000" windowHeight="11256" activeTab="2" xr2:uid="{00000000-000D-0000-FFFF-FFFF00000000}"/>
  </bookViews>
  <sheets>
    <sheet name="Calibration" sheetId="1" r:id="rId1"/>
    <sheet name="Part5" sheetId="2" r:id="rId2"/>
    <sheet name="Merged-Part5" sheetId="5" r:id="rId3"/>
    <sheet name="Part6" sheetId="3" r:id="rId4"/>
    <sheet name="Part8" sheetId="4" r:id="rId5"/>
  </sheets>
  <definedNames>
    <definedName name="solver_adj" localSheetId="2" hidden="1">'Merged-Part5'!$L$18:$L$19</definedName>
    <definedName name="solver_adj" localSheetId="4" hidden="1">Part8!$I$4</definedName>
    <definedName name="solver_cvg" localSheetId="2" hidden="1">0.0001</definedName>
    <definedName name="solver_cvg" localSheetId="4" hidden="1">0.0001</definedName>
    <definedName name="solver_drv" localSheetId="2" hidden="1">2</definedName>
    <definedName name="solver_drv" localSheetId="4" hidden="1">1</definedName>
    <definedName name="solver_eng" localSheetId="2" hidden="1">1</definedName>
    <definedName name="solver_eng" localSheetId="4" hidden="1">1</definedName>
    <definedName name="solver_est" localSheetId="2" hidden="1">1</definedName>
    <definedName name="solver_est" localSheetId="4" hidden="1">1</definedName>
    <definedName name="solver_itr" localSheetId="2" hidden="1">2147483647</definedName>
    <definedName name="solver_itr" localSheetId="4" hidden="1">2147483647</definedName>
    <definedName name="solver_mip" localSheetId="2" hidden="1">2147483647</definedName>
    <definedName name="solver_mip" localSheetId="4" hidden="1">2147483647</definedName>
    <definedName name="solver_mni" localSheetId="2" hidden="1">30</definedName>
    <definedName name="solver_mni" localSheetId="4" hidden="1">30</definedName>
    <definedName name="solver_mrt" localSheetId="2" hidden="1">0.075</definedName>
    <definedName name="solver_mrt" localSheetId="4" hidden="1">0.075</definedName>
    <definedName name="solver_msl" localSheetId="2" hidden="1">2</definedName>
    <definedName name="solver_msl" localSheetId="4" hidden="1">2</definedName>
    <definedName name="solver_neg" localSheetId="2" hidden="1">2</definedName>
    <definedName name="solver_neg" localSheetId="4" hidden="1">2</definedName>
    <definedName name="solver_nod" localSheetId="2" hidden="1">2147483647</definedName>
    <definedName name="solver_nod" localSheetId="4" hidden="1">2147483647</definedName>
    <definedName name="solver_num" localSheetId="2" hidden="1">0</definedName>
    <definedName name="solver_num" localSheetId="4" hidden="1">0</definedName>
    <definedName name="solver_nwt" localSheetId="2" hidden="1">1</definedName>
    <definedName name="solver_nwt" localSheetId="4" hidden="1">1</definedName>
    <definedName name="solver_opt" localSheetId="2" hidden="1">'Merged-Part5'!$R$37</definedName>
    <definedName name="solver_opt" localSheetId="4" hidden="1">Part8!$Q$14</definedName>
    <definedName name="solver_pre" localSheetId="2" hidden="1">0.000001</definedName>
    <definedName name="solver_pre" localSheetId="4" hidden="1">0.000001</definedName>
    <definedName name="solver_rbv" localSheetId="2" hidden="1">2</definedName>
    <definedName name="solver_rbv" localSheetId="4" hidden="1">1</definedName>
    <definedName name="solver_rlx" localSheetId="2" hidden="1">2</definedName>
    <definedName name="solver_rlx" localSheetId="4" hidden="1">2</definedName>
    <definedName name="solver_rsd" localSheetId="2" hidden="1">0</definedName>
    <definedName name="solver_rsd" localSheetId="4" hidden="1">0</definedName>
    <definedName name="solver_scl" localSheetId="2" hidden="1">2</definedName>
    <definedName name="solver_scl" localSheetId="4" hidden="1">1</definedName>
    <definedName name="solver_sho" localSheetId="2" hidden="1">2</definedName>
    <definedName name="solver_sho" localSheetId="4" hidden="1">2</definedName>
    <definedName name="solver_ssz" localSheetId="2" hidden="1">100</definedName>
    <definedName name="solver_ssz" localSheetId="4" hidden="1">100</definedName>
    <definedName name="solver_tim" localSheetId="2" hidden="1">2147483647</definedName>
    <definedName name="solver_tim" localSheetId="4" hidden="1">2147483647</definedName>
    <definedName name="solver_tol" localSheetId="2" hidden="1">0.01</definedName>
    <definedName name="solver_tol" localSheetId="4" hidden="1">0.01</definedName>
    <definedName name="solver_typ" localSheetId="2" hidden="1">2</definedName>
    <definedName name="solver_typ" localSheetId="4" hidden="1">2</definedName>
    <definedName name="solver_val" localSheetId="2" hidden="1">0</definedName>
    <definedName name="solver_val" localSheetId="4" hidden="1">0</definedName>
    <definedName name="solver_ver" localSheetId="2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  <c r="G3" i="5"/>
  <c r="B40" i="5"/>
  <c r="C56" i="5" s="1"/>
  <c r="B51" i="5"/>
  <c r="B52" i="5"/>
  <c r="B53" i="5"/>
  <c r="B41" i="5"/>
  <c r="B42" i="5"/>
  <c r="B43" i="5"/>
  <c r="B44" i="5"/>
  <c r="B45" i="5"/>
  <c r="B46" i="5"/>
  <c r="B47" i="5"/>
  <c r="B48" i="5"/>
  <c r="B49" i="5"/>
  <c r="B50" i="5"/>
  <c r="N8" i="4"/>
  <c r="O8" i="4" s="1"/>
  <c r="P8" i="4" s="1"/>
  <c r="Q8" i="4" s="1"/>
  <c r="N9" i="4"/>
  <c r="O9" i="4" s="1"/>
  <c r="P9" i="4" s="1"/>
  <c r="Q9" i="4" s="1"/>
  <c r="N10" i="4"/>
  <c r="O10" i="4" s="1"/>
  <c r="P10" i="4" s="1"/>
  <c r="Q10" i="4" s="1"/>
  <c r="N11" i="4"/>
  <c r="O11" i="4" s="1"/>
  <c r="P11" i="4" s="1"/>
  <c r="Q11" i="4" s="1"/>
  <c r="N12" i="4"/>
  <c r="O12" i="4" s="1"/>
  <c r="P12" i="4" s="1"/>
  <c r="Q12" i="4" s="1"/>
  <c r="N7" i="4"/>
  <c r="O7" i="4" s="1"/>
  <c r="P7" i="4" s="1"/>
  <c r="Q7" i="4" s="1"/>
  <c r="L7" i="4"/>
  <c r="M12" i="4"/>
  <c r="M11" i="4"/>
  <c r="M8" i="4"/>
  <c r="M9" i="4"/>
  <c r="M10" i="4"/>
  <c r="M7" i="4"/>
  <c r="L8" i="4"/>
  <c r="L9" i="4"/>
  <c r="L10" i="4"/>
  <c r="L11" i="4"/>
  <c r="L12" i="4"/>
  <c r="K8" i="4"/>
  <c r="K9" i="4"/>
  <c r="K10" i="4"/>
  <c r="K11" i="4"/>
  <c r="K12" i="4"/>
  <c r="K7" i="4"/>
  <c r="J8" i="4"/>
  <c r="J9" i="4"/>
  <c r="J10" i="4"/>
  <c r="J11" i="4"/>
  <c r="J12" i="4"/>
  <c r="J7" i="4"/>
  <c r="I8" i="4"/>
  <c r="I9" i="4"/>
  <c r="I10" i="4"/>
  <c r="I11" i="4"/>
  <c r="I12" i="4"/>
  <c r="I7" i="4"/>
  <c r="H8" i="4"/>
  <c r="H9" i="4"/>
  <c r="H10" i="4"/>
  <c r="H11" i="4"/>
  <c r="H12" i="4"/>
  <c r="H7" i="4"/>
  <c r="AP13" i="5"/>
  <c r="AP14" i="5"/>
  <c r="AP15" i="5"/>
  <c r="AP16" i="5"/>
  <c r="AO13" i="5"/>
  <c r="AO14" i="5"/>
  <c r="AO15" i="5"/>
  <c r="AO16" i="5"/>
  <c r="AN13" i="5"/>
  <c r="AN14" i="5"/>
  <c r="AN15" i="5"/>
  <c r="AN16" i="5"/>
  <c r="AM13" i="5"/>
  <c r="AM14" i="5"/>
  <c r="AM15" i="5"/>
  <c r="AM16" i="5"/>
  <c r="O23" i="5"/>
  <c r="P23" i="5" s="1"/>
  <c r="Q23" i="5" s="1"/>
  <c r="R23" i="5" s="1"/>
  <c r="O24" i="5"/>
  <c r="P24" i="5" s="1"/>
  <c r="Q24" i="5" s="1"/>
  <c r="R24" i="5" s="1"/>
  <c r="O25" i="5"/>
  <c r="P25" i="5" s="1"/>
  <c r="Q25" i="5" s="1"/>
  <c r="R25" i="5" s="1"/>
  <c r="O26" i="5"/>
  <c r="P26" i="5" s="1"/>
  <c r="Q26" i="5" s="1"/>
  <c r="R26" i="5" s="1"/>
  <c r="O27" i="5"/>
  <c r="P27" i="5" s="1"/>
  <c r="Q27" i="5" s="1"/>
  <c r="R27" i="5" s="1"/>
  <c r="O28" i="5"/>
  <c r="P28" i="5" s="1"/>
  <c r="Q28" i="5" s="1"/>
  <c r="R28" i="5" s="1"/>
  <c r="O29" i="5"/>
  <c r="P29" i="5" s="1"/>
  <c r="Q29" i="5" s="1"/>
  <c r="R29" i="5" s="1"/>
  <c r="O30" i="5"/>
  <c r="P30" i="5" s="1"/>
  <c r="Q30" i="5" s="1"/>
  <c r="R30" i="5" s="1"/>
  <c r="O31" i="5"/>
  <c r="P31" i="5" s="1"/>
  <c r="Q31" i="5" s="1"/>
  <c r="R31" i="5" s="1"/>
  <c r="O32" i="5"/>
  <c r="P32" i="5" s="1"/>
  <c r="Q32" i="5" s="1"/>
  <c r="R32" i="5" s="1"/>
  <c r="O33" i="5"/>
  <c r="P33" i="5" s="1"/>
  <c r="Q33" i="5" s="1"/>
  <c r="R33" i="5" s="1"/>
  <c r="O34" i="5"/>
  <c r="P34" i="5" s="1"/>
  <c r="Q34" i="5" s="1"/>
  <c r="R34" i="5" s="1"/>
  <c r="O35" i="5"/>
  <c r="P35" i="5" s="1"/>
  <c r="Q35" i="5" s="1"/>
  <c r="R35" i="5" s="1"/>
  <c r="O22" i="5"/>
  <c r="P22" i="5" s="1"/>
  <c r="Q22" i="5" s="1"/>
  <c r="R22" i="5" s="1"/>
  <c r="K35" i="5"/>
  <c r="J35" i="5"/>
  <c r="F35" i="5"/>
  <c r="L35" i="5" s="1"/>
  <c r="C35" i="5"/>
  <c r="H35" i="5" s="1"/>
  <c r="K34" i="5"/>
  <c r="J34" i="5"/>
  <c r="F34" i="5"/>
  <c r="G34" i="5" s="1"/>
  <c r="I34" i="5" s="1"/>
  <c r="C34" i="5"/>
  <c r="H34" i="5" s="1"/>
  <c r="J33" i="5"/>
  <c r="F33" i="5"/>
  <c r="G33" i="5" s="1"/>
  <c r="I33" i="5" s="1"/>
  <c r="C33" i="5"/>
  <c r="H33" i="5" s="1"/>
  <c r="K32" i="5"/>
  <c r="J32" i="5"/>
  <c r="G32" i="5"/>
  <c r="I32" i="5" s="1"/>
  <c r="F32" i="5"/>
  <c r="L32" i="5" s="1"/>
  <c r="C32" i="5"/>
  <c r="H32" i="5" s="1"/>
  <c r="L31" i="5"/>
  <c r="J31" i="5"/>
  <c r="F31" i="5"/>
  <c r="K31" i="5" s="1"/>
  <c r="C31" i="5"/>
  <c r="H31" i="5" s="1"/>
  <c r="J30" i="5"/>
  <c r="F30" i="5"/>
  <c r="L30" i="5" s="1"/>
  <c r="C30" i="5"/>
  <c r="H30" i="5" s="1"/>
  <c r="K29" i="5"/>
  <c r="J29" i="5"/>
  <c r="G29" i="5"/>
  <c r="I29" i="5" s="1"/>
  <c r="F29" i="5"/>
  <c r="L29" i="5" s="1"/>
  <c r="C29" i="5"/>
  <c r="H29" i="5" s="1"/>
  <c r="E28" i="5"/>
  <c r="D28" i="5"/>
  <c r="J28" i="5" s="1"/>
  <c r="C28" i="5"/>
  <c r="H28" i="5" s="1"/>
  <c r="J27" i="5"/>
  <c r="H27" i="5"/>
  <c r="D27" i="5"/>
  <c r="F27" i="5" s="1"/>
  <c r="C27" i="5"/>
  <c r="J26" i="5"/>
  <c r="D26" i="5"/>
  <c r="F26" i="5" s="1"/>
  <c r="C26" i="5"/>
  <c r="H26" i="5" s="1"/>
  <c r="H25" i="5"/>
  <c r="D25" i="5"/>
  <c r="F25" i="5" s="1"/>
  <c r="C25" i="5"/>
  <c r="L24" i="5"/>
  <c r="K24" i="5"/>
  <c r="J24" i="5"/>
  <c r="H24" i="5"/>
  <c r="F24" i="5"/>
  <c r="G24" i="5" s="1"/>
  <c r="I24" i="5" s="1"/>
  <c r="N24" i="5" s="1"/>
  <c r="C24" i="5"/>
  <c r="L23" i="5"/>
  <c r="K23" i="5"/>
  <c r="J23" i="5"/>
  <c r="F23" i="5"/>
  <c r="G23" i="5" s="1"/>
  <c r="I23" i="5" s="1"/>
  <c r="N23" i="5" s="1"/>
  <c r="C23" i="5"/>
  <c r="H23" i="5" s="1"/>
  <c r="L22" i="5"/>
  <c r="J22" i="5"/>
  <c r="F22" i="5"/>
  <c r="K22" i="5" s="1"/>
  <c r="C22" i="5"/>
  <c r="H22" i="5" s="1"/>
  <c r="N4" i="5"/>
  <c r="N5" i="5"/>
  <c r="N6" i="5"/>
  <c r="N7" i="5"/>
  <c r="N8" i="5"/>
  <c r="N9" i="5"/>
  <c r="N10" i="5"/>
  <c r="N11" i="5"/>
  <c r="N12" i="5"/>
  <c r="N13" i="5"/>
  <c r="M4" i="5"/>
  <c r="M5" i="5"/>
  <c r="M6" i="5"/>
  <c r="M7" i="5"/>
  <c r="M8" i="5"/>
  <c r="M9" i="5"/>
  <c r="M10" i="5"/>
  <c r="M11" i="5"/>
  <c r="M12" i="5"/>
  <c r="M13" i="5"/>
  <c r="L4" i="5"/>
  <c r="L5" i="5"/>
  <c r="L6" i="5"/>
  <c r="L7" i="5"/>
  <c r="L8" i="5"/>
  <c r="L9" i="5"/>
  <c r="L10" i="5"/>
  <c r="L11" i="5"/>
  <c r="L12" i="5"/>
  <c r="L13" i="5"/>
  <c r="L3" i="5"/>
  <c r="K4" i="5"/>
  <c r="K5" i="5"/>
  <c r="K6" i="5"/>
  <c r="K7" i="5"/>
  <c r="K8" i="5"/>
  <c r="K9" i="5"/>
  <c r="K10" i="5"/>
  <c r="K11" i="5"/>
  <c r="K12" i="5"/>
  <c r="K13" i="5"/>
  <c r="K3" i="5"/>
  <c r="AM3" i="5"/>
  <c r="N3" i="5"/>
  <c r="M3" i="5"/>
  <c r="AO6" i="5"/>
  <c r="AN5" i="5"/>
  <c r="AP5" i="5" s="1"/>
  <c r="AN9" i="5"/>
  <c r="AP9" i="5" s="1"/>
  <c r="AN10" i="5"/>
  <c r="AN11" i="5"/>
  <c r="AM6" i="5"/>
  <c r="AM8" i="5"/>
  <c r="AO8" i="5" s="1"/>
  <c r="AM9" i="5"/>
  <c r="AO9" i="5" s="1"/>
  <c r="AM10" i="5"/>
  <c r="AO10" i="5" s="1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3" i="5"/>
  <c r="J4" i="5"/>
  <c r="J5" i="5"/>
  <c r="J8" i="5"/>
  <c r="J9" i="5"/>
  <c r="J10" i="5"/>
  <c r="J12" i="5"/>
  <c r="J13" i="5"/>
  <c r="F13" i="5"/>
  <c r="G13" i="5" s="1"/>
  <c r="I13" i="5" s="1"/>
  <c r="C13" i="5"/>
  <c r="H13" i="5" s="1"/>
  <c r="F12" i="5"/>
  <c r="G12" i="5" s="1"/>
  <c r="I12" i="5" s="1"/>
  <c r="C12" i="5"/>
  <c r="H12" i="5" s="1"/>
  <c r="D11" i="5"/>
  <c r="F11" i="5" s="1"/>
  <c r="G11" i="5" s="1"/>
  <c r="I11" i="5" s="1"/>
  <c r="C11" i="5"/>
  <c r="H11" i="5" s="1"/>
  <c r="F10" i="5"/>
  <c r="G10" i="5" s="1"/>
  <c r="I10" i="5" s="1"/>
  <c r="C10" i="5"/>
  <c r="H10" i="5" s="1"/>
  <c r="AH16" i="5"/>
  <c r="AI16" i="5" s="1"/>
  <c r="AK16" i="5" s="1"/>
  <c r="AD16" i="5"/>
  <c r="AJ16" i="5" s="1"/>
  <c r="AH15" i="5"/>
  <c r="AI15" i="5" s="1"/>
  <c r="AK15" i="5" s="1"/>
  <c r="AD15" i="5"/>
  <c r="AJ15" i="5" s="1"/>
  <c r="AH14" i="5"/>
  <c r="AI14" i="5" s="1"/>
  <c r="AK14" i="5" s="1"/>
  <c r="AD14" i="5"/>
  <c r="AJ14" i="5" s="1"/>
  <c r="AH13" i="5"/>
  <c r="AI13" i="5" s="1"/>
  <c r="AK13" i="5" s="1"/>
  <c r="AD13" i="5"/>
  <c r="AJ13" i="5" s="1"/>
  <c r="AH12" i="5"/>
  <c r="AI12" i="5" s="1"/>
  <c r="AK12" i="5" s="1"/>
  <c r="AD12" i="5"/>
  <c r="AJ12" i="5" s="1"/>
  <c r="AH11" i="5"/>
  <c r="AI11" i="5" s="1"/>
  <c r="AK11" i="5" s="1"/>
  <c r="AP11" i="5" s="1"/>
  <c r="AD11" i="5"/>
  <c r="AJ11" i="5" s="1"/>
  <c r="AH10" i="5"/>
  <c r="AI10" i="5" s="1"/>
  <c r="AK10" i="5" s="1"/>
  <c r="AP10" i="5" s="1"/>
  <c r="AD10" i="5"/>
  <c r="AJ10" i="5" s="1"/>
  <c r="AH9" i="5"/>
  <c r="AI9" i="5" s="1"/>
  <c r="AK9" i="5" s="1"/>
  <c r="AD9" i="5"/>
  <c r="AJ9" i="5" s="1"/>
  <c r="AH8" i="5"/>
  <c r="AI8" i="5" s="1"/>
  <c r="AK8" i="5" s="1"/>
  <c r="AD8" i="5"/>
  <c r="AJ8" i="5" s="1"/>
  <c r="AH7" i="5"/>
  <c r="AI7" i="5" s="1"/>
  <c r="AK7" i="5" s="1"/>
  <c r="AD7" i="5"/>
  <c r="AJ7" i="5" s="1"/>
  <c r="AH6" i="5"/>
  <c r="AI6" i="5" s="1"/>
  <c r="AK6" i="5" s="1"/>
  <c r="AD6" i="5"/>
  <c r="AJ6" i="5" s="1"/>
  <c r="AH5" i="5"/>
  <c r="AI5" i="5" s="1"/>
  <c r="AK5" i="5" s="1"/>
  <c r="AD5" i="5"/>
  <c r="AJ5" i="5" s="1"/>
  <c r="AH4" i="5"/>
  <c r="AI4" i="5" s="1"/>
  <c r="AK4" i="5" s="1"/>
  <c r="AD4" i="5"/>
  <c r="AJ4" i="5" s="1"/>
  <c r="AH3" i="5"/>
  <c r="AN3" i="5" s="1"/>
  <c r="AD3" i="5"/>
  <c r="AJ3" i="5" s="1"/>
  <c r="E9" i="5"/>
  <c r="D9" i="5"/>
  <c r="F9" i="5" s="1"/>
  <c r="G9" i="5" s="1"/>
  <c r="I9" i="5" s="1"/>
  <c r="C9" i="5"/>
  <c r="H9" i="5" s="1"/>
  <c r="D8" i="5"/>
  <c r="F8" i="5" s="1"/>
  <c r="G8" i="5" s="1"/>
  <c r="I8" i="5" s="1"/>
  <c r="C8" i="5"/>
  <c r="H8" i="5" s="1"/>
  <c r="D7" i="5"/>
  <c r="F7" i="5" s="1"/>
  <c r="G7" i="5" s="1"/>
  <c r="I7" i="5" s="1"/>
  <c r="C7" i="5"/>
  <c r="H7" i="5" s="1"/>
  <c r="D6" i="5"/>
  <c r="F6" i="5" s="1"/>
  <c r="G6" i="5" s="1"/>
  <c r="I6" i="5" s="1"/>
  <c r="C6" i="5"/>
  <c r="H6" i="5" s="1"/>
  <c r="F5" i="5"/>
  <c r="G5" i="5" s="1"/>
  <c r="I5" i="5" s="1"/>
  <c r="C5" i="5"/>
  <c r="H5" i="5" s="1"/>
  <c r="F4" i="5"/>
  <c r="G4" i="5" s="1"/>
  <c r="I4" i="5" s="1"/>
  <c r="C4" i="5"/>
  <c r="H4" i="5" s="1"/>
  <c r="F3" i="5"/>
  <c r="I3" i="5" s="1"/>
  <c r="C3" i="5"/>
  <c r="H3" i="5" s="1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31" i="2"/>
  <c r="U44" i="2"/>
  <c r="S32" i="2"/>
  <c r="T32" i="2" s="1"/>
  <c r="V32" i="2" s="1"/>
  <c r="S33" i="2"/>
  <c r="T33" i="2" s="1"/>
  <c r="V33" i="2" s="1"/>
  <c r="S34" i="2"/>
  <c r="T34" i="2" s="1"/>
  <c r="V34" i="2" s="1"/>
  <c r="S35" i="2"/>
  <c r="T35" i="2" s="1"/>
  <c r="V35" i="2" s="1"/>
  <c r="S36" i="2"/>
  <c r="T36" i="2" s="1"/>
  <c r="V36" i="2" s="1"/>
  <c r="S37" i="2"/>
  <c r="T37" i="2" s="1"/>
  <c r="V37" i="2" s="1"/>
  <c r="S38" i="2"/>
  <c r="T38" i="2" s="1"/>
  <c r="V38" i="2" s="1"/>
  <c r="S39" i="2"/>
  <c r="T39" i="2" s="1"/>
  <c r="V39" i="2" s="1"/>
  <c r="S40" i="2"/>
  <c r="T40" i="2" s="1"/>
  <c r="V40" i="2" s="1"/>
  <c r="S41" i="2"/>
  <c r="T41" i="2" s="1"/>
  <c r="V41" i="2" s="1"/>
  <c r="S42" i="2"/>
  <c r="T42" i="2" s="1"/>
  <c r="V42" i="2" s="1"/>
  <c r="S43" i="2"/>
  <c r="T43" i="2" s="1"/>
  <c r="V43" i="2" s="1"/>
  <c r="S44" i="2"/>
  <c r="T44" i="2" s="1"/>
  <c r="V44" i="2" s="1"/>
  <c r="S31" i="2"/>
  <c r="T31" i="2" s="1"/>
  <c r="V31" i="2" s="1"/>
  <c r="O32" i="2"/>
  <c r="U32" i="2" s="1"/>
  <c r="O33" i="2"/>
  <c r="U33" i="2" s="1"/>
  <c r="O34" i="2"/>
  <c r="U34" i="2" s="1"/>
  <c r="O35" i="2"/>
  <c r="U35" i="2" s="1"/>
  <c r="O36" i="2"/>
  <c r="U36" i="2" s="1"/>
  <c r="O37" i="2"/>
  <c r="U37" i="2" s="1"/>
  <c r="O38" i="2"/>
  <c r="U38" i="2" s="1"/>
  <c r="O39" i="2"/>
  <c r="U39" i="2" s="1"/>
  <c r="O40" i="2"/>
  <c r="U40" i="2" s="1"/>
  <c r="O41" i="2"/>
  <c r="U41" i="2" s="1"/>
  <c r="O42" i="2"/>
  <c r="U42" i="2" s="1"/>
  <c r="O43" i="2"/>
  <c r="U43" i="2" s="1"/>
  <c r="O44" i="2"/>
  <c r="O31" i="2"/>
  <c r="U31" i="2" s="1"/>
  <c r="F12" i="4"/>
  <c r="G12" i="4" s="1"/>
  <c r="F11" i="4"/>
  <c r="G11" i="4" s="1"/>
  <c r="F10" i="4"/>
  <c r="G10" i="4" s="1"/>
  <c r="F9" i="4"/>
  <c r="G9" i="4" s="1"/>
  <c r="F8" i="4"/>
  <c r="G8" i="4" s="1"/>
  <c r="F7" i="4"/>
  <c r="G7" i="4" s="1"/>
  <c r="F18" i="2"/>
  <c r="C18" i="2"/>
  <c r="H18" i="2" s="1"/>
  <c r="H17" i="2"/>
  <c r="F17" i="2"/>
  <c r="G17" i="2" s="1"/>
  <c r="C17" i="2"/>
  <c r="J17" i="2" s="1"/>
  <c r="D16" i="2"/>
  <c r="F16" i="2" s="1"/>
  <c r="G16" i="2" s="1"/>
  <c r="C16" i="2"/>
  <c r="H16" i="2" s="1"/>
  <c r="F15" i="2"/>
  <c r="G15" i="2" s="1"/>
  <c r="C15" i="2"/>
  <c r="H15" i="2" s="1"/>
  <c r="C12" i="4"/>
  <c r="C11" i="4"/>
  <c r="C10" i="4"/>
  <c r="C9" i="4"/>
  <c r="C8" i="4"/>
  <c r="D4" i="4"/>
  <c r="E59" i="5" l="1"/>
  <c r="E58" i="5"/>
  <c r="C55" i="5"/>
  <c r="Q14" i="4"/>
  <c r="K3" i="4" s="1"/>
  <c r="R37" i="5"/>
  <c r="O18" i="5" s="1"/>
  <c r="N29" i="5"/>
  <c r="M34" i="5"/>
  <c r="K33" i="5"/>
  <c r="M33" i="5" s="1"/>
  <c r="L34" i="5"/>
  <c r="N34" i="5" s="1"/>
  <c r="K30" i="5"/>
  <c r="M30" i="5" s="1"/>
  <c r="L33" i="5"/>
  <c r="N33" i="5" s="1"/>
  <c r="G35" i="5"/>
  <c r="I35" i="5" s="1"/>
  <c r="M35" i="5" s="1"/>
  <c r="M29" i="5"/>
  <c r="G31" i="5"/>
  <c r="I31" i="5" s="1"/>
  <c r="G30" i="5"/>
  <c r="I30" i="5" s="1"/>
  <c r="N30" i="5" s="1"/>
  <c r="N31" i="5"/>
  <c r="M31" i="5"/>
  <c r="N32" i="5"/>
  <c r="M32" i="5"/>
  <c r="M22" i="5"/>
  <c r="L26" i="5"/>
  <c r="K26" i="5"/>
  <c r="G26" i="5"/>
  <c r="I26" i="5" s="1"/>
  <c r="M24" i="5"/>
  <c r="K27" i="5"/>
  <c r="L27" i="5"/>
  <c r="G27" i="5"/>
  <c r="I27" i="5" s="1"/>
  <c r="M23" i="5"/>
  <c r="L25" i="5"/>
  <c r="G25" i="5"/>
  <c r="I25" i="5" s="1"/>
  <c r="K25" i="5"/>
  <c r="M25" i="5" s="1"/>
  <c r="F28" i="5"/>
  <c r="J25" i="5"/>
  <c r="G22" i="5"/>
  <c r="I22" i="5" s="1"/>
  <c r="N22" i="5" s="1"/>
  <c r="AM12" i="5"/>
  <c r="AO12" i="5" s="1"/>
  <c r="AM4" i="5"/>
  <c r="AO4" i="5" s="1"/>
  <c r="AN7" i="5"/>
  <c r="AP7" i="5" s="1"/>
  <c r="J7" i="5"/>
  <c r="AM7" i="5"/>
  <c r="AO7" i="5" s="1"/>
  <c r="J6" i="5"/>
  <c r="AI3" i="5"/>
  <c r="AK3" i="5" s="1"/>
  <c r="AP3" i="5" s="1"/>
  <c r="AM5" i="5"/>
  <c r="AO5" i="5" s="1"/>
  <c r="AN8" i="5"/>
  <c r="AP8" i="5" s="1"/>
  <c r="J11" i="5"/>
  <c r="AM11" i="5"/>
  <c r="AO11" i="5" s="1"/>
  <c r="AN6" i="5"/>
  <c r="AP6" i="5" s="1"/>
  <c r="AN12" i="5"/>
  <c r="AP12" i="5" s="1"/>
  <c r="AN4" i="5"/>
  <c r="AP4" i="5" s="1"/>
  <c r="K15" i="2"/>
  <c r="J16" i="2"/>
  <c r="J15" i="2"/>
  <c r="G18" i="2"/>
  <c r="K18" i="2" s="1"/>
  <c r="J18" i="2"/>
  <c r="K17" i="2"/>
  <c r="K16" i="2"/>
  <c r="C5" i="2"/>
  <c r="J5" i="2" s="1"/>
  <c r="G5" i="3"/>
  <c r="I5" i="3" s="1"/>
  <c r="G6" i="3"/>
  <c r="I6" i="3" s="1"/>
  <c r="G3" i="3"/>
  <c r="I3" i="3" s="1"/>
  <c r="F5" i="3"/>
  <c r="F6" i="3"/>
  <c r="F3" i="3"/>
  <c r="C4" i="3"/>
  <c r="J4" i="3" s="1"/>
  <c r="C5" i="3"/>
  <c r="J5" i="3" s="1"/>
  <c r="C6" i="3"/>
  <c r="J6" i="3" s="1"/>
  <c r="C3" i="3"/>
  <c r="J3" i="3" s="1"/>
  <c r="D4" i="3"/>
  <c r="F4" i="3" s="1"/>
  <c r="G4" i="3" s="1"/>
  <c r="I4" i="3" s="1"/>
  <c r="C6" i="2"/>
  <c r="J6" i="2" s="1"/>
  <c r="C7" i="2"/>
  <c r="J7" i="2" s="1"/>
  <c r="C8" i="2"/>
  <c r="J8" i="2" s="1"/>
  <c r="C9" i="2"/>
  <c r="J9" i="2" s="1"/>
  <c r="C10" i="2"/>
  <c r="J10" i="2" s="1"/>
  <c r="C11" i="2"/>
  <c r="J11" i="2" s="1"/>
  <c r="E11" i="2"/>
  <c r="D11" i="2"/>
  <c r="F11" i="2" s="1"/>
  <c r="G11" i="2" s="1"/>
  <c r="K11" i="2" s="1"/>
  <c r="D10" i="2"/>
  <c r="F10" i="2"/>
  <c r="G10" i="2" s="1"/>
  <c r="K10" i="2" s="1"/>
  <c r="D9" i="2"/>
  <c r="F9" i="2" s="1"/>
  <c r="G9" i="2" s="1"/>
  <c r="K9" i="2" s="1"/>
  <c r="D8" i="2"/>
  <c r="F8" i="2" s="1"/>
  <c r="G8" i="2" s="1"/>
  <c r="K8" i="2" s="1"/>
  <c r="F7" i="2"/>
  <c r="G7" i="2" s="1"/>
  <c r="K7" i="2" s="1"/>
  <c r="F6" i="2"/>
  <c r="G6" i="2" s="1"/>
  <c r="K6" i="2" s="1"/>
  <c r="F5" i="2"/>
  <c r="G5" i="2" s="1"/>
  <c r="K5" i="2" s="1"/>
  <c r="C58" i="5" l="1"/>
  <c r="C59" i="5"/>
  <c r="N35" i="5"/>
  <c r="N27" i="5"/>
  <c r="G28" i="5"/>
  <c r="I28" i="5" s="1"/>
  <c r="N28" i="5" s="1"/>
  <c r="L28" i="5"/>
  <c r="K28" i="5"/>
  <c r="N26" i="5"/>
  <c r="M27" i="5"/>
  <c r="N25" i="5"/>
  <c r="M26" i="5"/>
  <c r="AO3" i="5"/>
  <c r="H3" i="3"/>
  <c r="H6" i="3"/>
  <c r="H10" i="2"/>
  <c r="H5" i="3"/>
  <c r="H4" i="3"/>
  <c r="H5" i="2"/>
  <c r="H7" i="2"/>
  <c r="H6" i="2"/>
  <c r="H11" i="2"/>
  <c r="H8" i="2"/>
  <c r="H9" i="2"/>
  <c r="C8" i="1"/>
  <c r="P5" i="2" s="1"/>
  <c r="C6" i="1"/>
  <c r="C5" i="1"/>
  <c r="C4" i="1"/>
  <c r="C3" i="1"/>
  <c r="M28" i="5" l="1"/>
</calcChain>
</file>

<file path=xl/sharedStrings.xml><?xml version="1.0" encoding="utf-8"?>
<sst xmlns="http://schemas.openxmlformats.org/spreadsheetml/2006/main" count="116" uniqueCount="59">
  <si>
    <t>5T / s</t>
  </si>
  <si>
    <t>T / s</t>
  </si>
  <si>
    <t>D / kgm^2s^-4</t>
  </si>
  <si>
    <t>F / N</t>
  </si>
  <si>
    <t>r</t>
  </si>
  <si>
    <t>2.9 ± 0.1 cm</t>
  </si>
  <si>
    <t>d_spheres / cm</t>
  </si>
  <si>
    <t>r / cm</t>
  </si>
  <si>
    <t>delta_x / cm</t>
  </si>
  <si>
    <t>x _n/ cm</t>
  </si>
  <si>
    <t>x_0</t>
  </si>
  <si>
    <t>12 \pm 1.5 cm</t>
  </si>
  <si>
    <t>x_uncert / cm</t>
  </si>
  <si>
    <t>1/r^2</t>
  </si>
  <si>
    <t>201.5 /pm 0.5</t>
  </si>
  <si>
    <t>L</t>
  </si>
  <si>
    <t>b</t>
  </si>
  <si>
    <t>2.5 /pm 0.3</t>
  </si>
  <si>
    <t>x0=</t>
  </si>
  <si>
    <t>log F</t>
  </si>
  <si>
    <t>log r</t>
  </si>
  <si>
    <t>d</t>
  </si>
  <si>
    <t>d_sphere</t>
  </si>
  <si>
    <t>r/cm</t>
  </si>
  <si>
    <t>Q</t>
  </si>
  <si>
    <t>x_0 uncert</t>
  </si>
  <si>
    <t>x_n</t>
  </si>
  <si>
    <t>x_uncert</t>
  </si>
  <si>
    <t>delta_x</t>
  </si>
  <si>
    <t>x_0 =</t>
  </si>
  <si>
    <t>x</t>
  </si>
  <si>
    <t>F/N</t>
  </si>
  <si>
    <t>r/m</t>
  </si>
  <si>
    <t>delta log r</t>
  </si>
  <si>
    <t>delta log F</t>
  </si>
  <si>
    <t>delta log R</t>
  </si>
  <si>
    <t>f_min / N</t>
  </si>
  <si>
    <t>f_max/ N</t>
  </si>
  <si>
    <t>log(delta f +)</t>
  </si>
  <si>
    <t>log(delta f -)</t>
  </si>
  <si>
    <t>gradient</t>
  </si>
  <si>
    <t>fit</t>
  </si>
  <si>
    <t>intercept</t>
  </si>
  <si>
    <t>residual</t>
  </si>
  <si>
    <t>normalised_residual</t>
  </si>
  <si>
    <t>nr^2</t>
  </si>
  <si>
    <t>CHI^2</t>
  </si>
  <si>
    <t>chi^2 - chi^2 min</t>
  </si>
  <si>
    <t>log(Q)</t>
  </si>
  <si>
    <t>Log(F)</t>
  </si>
  <si>
    <t>normalised residual</t>
  </si>
  <si>
    <t>normalised_residual^2</t>
  </si>
  <si>
    <t>Chi Square</t>
  </si>
  <si>
    <t>Q_avg</t>
  </si>
  <si>
    <t>Q_std</t>
  </si>
  <si>
    <t>charge_density / C m^-2</t>
  </si>
  <si>
    <t>no of electrons</t>
  </si>
  <si>
    <t xml:space="preserve">/pm </t>
  </si>
  <si>
    <t>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</si>
</sst>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0" xfId="0" applyNumberFormat="1"/>
    <xf numFmtId="0" fontId="0" fillId="2" borderId="1" xfId="0" applyNumberFormat="1" applyFill="1" applyBorder="1"/>
    <xf numFmtId="0" fontId="0" fillId="0" borderId="1" xfId="0" applyNumberFormat="1" applyBorder="1"/>
    <xf numFmtId="0" fontId="0" fillId="0" borderId="0" xfId="0" applyBorder="1"/>
    <xf numFmtId="0" fontId="0" fillId="2" borderId="2" xfId="0" applyNumberFormat="1" applyFill="1" applyBorder="1"/>
    <xf numFmtId="0" fontId="0" fillId="0" borderId="3" xfId="0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143608282776723E-2"/>
          <c:y val="0.12490162423709736"/>
          <c:w val="0.71219806333680868"/>
          <c:h val="0.82882533173092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Part5!$W$31:$W$38</c:f>
                <c:numCache>
                  <c:formatCode>General</c:formatCode>
                  <c:ptCount val="8"/>
                  <c:pt idx="0">
                    <c:v>3.151705144606487E-2</c:v>
                  </c:pt>
                  <c:pt idx="1">
                    <c:v>7.7604857812669792E-2</c:v>
                  </c:pt>
                  <c:pt idx="2">
                    <c:v>4.3664501054831439E-2</c:v>
                  </c:pt>
                  <c:pt idx="3">
                    <c:v>3.7462391529792693E-2</c:v>
                  </c:pt>
                  <c:pt idx="4">
                    <c:v>3.6363864755848407E-2</c:v>
                  </c:pt>
                  <c:pt idx="5">
                    <c:v>3.8090049608139442E-2</c:v>
                  </c:pt>
                  <c:pt idx="6">
                    <c:v>4.8304679574554976E-2</c:v>
                  </c:pt>
                  <c:pt idx="7">
                    <c:v>5.4049761223624815E-2</c:v>
                  </c:pt>
                </c:numCache>
              </c:numRef>
            </c:plus>
            <c:minus>
              <c:numRef>
                <c:f>Part5!$W$31:$W$38</c:f>
                <c:numCache>
                  <c:formatCode>General</c:formatCode>
                  <c:ptCount val="8"/>
                  <c:pt idx="0">
                    <c:v>3.151705144606487E-2</c:v>
                  </c:pt>
                  <c:pt idx="1">
                    <c:v>7.7604857812669792E-2</c:v>
                  </c:pt>
                  <c:pt idx="2">
                    <c:v>4.3664501054831439E-2</c:v>
                  </c:pt>
                  <c:pt idx="3">
                    <c:v>3.7462391529792693E-2</c:v>
                  </c:pt>
                  <c:pt idx="4">
                    <c:v>3.6363864755848407E-2</c:v>
                  </c:pt>
                  <c:pt idx="5">
                    <c:v>3.8090049608139442E-2</c:v>
                  </c:pt>
                  <c:pt idx="6">
                    <c:v>4.8304679574554976E-2</c:v>
                  </c:pt>
                  <c:pt idx="7">
                    <c:v>5.4049761223624815E-2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Part5!$J$5:$J$11</c:f>
              <c:numCache>
                <c:formatCode>General</c:formatCode>
                <c:ptCount val="7"/>
                <c:pt idx="0">
                  <c:v>-0.64016451766011206</c:v>
                </c:pt>
                <c:pt idx="1">
                  <c:v>-0.679853713888946</c:v>
                </c:pt>
                <c:pt idx="2">
                  <c:v>-0.72353819582675583</c:v>
                </c:pt>
                <c:pt idx="3">
                  <c:v>-0.77211329538632656</c:v>
                </c:pt>
                <c:pt idx="4">
                  <c:v>-0.82681373158772598</c:v>
                </c:pt>
                <c:pt idx="5">
                  <c:v>-0.88941028970075098</c:v>
                </c:pt>
                <c:pt idx="6">
                  <c:v>-0.96257350205937642</c:v>
                </c:pt>
              </c:numCache>
            </c:numRef>
          </c:xVal>
          <c:yVal>
            <c:numRef>
              <c:f>Part5!$K$5:$K$11</c:f>
              <c:numCache>
                <c:formatCode>General</c:formatCode>
                <c:ptCount val="7"/>
                <c:pt idx="0">
                  <c:v>-6.9313619836248614</c:v>
                </c:pt>
                <c:pt idx="1">
                  <c:v>-6.8770043213022687</c:v>
                </c:pt>
                <c:pt idx="2">
                  <c:v>-6.6160915488462697</c:v>
                </c:pt>
                <c:pt idx="3">
                  <c:v>-6.3256978680280733</c:v>
                </c:pt>
                <c:pt idx="4">
                  <c:v>-6.2945398860376871</c:v>
                </c:pt>
                <c:pt idx="5">
                  <c:v>-6.1831739566186608</c:v>
                </c:pt>
                <c:pt idx="6">
                  <c:v>-5.9918427310062423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62-4376-8523-F55EAE719F7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9280566807761743E-3"/>
                  <c:y val="8.69749593368738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Part5!$J$15:$J$18</c:f>
              <c:numCache>
                <c:formatCode>General</c:formatCode>
                <c:ptCount val="4"/>
                <c:pt idx="0">
                  <c:v>-1.1023729087095586</c:v>
                </c:pt>
                <c:pt idx="1">
                  <c:v>-1.1611509092627446</c:v>
                </c:pt>
                <c:pt idx="2">
                  <c:v>-1.2291479883578558</c:v>
                </c:pt>
                <c:pt idx="3">
                  <c:v>-1.3098039199714864</c:v>
                </c:pt>
              </c:numCache>
            </c:numRef>
          </c:xVal>
          <c:yVal>
            <c:numRef>
              <c:f>Part5!$K$15:$K$18</c:f>
              <c:numCache>
                <c:formatCode>General</c:formatCode>
                <c:ptCount val="4"/>
                <c:pt idx="0">
                  <c:v>-5.6510872095514992</c:v>
                </c:pt>
                <c:pt idx="1">
                  <c:v>-5.6050261226961098</c:v>
                </c:pt>
                <c:pt idx="2">
                  <c:v>-5.4465877646766732</c:v>
                </c:pt>
                <c:pt idx="3">
                  <c:v>-5.401589530396623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62-4376-8523-F55EAE719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51824"/>
        <c:axId val="66447664"/>
      </c:scatterChart>
      <c:valAx>
        <c:axId val="6645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7664"/>
        <c:crosses val="autoZero"/>
        <c:crossBetween val="midCat"/>
      </c:valAx>
      <c:valAx>
        <c:axId val="66447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5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4889324169199192"/>
                  <c:y val="-0.206520750780882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Part5!$U$31:$U$37</c:f>
              <c:numCache>
                <c:formatCode>General</c:formatCode>
                <c:ptCount val="7"/>
                <c:pt idx="0">
                  <c:v>-0.60380065290426366</c:v>
                </c:pt>
                <c:pt idx="1">
                  <c:v>-0.64016451766011206</c:v>
                </c:pt>
                <c:pt idx="2">
                  <c:v>-0.679853713888946</c:v>
                </c:pt>
                <c:pt idx="3">
                  <c:v>-0.72353819582675583</c:v>
                </c:pt>
                <c:pt idx="4">
                  <c:v>-0.77211329538632656</c:v>
                </c:pt>
                <c:pt idx="5">
                  <c:v>-0.82681373158772598</c:v>
                </c:pt>
                <c:pt idx="6">
                  <c:v>-0.88941028970075098</c:v>
                </c:pt>
              </c:numCache>
            </c:numRef>
          </c:xVal>
          <c:yVal>
            <c:numRef>
              <c:f>Part5!$V$31:$V$38</c:f>
              <c:numCache>
                <c:formatCode>General</c:formatCode>
                <c:ptCount val="8"/>
                <c:pt idx="0">
                  <c:v>-6.828699641727713</c:v>
                </c:pt>
                <c:pt idx="1">
                  <c:v>-6.6602952113383234</c:v>
                </c:pt>
                <c:pt idx="2">
                  <c:v>-6.4542407289051988</c:v>
                </c:pt>
                <c:pt idx="3">
                  <c:v>-6.344025249117605</c:v>
                </c:pt>
                <c:pt idx="4">
                  <c:v>-6.2945398860376871</c:v>
                </c:pt>
                <c:pt idx="5">
                  <c:v>-6.2209625175080605</c:v>
                </c:pt>
                <c:pt idx="6">
                  <c:v>-6.0505483913440701</c:v>
                </c:pt>
                <c:pt idx="7">
                  <c:v>-5.8521807375772363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8-4740-9937-6280A9FC2FE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1865991452325307E-2"/>
                  <c:y val="1.0013435145660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Part5!$U$38:$U$56</c:f>
              <c:numCache>
                <c:formatCode>General</c:formatCode>
                <c:ptCount val="19"/>
                <c:pt idx="0">
                  <c:v>-0.96257350205937642</c:v>
                </c:pt>
                <c:pt idx="1">
                  <c:v>-1.0043648054024501</c:v>
                </c:pt>
                <c:pt idx="2">
                  <c:v>-1.0506099933550872</c:v>
                </c:pt>
                <c:pt idx="3">
                  <c:v>-1.1023729087095586</c:v>
                </c:pt>
                <c:pt idx="4">
                  <c:v>-1.1611509092627446</c:v>
                </c:pt>
                <c:pt idx="5">
                  <c:v>-1.2291479883578558</c:v>
                </c:pt>
                <c:pt idx="6">
                  <c:v>-1.3098039199714864</c:v>
                </c:pt>
              </c:numCache>
            </c:numRef>
          </c:xVal>
          <c:yVal>
            <c:numRef>
              <c:f>Part5!$V$38:$V$56</c:f>
              <c:numCache>
                <c:formatCode>General</c:formatCode>
                <c:ptCount val="19"/>
                <c:pt idx="0">
                  <c:v>-5.8521807375772363</c:v>
                </c:pt>
                <c:pt idx="1">
                  <c:v>-5.8241520139769927</c:v>
                </c:pt>
                <c:pt idx="2">
                  <c:v>-5.7852339479466233</c:v>
                </c:pt>
                <c:pt idx="3">
                  <c:v>-5.7060527018989982</c:v>
                </c:pt>
                <c:pt idx="4">
                  <c:v>-5.6174947632557082</c:v>
                </c:pt>
                <c:pt idx="5">
                  <c:v>-5.5119570208549682</c:v>
                </c:pt>
                <c:pt idx="6">
                  <c:v>-5.4289348636404284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68-4740-9937-6280A9FC2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38528"/>
        <c:axId val="63030624"/>
      </c:scatterChart>
      <c:valAx>
        <c:axId val="6303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0624"/>
        <c:crosses val="autoZero"/>
        <c:crossBetween val="midCat"/>
      </c:valAx>
      <c:valAx>
        <c:axId val="63030624"/>
        <c:scaling>
          <c:orientation val="minMax"/>
          <c:max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428859183299762E-2"/>
          <c:y val="0.13329542633184366"/>
          <c:w val="0.88746764939266309"/>
          <c:h val="0.80275790061715246"/>
        </c:manualLayout>
      </c:layout>
      <c:scatterChart>
        <c:scatterStyle val="lineMarker"/>
        <c:varyColors val="0"/>
        <c:ser>
          <c:idx val="0"/>
          <c:order val="0"/>
          <c:tx>
            <c:v>"Iteration 1"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'Merged-Part5'!$AL$3:$AL$10</c:f>
                <c:numCache>
                  <c:formatCode>General</c:formatCode>
                  <c:ptCount val="8"/>
                  <c:pt idx="0">
                    <c:v>1.5758525723032435E-2</c:v>
                  </c:pt>
                  <c:pt idx="1">
                    <c:v>3.8802428906334896E-2</c:v>
                  </c:pt>
                  <c:pt idx="2">
                    <c:v>2.183225052741572E-2</c:v>
                  </c:pt>
                  <c:pt idx="3">
                    <c:v>1.8731195764896347E-2</c:v>
                  </c:pt>
                  <c:pt idx="4">
                    <c:v>1.8181932377924204E-2</c:v>
                  </c:pt>
                  <c:pt idx="5">
                    <c:v>1.9045024804069721E-2</c:v>
                  </c:pt>
                  <c:pt idx="6">
                    <c:v>2.4152339787277488E-2</c:v>
                  </c:pt>
                  <c:pt idx="7">
                    <c:v>2.7024880611812407E-2</c:v>
                  </c:pt>
                </c:numCache>
              </c:numRef>
            </c:plus>
            <c:minus>
              <c:numRef>
                <c:f>'Merged-Part5'!$AL$3:$AL$10</c:f>
                <c:numCache>
                  <c:formatCode>General</c:formatCode>
                  <c:ptCount val="8"/>
                  <c:pt idx="0">
                    <c:v>1.5758525723032435E-2</c:v>
                  </c:pt>
                  <c:pt idx="1">
                    <c:v>3.8802428906334896E-2</c:v>
                  </c:pt>
                  <c:pt idx="2">
                    <c:v>2.183225052741572E-2</c:v>
                  </c:pt>
                  <c:pt idx="3">
                    <c:v>1.8731195764896347E-2</c:v>
                  </c:pt>
                  <c:pt idx="4">
                    <c:v>1.8181932377924204E-2</c:v>
                  </c:pt>
                  <c:pt idx="5">
                    <c:v>1.9045024804069721E-2</c:v>
                  </c:pt>
                  <c:pt idx="6">
                    <c:v>2.4152339787277488E-2</c:v>
                  </c:pt>
                  <c:pt idx="7">
                    <c:v>2.7024880611812407E-2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'Merged-Part5'!$M$3:$M$9</c:f>
                <c:numCache>
                  <c:formatCode>General</c:formatCode>
                  <c:ptCount val="7"/>
                  <c:pt idx="0">
                    <c:v>8.7525732074168694E-2</c:v>
                  </c:pt>
                  <c:pt idx="1">
                    <c:v>6.7930176010787768E-2</c:v>
                  </c:pt>
                  <c:pt idx="2">
                    <c:v>7.9275656648745141E-2</c:v>
                  </c:pt>
                  <c:pt idx="3">
                    <c:v>4.6133046915943332E-2</c:v>
                  </c:pt>
                  <c:pt idx="4">
                    <c:v>4.9737171184768947E-2</c:v>
                  </c:pt>
                  <c:pt idx="5">
                    <c:v>4.5486294031110042E-2</c:v>
                  </c:pt>
                  <c:pt idx="6">
                    <c:v>4.7310091270129639E-2</c:v>
                  </c:pt>
                </c:numCache>
              </c:numRef>
            </c:plus>
            <c:minus>
              <c:numRef>
                <c:f>'Merged-Part5'!$N$3:$N$9</c:f>
                <c:numCache>
                  <c:formatCode>General</c:formatCode>
                  <c:ptCount val="7"/>
                  <c:pt idx="0">
                    <c:v>0.12300401723183363</c:v>
                  </c:pt>
                  <c:pt idx="1">
                    <c:v>9.5174923367077113E-2</c:v>
                  </c:pt>
                  <c:pt idx="2">
                    <c:v>0.11091551762409591</c:v>
                  </c:pt>
                  <c:pt idx="3">
                    <c:v>6.7486689382002751E-2</c:v>
                  </c:pt>
                  <c:pt idx="4">
                    <c:v>7.1851494784453074E-2</c:v>
                  </c:pt>
                  <c:pt idx="5">
                    <c:v>6.6711855132042253E-2</c:v>
                  </c:pt>
                  <c:pt idx="6">
                    <c:v>6.8903366488228812E-2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'Merged-Part5'!$H$3:$H$9</c:f>
              <c:numCache>
                <c:formatCode>General</c:formatCode>
                <c:ptCount val="7"/>
                <c:pt idx="0">
                  <c:v>-0.64016451766011206</c:v>
                </c:pt>
                <c:pt idx="1">
                  <c:v>-0.679853713888946</c:v>
                </c:pt>
                <c:pt idx="2">
                  <c:v>-0.72353819582675583</c:v>
                </c:pt>
                <c:pt idx="3">
                  <c:v>-0.77211329538632656</c:v>
                </c:pt>
                <c:pt idx="4">
                  <c:v>-0.82681373158772598</c:v>
                </c:pt>
                <c:pt idx="5">
                  <c:v>-0.88941028970075098</c:v>
                </c:pt>
                <c:pt idx="6">
                  <c:v>-0.96257350205937642</c:v>
                </c:pt>
              </c:numCache>
            </c:numRef>
          </c:xVal>
          <c:yVal>
            <c:numRef>
              <c:f>'Merged-Part5'!$I$3:$I$9</c:f>
              <c:numCache>
                <c:formatCode>General</c:formatCode>
                <c:ptCount val="7"/>
                <c:pt idx="0">
                  <c:v>-6.9313619836248614</c:v>
                </c:pt>
                <c:pt idx="1">
                  <c:v>-6.8770043213022687</c:v>
                </c:pt>
                <c:pt idx="2">
                  <c:v>-6.6160915488462697</c:v>
                </c:pt>
                <c:pt idx="3">
                  <c:v>-6.3256978680280733</c:v>
                </c:pt>
                <c:pt idx="4">
                  <c:v>-6.2945398860376871</c:v>
                </c:pt>
                <c:pt idx="5">
                  <c:v>-6.1831739566186608</c:v>
                </c:pt>
                <c:pt idx="6">
                  <c:v>-5.9918427310062423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BD-4B7F-BCDB-75547EBBA19C}"/>
            </c:ext>
          </c:extLst>
        </c:ser>
        <c:ser>
          <c:idx val="1"/>
          <c:order val="1"/>
          <c:tx>
            <c:v>"Iteration 2"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'Merged-Part5'!$AL$3:$AL$10</c:f>
                <c:numCache>
                  <c:formatCode>General</c:formatCode>
                  <c:ptCount val="8"/>
                  <c:pt idx="0">
                    <c:v>1.5758525723032435E-2</c:v>
                  </c:pt>
                  <c:pt idx="1">
                    <c:v>3.8802428906334896E-2</c:v>
                  </c:pt>
                  <c:pt idx="2">
                    <c:v>2.183225052741572E-2</c:v>
                  </c:pt>
                  <c:pt idx="3">
                    <c:v>1.8731195764896347E-2</c:v>
                  </c:pt>
                  <c:pt idx="4">
                    <c:v>1.8181932377924204E-2</c:v>
                  </c:pt>
                  <c:pt idx="5">
                    <c:v>1.9045024804069721E-2</c:v>
                  </c:pt>
                  <c:pt idx="6">
                    <c:v>2.4152339787277488E-2</c:v>
                  </c:pt>
                  <c:pt idx="7">
                    <c:v>2.7024880611812407E-2</c:v>
                  </c:pt>
                </c:numCache>
              </c:numRef>
            </c:plus>
            <c:minus>
              <c:numRef>
                <c:f>'Merged-Part5'!$AL$3:$AL$10</c:f>
                <c:numCache>
                  <c:formatCode>General</c:formatCode>
                  <c:ptCount val="8"/>
                  <c:pt idx="0">
                    <c:v>1.5758525723032435E-2</c:v>
                  </c:pt>
                  <c:pt idx="1">
                    <c:v>3.8802428906334896E-2</c:v>
                  </c:pt>
                  <c:pt idx="2">
                    <c:v>2.183225052741572E-2</c:v>
                  </c:pt>
                  <c:pt idx="3">
                    <c:v>1.8731195764896347E-2</c:v>
                  </c:pt>
                  <c:pt idx="4">
                    <c:v>1.8181932377924204E-2</c:v>
                  </c:pt>
                  <c:pt idx="5">
                    <c:v>1.9045024804069721E-2</c:v>
                  </c:pt>
                  <c:pt idx="6">
                    <c:v>2.4152339787277488E-2</c:v>
                  </c:pt>
                  <c:pt idx="7">
                    <c:v>2.7024880611812407E-2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'Merged-Part5'!$AO$3:$AO$12</c:f>
                <c:numCache>
                  <c:formatCode>General</c:formatCode>
                  <c:ptCount val="10"/>
                  <c:pt idx="0">
                    <c:v>8.177340318507742E-2</c:v>
                  </c:pt>
                  <c:pt idx="1">
                    <c:v>0.12938817875131914</c:v>
                  </c:pt>
                  <c:pt idx="2">
                    <c:v>5.842335036986146E-2</c:v>
                  </c:pt>
                  <c:pt idx="3">
                    <c:v>4.4257041917187934E-2</c:v>
                  </c:pt>
                  <c:pt idx="4">
                    <c:v>4.052916939794482E-2</c:v>
                  </c:pt>
                  <c:pt idx="5">
                    <c:v>3.8307709403986756E-2</c:v>
                  </c:pt>
                  <c:pt idx="6">
                    <c:v>3.7799465364819262E-2</c:v>
                  </c:pt>
                  <c:pt idx="7">
                    <c:v>3.4105348170965222E-2</c:v>
                  </c:pt>
                  <c:pt idx="8">
                    <c:v>3.1468284873681363E-2</c:v>
                  </c:pt>
                  <c:pt idx="9">
                    <c:v>2.7559715870764556E-2</c:v>
                  </c:pt>
                </c:numCache>
              </c:numRef>
            </c:plus>
            <c:minus>
              <c:numRef>
                <c:f>'Merged-Part5'!$AP$3:$AP$12</c:f>
                <c:numCache>
                  <c:formatCode>General</c:formatCode>
                  <c:ptCount val="10"/>
                  <c:pt idx="0">
                    <c:v>0.11451590700631531</c:v>
                  </c:pt>
                  <c:pt idx="1">
                    <c:v>0.19449843461316796</c:v>
                  </c:pt>
                  <c:pt idx="2">
                    <c:v>8.2709422372660768E-2</c:v>
                  </c:pt>
                  <c:pt idx="3">
                    <c:v>6.5246128185926011E-2</c:v>
                  </c:pt>
                  <c:pt idx="4">
                    <c:v>6.0856110482989223E-2</c:v>
                  </c:pt>
                  <c:pt idx="5">
                    <c:v>5.8278687595178624E-2</c:v>
                  </c:pt>
                  <c:pt idx="6">
                    <c:v>5.7692990295479696E-2</c:v>
                  </c:pt>
                  <c:pt idx="7">
                    <c:v>5.347980471341085E-2</c:v>
                  </c:pt>
                  <c:pt idx="8">
                    <c:v>5.0518603555196329E-2</c:v>
                  </c:pt>
                  <c:pt idx="9">
                    <c:v>4.6198922001496001E-2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'Merged-Part5'!$AJ$3:$AJ$10</c:f>
              <c:numCache>
                <c:formatCode>General</c:formatCode>
                <c:ptCount val="8"/>
                <c:pt idx="0">
                  <c:v>-0.60380065290426366</c:v>
                </c:pt>
                <c:pt idx="1">
                  <c:v>-0.64016451766011206</c:v>
                </c:pt>
                <c:pt idx="2">
                  <c:v>-0.679853713888946</c:v>
                </c:pt>
                <c:pt idx="3">
                  <c:v>-0.72353819582675583</c:v>
                </c:pt>
                <c:pt idx="4">
                  <c:v>-0.77211329538632656</c:v>
                </c:pt>
                <c:pt idx="5">
                  <c:v>-0.82681373158772598</c:v>
                </c:pt>
                <c:pt idx="6">
                  <c:v>-0.88941028970075098</c:v>
                </c:pt>
                <c:pt idx="7">
                  <c:v>-0.96257350205937642</c:v>
                </c:pt>
              </c:numCache>
            </c:numRef>
          </c:xVal>
          <c:yVal>
            <c:numRef>
              <c:f>'Merged-Part5'!$AK$3:$AK$10</c:f>
              <c:numCache>
                <c:formatCode>General</c:formatCode>
                <c:ptCount val="8"/>
                <c:pt idx="0">
                  <c:v>-6.828699641727713</c:v>
                </c:pt>
                <c:pt idx="1">
                  <c:v>-6.6602952113383234</c:v>
                </c:pt>
                <c:pt idx="2">
                  <c:v>-6.4542407289051988</c:v>
                </c:pt>
                <c:pt idx="3">
                  <c:v>-6.344025249117605</c:v>
                </c:pt>
                <c:pt idx="4">
                  <c:v>-6.2945398860376871</c:v>
                </c:pt>
                <c:pt idx="5">
                  <c:v>-6.2209625175080605</c:v>
                </c:pt>
                <c:pt idx="6">
                  <c:v>-6.0505483913440701</c:v>
                </c:pt>
                <c:pt idx="7">
                  <c:v>-5.8521807375772363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BD-4B7F-BCDB-75547EBBA19C}"/>
            </c:ext>
          </c:extLst>
        </c:ser>
        <c:ser>
          <c:idx val="2"/>
          <c:order val="2"/>
          <c:tx>
            <c:v>Fit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1"/>
            <c:backward val="1"/>
            <c:dispRSqr val="0"/>
            <c:dispEq val="0"/>
          </c:trendline>
          <c:xVal>
            <c:numRef>
              <c:f>'Merged-Part5'!$H$22:$H$35</c:f>
              <c:numCache>
                <c:formatCode>General</c:formatCode>
                <c:ptCount val="14"/>
                <c:pt idx="0">
                  <c:v>-0.64016451766011206</c:v>
                </c:pt>
                <c:pt idx="1">
                  <c:v>-0.679853713888946</c:v>
                </c:pt>
                <c:pt idx="2">
                  <c:v>-0.72353819582675583</c:v>
                </c:pt>
                <c:pt idx="3">
                  <c:v>-0.77211329538632656</c:v>
                </c:pt>
                <c:pt idx="4">
                  <c:v>-0.82681373158772598</c:v>
                </c:pt>
                <c:pt idx="5">
                  <c:v>-0.88941028970075098</c:v>
                </c:pt>
                <c:pt idx="6">
                  <c:v>-0.96257350205937642</c:v>
                </c:pt>
                <c:pt idx="7">
                  <c:v>-0.64016451766011206</c:v>
                </c:pt>
                <c:pt idx="8">
                  <c:v>-0.679853713888946</c:v>
                </c:pt>
                <c:pt idx="9">
                  <c:v>-0.72353819582675583</c:v>
                </c:pt>
                <c:pt idx="10">
                  <c:v>-0.77211329538632656</c:v>
                </c:pt>
                <c:pt idx="11">
                  <c:v>-0.82681373158772598</c:v>
                </c:pt>
                <c:pt idx="12">
                  <c:v>-0.88941028970075098</c:v>
                </c:pt>
                <c:pt idx="13">
                  <c:v>-0.96257350205937642</c:v>
                </c:pt>
              </c:numCache>
            </c:numRef>
          </c:xVal>
          <c:yVal>
            <c:numRef>
              <c:f>'Merged-Part5'!$O$22:$O$35</c:f>
              <c:numCache>
                <c:formatCode>General</c:formatCode>
                <c:ptCount val="14"/>
                <c:pt idx="0">
                  <c:v>-6.6832164728286916</c:v>
                </c:pt>
                <c:pt idx="1">
                  <c:v>-6.587212368627533</c:v>
                </c:pt>
                <c:pt idx="2">
                  <c:v>-6.4815440771420958</c:v>
                </c:pt>
                <c:pt idx="3">
                  <c:v>-6.3640458820964936</c:v>
                </c:pt>
                <c:pt idx="4">
                  <c:v>-6.231731124532498</c:v>
                </c:pt>
                <c:pt idx="5">
                  <c:v>-6.0803164560905394</c:v>
                </c:pt>
                <c:pt idx="6">
                  <c:v>-5.9033421323357507</c:v>
                </c:pt>
                <c:pt idx="7">
                  <c:v>-6.6832164728286916</c:v>
                </c:pt>
                <c:pt idx="8">
                  <c:v>-6.587212368627533</c:v>
                </c:pt>
                <c:pt idx="9">
                  <c:v>-6.4815440771420958</c:v>
                </c:pt>
                <c:pt idx="10">
                  <c:v>-6.3640458820964936</c:v>
                </c:pt>
                <c:pt idx="11">
                  <c:v>-6.231731124532498</c:v>
                </c:pt>
                <c:pt idx="12">
                  <c:v>-6.0803164560905394</c:v>
                </c:pt>
                <c:pt idx="13">
                  <c:v>-5.9033421323357507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BD-4B7F-BCDB-75547EBBA19C}"/>
            </c:ext>
          </c:extLst>
        </c:ser>
        <c:ser>
          <c:idx val="3"/>
          <c:order val="3"/>
          <c:tx>
            <c:v>D &lt; r (1)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'Merged-Part5'!$M$3:$M$13</c:f>
                <c:numCache>
                  <c:formatCode>General</c:formatCode>
                  <c:ptCount val="11"/>
                  <c:pt idx="0">
                    <c:v>8.7525732074168694E-2</c:v>
                  </c:pt>
                  <c:pt idx="1">
                    <c:v>6.7930176010787768E-2</c:v>
                  </c:pt>
                  <c:pt idx="2">
                    <c:v>7.9275656648745141E-2</c:v>
                  </c:pt>
                  <c:pt idx="3">
                    <c:v>4.6133046915943332E-2</c:v>
                  </c:pt>
                  <c:pt idx="4">
                    <c:v>4.9737171184768947E-2</c:v>
                  </c:pt>
                  <c:pt idx="5">
                    <c:v>4.5486294031110042E-2</c:v>
                  </c:pt>
                  <c:pt idx="6">
                    <c:v>4.7310091270129639E-2</c:v>
                  </c:pt>
                  <c:pt idx="7">
                    <c:v>3.7699879379080592E-2</c:v>
                  </c:pt>
                  <c:pt idx="8">
                    <c:v>2.5745359817829438E-2</c:v>
                  </c:pt>
                  <c:pt idx="9">
                    <c:v>3.3220746624937902E-2</c:v>
                  </c:pt>
                  <c:pt idx="10">
                    <c:v>2.8800385853399391E-2</c:v>
                  </c:pt>
                </c:numCache>
              </c:numRef>
            </c:plus>
            <c:minus>
              <c:numRef>
                <c:f>'Merged-Part5'!$N$3:$N$13</c:f>
                <c:numCache>
                  <c:formatCode>General</c:formatCode>
                  <c:ptCount val="11"/>
                  <c:pt idx="0">
                    <c:v>0.12300401723183363</c:v>
                  </c:pt>
                  <c:pt idx="1">
                    <c:v>9.5174923367077113E-2</c:v>
                  </c:pt>
                  <c:pt idx="2">
                    <c:v>0.11091551762409591</c:v>
                  </c:pt>
                  <c:pt idx="3">
                    <c:v>6.7486689382002751E-2</c:v>
                  </c:pt>
                  <c:pt idx="4">
                    <c:v>7.1851494784453074E-2</c:v>
                  </c:pt>
                  <c:pt idx="5">
                    <c:v>6.6711855132042253E-2</c:v>
                  </c:pt>
                  <c:pt idx="6">
                    <c:v>6.8903366488228812E-2</c:v>
                  </c:pt>
                  <c:pt idx="7">
                    <c:v>5.7578400721753908E-2</c:v>
                  </c:pt>
                  <c:pt idx="8">
                    <c:v>4.4221284861424515E-2</c:v>
                  </c:pt>
                  <c:pt idx="9">
                    <c:v>5.2482212066915501E-2</c:v>
                  </c:pt>
                  <c:pt idx="10">
                    <c:v>4.7561238088676738E-2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'Merged-Part5'!$AL$11:$AL$16</c:f>
                <c:numCache>
                  <c:formatCode>General</c:formatCode>
                  <c:ptCount val="6"/>
                  <c:pt idx="0">
                    <c:v>2.4945934972818634E-2</c:v>
                  </c:pt>
                  <c:pt idx="1">
                    <c:v>2.150609084231736E-2</c:v>
                  </c:pt>
                  <c:pt idx="2">
                    <c:v>1.0196579320921634E-2</c:v>
                  </c:pt>
                  <c:pt idx="3">
                    <c:v>1.5292043823009333E-2</c:v>
                  </c:pt>
                  <c:pt idx="4">
                    <c:v>1.9127431887707796E-2</c:v>
                  </c:pt>
                  <c:pt idx="5">
                    <c:v>2.604883429584709E-2</c:v>
                  </c:pt>
                </c:numCache>
              </c:numRef>
            </c:plus>
            <c:minus>
              <c:numRef>
                <c:f>'Merged-Part5'!$AL$11:$AL$16</c:f>
                <c:numCache>
                  <c:formatCode>General</c:formatCode>
                  <c:ptCount val="6"/>
                  <c:pt idx="0">
                    <c:v>2.4945934972818634E-2</c:v>
                  </c:pt>
                  <c:pt idx="1">
                    <c:v>2.150609084231736E-2</c:v>
                  </c:pt>
                  <c:pt idx="2">
                    <c:v>1.0196579320921634E-2</c:v>
                  </c:pt>
                  <c:pt idx="3">
                    <c:v>1.5292043823009333E-2</c:v>
                  </c:pt>
                  <c:pt idx="4">
                    <c:v>1.9127431887707796E-2</c:v>
                  </c:pt>
                  <c:pt idx="5">
                    <c:v>2.604883429584709E-2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'Merged-Part5'!$H$10:$H$13</c:f>
              <c:numCache>
                <c:formatCode>General</c:formatCode>
                <c:ptCount val="4"/>
                <c:pt idx="0">
                  <c:v>-1.1023729087095586</c:v>
                </c:pt>
                <c:pt idx="1">
                  <c:v>-1.1611509092627446</c:v>
                </c:pt>
                <c:pt idx="2">
                  <c:v>-1.2291479883578558</c:v>
                </c:pt>
                <c:pt idx="3">
                  <c:v>-1.3098039199714864</c:v>
                </c:pt>
              </c:numCache>
            </c:numRef>
          </c:xVal>
          <c:yVal>
            <c:numRef>
              <c:f>'Merged-Part5'!$I$10:$I$13</c:f>
              <c:numCache>
                <c:formatCode>General</c:formatCode>
                <c:ptCount val="4"/>
                <c:pt idx="0">
                  <c:v>-5.6510872095514992</c:v>
                </c:pt>
                <c:pt idx="1">
                  <c:v>-5.6050261226961098</c:v>
                </c:pt>
                <c:pt idx="2">
                  <c:v>-5.4465877646766732</c:v>
                </c:pt>
                <c:pt idx="3">
                  <c:v>-5.401589530396623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BD-4B7F-BCDB-75547EBBA19C}"/>
            </c:ext>
          </c:extLst>
        </c:ser>
        <c:ser>
          <c:idx val="4"/>
          <c:order val="4"/>
          <c:tx>
            <c:v>D &lt; r (2)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'Merged-Part5'!$AL$11:$AL$16</c:f>
                <c:numCache>
                  <c:formatCode>General</c:formatCode>
                  <c:ptCount val="6"/>
                  <c:pt idx="0">
                    <c:v>2.4945934972818634E-2</c:v>
                  </c:pt>
                  <c:pt idx="1">
                    <c:v>2.150609084231736E-2</c:v>
                  </c:pt>
                  <c:pt idx="2">
                    <c:v>1.0196579320921634E-2</c:v>
                  </c:pt>
                  <c:pt idx="3">
                    <c:v>1.5292043823009333E-2</c:v>
                  </c:pt>
                  <c:pt idx="4">
                    <c:v>1.9127431887707796E-2</c:v>
                  </c:pt>
                  <c:pt idx="5">
                    <c:v>2.604883429584709E-2</c:v>
                  </c:pt>
                </c:numCache>
              </c:numRef>
            </c:plus>
            <c:minus>
              <c:numRef>
                <c:f>'Merged-Part5'!$AL$11:$AL$16</c:f>
                <c:numCache>
                  <c:formatCode>General</c:formatCode>
                  <c:ptCount val="6"/>
                  <c:pt idx="0">
                    <c:v>2.4945934972818634E-2</c:v>
                  </c:pt>
                  <c:pt idx="1">
                    <c:v>2.150609084231736E-2</c:v>
                  </c:pt>
                  <c:pt idx="2">
                    <c:v>1.0196579320921634E-2</c:v>
                  </c:pt>
                  <c:pt idx="3">
                    <c:v>1.5292043823009333E-2</c:v>
                  </c:pt>
                  <c:pt idx="4">
                    <c:v>1.9127431887707796E-2</c:v>
                  </c:pt>
                  <c:pt idx="5">
                    <c:v>2.604883429584709E-2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'Merged-Part5'!$AJ$11:$AJ$16</c:f>
              <c:numCache>
                <c:formatCode>General</c:formatCode>
                <c:ptCount val="6"/>
                <c:pt idx="0">
                  <c:v>-1.0043648054024501</c:v>
                </c:pt>
                <c:pt idx="1">
                  <c:v>-1.0506099933550872</c:v>
                </c:pt>
                <c:pt idx="2">
                  <c:v>-1.1023729087095586</c:v>
                </c:pt>
                <c:pt idx="3">
                  <c:v>-1.1611509092627446</c:v>
                </c:pt>
                <c:pt idx="4">
                  <c:v>-1.2291479883578558</c:v>
                </c:pt>
                <c:pt idx="5">
                  <c:v>-1.3098039199714864</c:v>
                </c:pt>
              </c:numCache>
            </c:numRef>
          </c:xVal>
          <c:yVal>
            <c:numRef>
              <c:f>'Merged-Part5'!$AK$11:$AK$16</c:f>
              <c:numCache>
                <c:formatCode>General</c:formatCode>
                <c:ptCount val="6"/>
                <c:pt idx="0">
                  <c:v>-5.8241520139769927</c:v>
                </c:pt>
                <c:pt idx="1">
                  <c:v>-5.7852339479466233</c:v>
                </c:pt>
                <c:pt idx="2">
                  <c:v>-5.7060527018989982</c:v>
                </c:pt>
                <c:pt idx="3">
                  <c:v>-5.6174947632557082</c:v>
                </c:pt>
                <c:pt idx="4">
                  <c:v>-5.5119570208549682</c:v>
                </c:pt>
                <c:pt idx="5">
                  <c:v>-5.4289348636404284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BD-4B7F-BCDB-75547EBBA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945855"/>
        <c:axId val="1361946271"/>
      </c:scatterChart>
      <c:valAx>
        <c:axId val="1361945855"/>
        <c:scaling>
          <c:orientation val="minMax"/>
          <c:max val="-0.5"/>
          <c:min val="-1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i="1"/>
                  <a:t>log(R</a:t>
                </a:r>
                <a:r>
                  <a:rPr lang="en-GB" sz="1400" i="1" baseline="0"/>
                  <a:t> / N)</a:t>
                </a:r>
                <a:endParaRPr lang="en-GB" sz="1400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46271"/>
        <c:crosses val="autoZero"/>
        <c:crossBetween val="midCat"/>
      </c:valAx>
      <c:valAx>
        <c:axId val="1361946271"/>
        <c:scaling>
          <c:orientation val="minMax"/>
          <c:max val="-5"/>
          <c:min val="-7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i="1"/>
                  <a:t>log(F</a:t>
                </a:r>
                <a:r>
                  <a:rPr lang="en-GB" sz="1400" i="1" baseline="0"/>
                  <a:t> / N)</a:t>
                </a:r>
                <a:endParaRPr lang="en-GB" sz="1400" i="1"/>
              </a:p>
            </c:rich>
          </c:tx>
          <c:layout>
            <c:manualLayout>
              <c:xMode val="edge"/>
              <c:yMode val="edge"/>
              <c:x val="7.3338216443874747E-3"/>
              <c:y val="0.47306829467262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4585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7.7141144570669062E-2"/>
          <c:y val="0.7076436519815188"/>
          <c:w val="0.27400389359726979"/>
          <c:h val="0.20454740678076397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62634709421011"/>
          <c:y val="6.6894694823186857E-2"/>
          <c:w val="0.8025926265030825"/>
          <c:h val="0.81682320773521599"/>
        </c:manualLayout>
      </c:layout>
      <c:scatterChart>
        <c:scatterStyle val="lineMarker"/>
        <c:varyColors val="0"/>
        <c:ser>
          <c:idx val="0"/>
          <c:order val="0"/>
          <c:tx>
            <c:v>Iteration 1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'Merged-Part5'!$C$40:$C$46</c:f>
              <c:numCache>
                <c:formatCode>General</c:formatCode>
                <c:ptCount val="7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  <c:pt idx="6">
                  <c:v>8</c:v>
                </c:pt>
              </c:numCache>
            </c:numRef>
          </c:xVal>
          <c:yVal>
            <c:numRef>
              <c:f>'Merged-Part5'!$B$40:$B$46</c:f>
              <c:numCache>
                <c:formatCode>General</c:formatCode>
                <c:ptCount val="7"/>
                <c:pt idx="0">
                  <c:v>8.2647754384528455E-10</c:v>
                </c:pt>
                <c:pt idx="1">
                  <c:v>8.0300951773566518E-10</c:v>
                </c:pt>
                <c:pt idx="2">
                  <c:v>9.8060159905646402E-10</c:v>
                </c:pt>
                <c:pt idx="3">
                  <c:v>1.2249386499447531E-9</c:v>
                </c:pt>
                <c:pt idx="4">
                  <c:v>1.1194195639712066E-9</c:v>
                </c:pt>
                <c:pt idx="5">
                  <c:v>1.1017404618243319E-9</c:v>
                </c:pt>
                <c:pt idx="6">
                  <c:v>1.1603304778408269E-9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7F-42D8-8FFB-D2EBFAFF63D7}"/>
            </c:ext>
          </c:extLst>
        </c:ser>
        <c:ser>
          <c:idx val="1"/>
          <c:order val="1"/>
          <c:tx>
            <c:v>Iteration 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'Merged-Part5'!$C$47:$C$53</c:f>
              <c:numCache>
                <c:formatCode>General</c:formatCode>
                <c:ptCount val="7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  <c:pt idx="6">
                  <c:v>8</c:v>
                </c:pt>
              </c:numCache>
            </c:numRef>
          </c:xVal>
          <c:yVal>
            <c:numRef>
              <c:f>'Merged-Part5'!$B$47:$B$53</c:f>
              <c:numCache>
                <c:formatCode>General</c:formatCode>
                <c:ptCount val="7"/>
                <c:pt idx="0">
                  <c:v>1.129183293460513E-9</c:v>
                </c:pt>
                <c:pt idx="1">
                  <c:v>1.3064791673635215E-9</c:v>
                </c:pt>
                <c:pt idx="2">
                  <c:v>1.3412994514490291E-9</c:v>
                </c:pt>
                <c:pt idx="3">
                  <c:v>1.2696772235646572E-9</c:v>
                </c:pt>
                <c:pt idx="4">
                  <c:v>1.2183766774847114E-9</c:v>
                </c:pt>
                <c:pt idx="5">
                  <c:v>1.2834887961889811E-9</c:v>
                </c:pt>
                <c:pt idx="6">
                  <c:v>1.3627390358145822E-9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7F-42D8-8FFB-D2EBFAFF6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913184"/>
        <c:axId val="1469915264"/>
      </c:scatterChart>
      <c:valAx>
        <c:axId val="146991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R</a:t>
                </a:r>
                <a:r>
                  <a:rPr lang="en-GB" sz="1200" baseline="0"/>
                  <a:t> / cm</a:t>
                </a:r>
                <a:endParaRPr lang="en-GB" sz="1200"/>
              </a:p>
            </c:rich>
          </c:tx>
          <c:layout>
            <c:manualLayout>
              <c:xMode val="edge"/>
              <c:yMode val="edge"/>
              <c:x val="0.48806469443257577"/>
              <c:y val="0.94151756129887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915264"/>
        <c:crosses val="autoZero"/>
        <c:crossBetween val="midCat"/>
      </c:valAx>
      <c:valAx>
        <c:axId val="1469915264"/>
        <c:scaling>
          <c:orientation val="minMax"/>
          <c:min val="7.0000000000000037E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Q</a:t>
                </a:r>
                <a:r>
                  <a:rPr lang="en-GB" sz="1200" baseline="0"/>
                  <a:t> / C</a:t>
                </a:r>
                <a:endParaRPr lang="en-GB" sz="1200"/>
              </a:p>
            </c:rich>
          </c:tx>
          <c:layout>
            <c:manualLayout>
              <c:xMode val="edge"/>
              <c:yMode val="edge"/>
              <c:x val="0"/>
              <c:y val="0.466855773463099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913184"/>
        <c:crosses val="autoZero"/>
        <c:crossBetween val="midCat"/>
        <c:majorUnit val="2.0000000000000011E-1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694628080933616"/>
          <c:y val="0.61128282877683771"/>
          <c:w val="0.21182238363615402"/>
          <c:h val="0.2236596171005463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Part6!$I$3:$I$6</c:f>
              <c:numCache>
                <c:formatCode>General</c:formatCode>
                <c:ptCount val="4"/>
                <c:pt idx="0">
                  <c:v>-5.3884758335239598</c:v>
                </c:pt>
                <c:pt idx="1">
                  <c:v>-5.2103311688372198</c:v>
                </c:pt>
                <c:pt idx="2">
                  <c:v>-5.0518928108177832</c:v>
                </c:pt>
                <c:pt idx="3">
                  <c:v>-5.0068945765377331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79-40C6-A87B-DAE750F83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01088"/>
        <c:axId val="141900672"/>
      </c:scatterChart>
      <c:valAx>
        <c:axId val="14190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00672"/>
        <c:crosses val="autoZero"/>
        <c:crossBetween val="midCat"/>
      </c:valAx>
      <c:valAx>
        <c:axId val="14190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0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31022341719481E-2"/>
          <c:y val="7.0958929429595946E-2"/>
          <c:w val="0.90558344636450649"/>
          <c:h val="0.85067169420723832"/>
        </c:manualLayout>
      </c:layout>
      <c:scatterChart>
        <c:scatterStyle val="lineMarker"/>
        <c:varyColors val="0"/>
        <c:ser>
          <c:idx val="0"/>
          <c:order val="0"/>
          <c:tx>
            <c:v>log(Q)-log(F)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Part8!$M$7:$M$12</c:f>
                <c:numCache>
                  <c:formatCode>General</c:formatCode>
                  <c:ptCount val="6"/>
                  <c:pt idx="0">
                    <c:v>6.7848752330778694E-2</c:v>
                  </c:pt>
                  <c:pt idx="1">
                    <c:v>7.5781788412885298E-2</c:v>
                  </c:pt>
                  <c:pt idx="2">
                    <c:v>0.13679230171746681</c:v>
                  </c:pt>
                  <c:pt idx="3">
                    <c:v>0.1052752502714025</c:v>
                  </c:pt>
                  <c:pt idx="4">
                    <c:v>0.66155699980188221</c:v>
                  </c:pt>
                  <c:pt idx="5">
                    <c:v>0.88340574941823835</c:v>
                  </c:pt>
                </c:numCache>
              </c:numRef>
            </c:plus>
            <c:minus>
              <c:numRef>
                <c:f>Part8!$M$7:$M$12</c:f>
                <c:numCache>
                  <c:formatCode>General</c:formatCode>
                  <c:ptCount val="6"/>
                  <c:pt idx="0">
                    <c:v>6.7848752330778694E-2</c:v>
                  </c:pt>
                  <c:pt idx="1">
                    <c:v>7.5781788412885298E-2</c:v>
                  </c:pt>
                  <c:pt idx="2">
                    <c:v>0.13679230171746681</c:v>
                  </c:pt>
                  <c:pt idx="3">
                    <c:v>0.1052752502714025</c:v>
                  </c:pt>
                  <c:pt idx="4">
                    <c:v>0.66155699980188221</c:v>
                  </c:pt>
                  <c:pt idx="5">
                    <c:v>0.88340574941823835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Part8!$H$7:$H$12</c:f>
              <c:numCache>
                <c:formatCode>General</c:formatCode>
                <c:ptCount val="6"/>
                <c:pt idx="0">
                  <c:v>0</c:v>
                </c:pt>
                <c:pt idx="1">
                  <c:v>-0.3010299956639812</c:v>
                </c:pt>
                <c:pt idx="2">
                  <c:v>-0.6020599913279624</c:v>
                </c:pt>
                <c:pt idx="3">
                  <c:v>-0.90308998699194354</c:v>
                </c:pt>
                <c:pt idx="4">
                  <c:v>-1.2041199826559248</c:v>
                </c:pt>
                <c:pt idx="5">
                  <c:v>-1.505149978319906</c:v>
                </c:pt>
              </c:numCache>
            </c:numRef>
          </c:xVal>
          <c:yVal>
            <c:numRef>
              <c:f>Part8!$I$7:$I$12</c:f>
              <c:numCache>
                <c:formatCode>General</c:formatCode>
                <c:ptCount val="6"/>
                <c:pt idx="0">
                  <c:v>-6.3293019922968989</c:v>
                </c:pt>
                <c:pt idx="1">
                  <c:v>-6.5392515186135469</c:v>
                </c:pt>
                <c:pt idx="2">
                  <c:v>-6.8064232470165615</c:v>
                </c:pt>
                <c:pt idx="3">
                  <c:v>-7.0282719966329168</c:v>
                </c:pt>
                <c:pt idx="4">
                  <c:v>-7.8064232470165553</c:v>
                </c:pt>
                <c:pt idx="5">
                  <c:v>-8.1074532426805366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54-41F2-BD29-81E1039772AB}"/>
            </c:ext>
          </c:extLst>
        </c:ser>
        <c:ser>
          <c:idx val="1"/>
          <c:order val="1"/>
          <c:tx>
            <c:v>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Part8!$H$7:$H$12</c:f>
              <c:numCache>
                <c:formatCode>General</c:formatCode>
                <c:ptCount val="6"/>
                <c:pt idx="0">
                  <c:v>0</c:v>
                </c:pt>
                <c:pt idx="1">
                  <c:v>-0.3010299956639812</c:v>
                </c:pt>
                <c:pt idx="2">
                  <c:v>-0.6020599913279624</c:v>
                </c:pt>
                <c:pt idx="3">
                  <c:v>-0.90308998699194354</c:v>
                </c:pt>
                <c:pt idx="4">
                  <c:v>-1.2041199826559248</c:v>
                </c:pt>
                <c:pt idx="5">
                  <c:v>-1.505149978319906</c:v>
                </c:pt>
              </c:numCache>
            </c:numRef>
          </c:xVal>
          <c:yVal>
            <c:numRef>
              <c:f>Part8!$N$7:$N$12</c:f>
              <c:numCache>
                <c:formatCode>General</c:formatCode>
                <c:ptCount val="6"/>
                <c:pt idx="0">
                  <c:v>-6.2740931608882216</c:v>
                </c:pt>
                <c:pt idx="1">
                  <c:v>-6.5570613568123637</c:v>
                </c:pt>
                <c:pt idx="2">
                  <c:v>-6.8400295527365058</c:v>
                </c:pt>
                <c:pt idx="3">
                  <c:v>-7.1229977486606479</c:v>
                </c:pt>
                <c:pt idx="4">
                  <c:v>-7.405965944584791</c:v>
                </c:pt>
                <c:pt idx="5">
                  <c:v>-7.6889341405089331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02-4E20-A4B6-8B9C5FEA6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36448"/>
        <c:axId val="63035200"/>
      </c:scatterChart>
      <c:valAx>
        <c:axId val="6303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i="1"/>
                  <a:t>log(Q</a:t>
                </a:r>
                <a:r>
                  <a:rPr lang="en-GB" sz="1400" i="1" baseline="0"/>
                  <a:t> / C)</a:t>
                </a:r>
                <a:endParaRPr lang="en-GB" sz="1400" i="1"/>
              </a:p>
            </c:rich>
          </c:tx>
          <c:layout>
            <c:manualLayout>
              <c:xMode val="edge"/>
              <c:yMode val="edge"/>
              <c:x val="0.45015633532385635"/>
              <c:y val="0.91226484538417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5200"/>
        <c:crosses val="autoZero"/>
        <c:crossBetween val="midCat"/>
      </c:valAx>
      <c:valAx>
        <c:axId val="63035200"/>
        <c:scaling>
          <c:orientation val="minMax"/>
          <c:max val="-6"/>
          <c:min val="-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i="1"/>
                  <a:t>log</a:t>
                </a:r>
                <a:r>
                  <a:rPr lang="en-GB" sz="1400" i="1" baseline="0"/>
                  <a:t> (F / N)</a:t>
                </a:r>
                <a:endParaRPr lang="en-GB" sz="1400" i="1"/>
              </a:p>
            </c:rich>
          </c:tx>
          <c:layout>
            <c:manualLayout>
              <c:xMode val="edge"/>
              <c:yMode val="edge"/>
              <c:x val="2.1465647330996375E-3"/>
              <c:y val="0.408707882009672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6448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72842033160489084"/>
          <c:y val="0.69785442312668666"/>
          <c:w val="0.16903309647269701"/>
          <c:h val="0.15669069535322167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665704</xdr:colOff>
      <xdr:row>37</xdr:row>
      <xdr:rowOff>65314</xdr:rowOff>
    </xdr:from>
    <xdr:to>
      <xdr:col>6</xdr:col>
      <xdr:colOff>147376</xdr:colOff>
      <xdr:row>57</xdr:row>
      <xdr:rowOff>53591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1234047</xdr:colOff>
      <xdr:row>19</xdr:row>
      <xdr:rowOff>125506</xdr:rowOff>
    </xdr:from>
    <xdr:to>
      <xdr:col>7</xdr:col>
      <xdr:colOff>233083</xdr:colOff>
      <xdr:row>37</xdr:row>
      <xdr:rowOff>24092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43544</xdr:colOff>
      <xdr:row>19</xdr:row>
      <xdr:rowOff>108216</xdr:rowOff>
    </xdr:from>
    <xdr:to>
      <xdr:col>11</xdr:col>
      <xdr:colOff>490498</xdr:colOff>
      <xdr:row>22</xdr:row>
      <xdr:rowOff>39701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E5465C9-7B2C-44C9-AE75-01F2CECAF947}"/>
            </a:ext>
          </a:extLst>
        </xdr:cNvPr>
        <xdr:cNvSpPr txBox="1"/>
      </xdr:nvSpPr>
      <xdr:spPr>
        <a:xfrm>
          <a:off x="6694715" y="3624302"/>
          <a:ext cx="2493469" cy="486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rgbClr val="FF0000"/>
              </a:solidFill>
            </a:rPr>
            <a:t>Second run through of the experiment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419100</xdr:colOff>
      <xdr:row>0</xdr:row>
      <xdr:rowOff>0</xdr:rowOff>
    </xdr:from>
    <xdr:to>
      <xdr:col>25</xdr:col>
      <xdr:colOff>15240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E79306-BEA0-485D-A590-80CF67708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11</xdr:row>
      <xdr:rowOff>152400</xdr:rowOff>
    </xdr:from>
    <xdr:to>
      <xdr:col>16</xdr:col>
      <xdr:colOff>274320</xdr:colOff>
      <xdr:row>17</xdr:row>
      <xdr:rowOff>15240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FF0F549-1780-431A-9BDF-F28A0C38779C}"/>
            </a:ext>
          </a:extLst>
        </xdr:cNvPr>
        <xdr:cNvSpPr txBox="1"/>
      </xdr:nvSpPr>
      <xdr:spPr>
        <a:xfrm>
          <a:off x="8503920" y="2164080"/>
          <a:ext cx="2141220" cy="960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Error</a:t>
          </a:r>
          <a:r>
            <a:rPr lang="en-GB" sz="1100" baseline="0"/>
            <a:t> in gradient +-0.14</a:t>
          </a:r>
        </a:p>
        <a:p>
          <a:endParaRPr lang="en-GB" sz="1100" baseline="0"/>
        </a:p>
      </xdr:txBody>
    </xdr:sp>
    <xdr:clientData/>
  </xdr:twoCellAnchor>
  <xdr:twoCellAnchor>
    <xdr:from>
      <xdr:col>4</xdr:col>
      <xdr:colOff>662940</xdr:colOff>
      <xdr:row>35</xdr:row>
      <xdr:rowOff>167640</xdr:rowOff>
    </xdr:from>
    <xdr:to>
      <xdr:col>13</xdr:col>
      <xdr:colOff>434340</xdr:colOff>
      <xdr:row>56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4E47EF-E1A0-40E4-A754-A2803ECD8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12</xdr:row>
      <xdr:rowOff>114300</xdr:rowOff>
    </xdr:from>
    <xdr:to>
      <xdr:col>16</xdr:col>
      <xdr:colOff>571500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11</xdr:row>
      <xdr:rowOff>114300</xdr:rowOff>
    </xdr:from>
    <xdr:to>
      <xdr:col>5</xdr:col>
      <xdr:colOff>409575</xdr:colOff>
      <xdr:row>18</xdr:row>
      <xdr:rowOff>104775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676275" y="2209800"/>
          <a:ext cx="2781300" cy="1323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Analysis done in part 5 - sheet</a:t>
          </a:r>
        </a:p>
        <a:p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350520</xdr:colOff>
      <xdr:row>15</xdr:row>
      <xdr:rowOff>152400</xdr:rowOff>
    </xdr:from>
    <xdr:to>
      <xdr:col>12</xdr:col>
      <xdr:colOff>480060</xdr:colOff>
      <xdr:row>45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9"/>
  <sheetViews>
    <sheetView workbookViewId="0">
      <selection activeCell="C9" sqref="C9"/>
    </sheetView>
  </sheetViews>
  <sheetFormatPr defaultRowHeight="14.4" x14ac:dyDescent="0.3"/>
  <cols>
    <col min="2" max="2" width="16.5546875" customWidth="1"/>
    <col min="3" max="3" width="12" bestFit="1" customWidth="1"/>
  </cols>
  <sheetData>
    <row r="2" spans="2:3" x14ac:dyDescent="0.3">
      <c r="B2" s="2" t="s">
        <v>0</v>
      </c>
      <c r="C2" s="2" t="s">
        <v>1</v>
      </c>
    </row>
    <row r="3" spans="2:3" x14ac:dyDescent="0.3">
      <c r="B3" s="3">
        <v>29.83</v>
      </c>
      <c r="C3" s="3">
        <f>B3/5</f>
        <v>5.9659999999999993</v>
      </c>
    </row>
    <row r="4" spans="2:3" x14ac:dyDescent="0.3">
      <c r="B4" s="3">
        <v>29.26</v>
      </c>
      <c r="C4" s="3">
        <f>B4/5</f>
        <v>5.8520000000000003</v>
      </c>
    </row>
    <row r="5" spans="2:3" x14ac:dyDescent="0.3">
      <c r="B5" s="3">
        <v>29.3</v>
      </c>
      <c r="C5" s="3">
        <f>B5/5</f>
        <v>5.86</v>
      </c>
    </row>
    <row r="6" spans="2:3" x14ac:dyDescent="0.3">
      <c r="B6" s="3">
        <v>29.37</v>
      </c>
      <c r="C6" s="3">
        <f>B6/5</f>
        <v>5.8740000000000006</v>
      </c>
    </row>
    <row r="8" spans="2:3" x14ac:dyDescent="0.3">
      <c r="B8" s="4" t="s">
        <v>1</v>
      </c>
      <c r="C8" s="3">
        <f>AVERAGE(C3:C6)</f>
        <v>5.8879999999999999</v>
      </c>
    </row>
    <row r="9" spans="2:3" x14ac:dyDescent="0.3">
      <c r="B9" s="4" t="s">
        <v>2</v>
      </c>
      <c r="C9" s="3">
        <f>(4*PI()^2*0.000272)/C8^2</f>
        <v>3.0973696467856345E-4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X54"/>
  <sheetViews>
    <sheetView topLeftCell="E1" zoomScale="70" zoomScaleNormal="70" workbookViewId="0">
      <selection activeCell="P5" sqref="P5"/>
    </sheetView>
  </sheetViews>
  <sheetFormatPr defaultRowHeight="14.4" x14ac:dyDescent="0.3"/>
  <cols>
    <col min="2" max="2" width="20.109375" customWidth="1"/>
    <col min="5" max="5" width="17.44140625" customWidth="1"/>
    <col min="6" max="6" width="11.6640625" customWidth="1"/>
    <col min="7" max="7" width="12" bestFit="1" customWidth="1"/>
    <col min="11" max="11" width="12.109375" customWidth="1"/>
    <col min="12" max="12" width="11.6640625" customWidth="1"/>
    <col min="19" max="19" width="12" bestFit="1" customWidth="1"/>
  </cols>
  <sheetData>
    <row r="2" spans="2:19" x14ac:dyDescent="0.3">
      <c r="B2" s="2" t="s">
        <v>6</v>
      </c>
      <c r="C2" s="2" t="s">
        <v>7</v>
      </c>
      <c r="D2" s="2" t="s">
        <v>9</v>
      </c>
      <c r="E2" s="2" t="s">
        <v>12</v>
      </c>
      <c r="F2" s="2" t="s">
        <v>8</v>
      </c>
      <c r="G2" s="2" t="s">
        <v>3</v>
      </c>
      <c r="H2" s="2" t="s">
        <v>13</v>
      </c>
      <c r="J2" s="2" t="s">
        <v>20</v>
      </c>
      <c r="K2" s="2" t="s">
        <v>19</v>
      </c>
      <c r="O2" t="s">
        <v>4</v>
      </c>
      <c r="P2" t="s">
        <v>5</v>
      </c>
      <c r="R2" t="s">
        <v>15</v>
      </c>
      <c r="S2" t="s">
        <v>14</v>
      </c>
    </row>
    <row r="3" spans="2:19" x14ac:dyDescent="0.3">
      <c r="B3">
        <v>24</v>
      </c>
      <c r="F3">
        <v>4</v>
      </c>
      <c r="O3" t="s">
        <v>10</v>
      </c>
      <c r="P3" t="s">
        <v>11</v>
      </c>
      <c r="R3" t="s">
        <v>16</v>
      </c>
      <c r="S3" t="s">
        <v>17</v>
      </c>
    </row>
    <row r="4" spans="2:19" x14ac:dyDescent="0.3">
      <c r="B4">
        <v>22</v>
      </c>
      <c r="F4">
        <v>1.9</v>
      </c>
    </row>
    <row r="5" spans="2:19" x14ac:dyDescent="0.3">
      <c r="B5" s="3">
        <v>20</v>
      </c>
      <c r="C5" s="3">
        <f>B5+2.9</f>
        <v>22.9</v>
      </c>
      <c r="D5" s="3">
        <v>13.5</v>
      </c>
      <c r="E5" s="3">
        <v>0.6</v>
      </c>
      <c r="F5" s="3">
        <f>D5-12</f>
        <v>1.5</v>
      </c>
      <c r="G5" s="3">
        <f>0.00031*F5*0.01/2*2.015*0.025</f>
        <v>1.1712187500000002E-7</v>
      </c>
      <c r="H5" s="3">
        <f>1/C5^2</f>
        <v>1.9069049026525049E-3</v>
      </c>
      <c r="J5" s="3">
        <f>LOG(C5*0.01)</f>
        <v>-0.64016451766011206</v>
      </c>
      <c r="K5" s="3">
        <f t="shared" ref="K5:K11" si="0">LOG(G5)</f>
        <v>-6.9313619836248614</v>
      </c>
      <c r="P5">
        <f>Calibration!C9</f>
        <v>3.0973696467856345E-4</v>
      </c>
    </row>
    <row r="6" spans="2:19" x14ac:dyDescent="0.3">
      <c r="B6" s="3">
        <v>18</v>
      </c>
      <c r="C6" s="3">
        <f t="shared" ref="C6:C11" si="1">B6+2.9</f>
        <v>20.9</v>
      </c>
      <c r="D6" s="3">
        <v>13.7</v>
      </c>
      <c r="E6" s="3">
        <v>0.5</v>
      </c>
      <c r="F6" s="3">
        <f t="shared" ref="F6:F11" si="2">D6-12</f>
        <v>1.6999999999999993</v>
      </c>
      <c r="G6" s="3">
        <f t="shared" ref="G6:G11" si="3">0.00031*F6*0.01/2*2.015*0.025</f>
        <v>1.3273812499999996E-7</v>
      </c>
      <c r="H6" s="3">
        <f t="shared" ref="H6:H11" si="4">1/C6^2</f>
        <v>2.2893248780934505E-3</v>
      </c>
      <c r="J6" s="3">
        <f t="shared" ref="J6:J11" si="5">LOG(C6*0.01)</f>
        <v>-0.679853713888946</v>
      </c>
      <c r="K6" s="3">
        <f t="shared" si="0"/>
        <v>-6.8770043213022687</v>
      </c>
    </row>
    <row r="7" spans="2:19" x14ac:dyDescent="0.3">
      <c r="B7" s="3">
        <v>16</v>
      </c>
      <c r="C7" s="3">
        <f t="shared" si="1"/>
        <v>18.899999999999999</v>
      </c>
      <c r="D7" s="3">
        <v>15.1</v>
      </c>
      <c r="E7" s="3">
        <v>1.1000000000000001</v>
      </c>
      <c r="F7" s="3">
        <f t="shared" si="2"/>
        <v>3.0999999999999996</v>
      </c>
      <c r="G7" s="3">
        <f t="shared" si="3"/>
        <v>2.42051875E-7</v>
      </c>
      <c r="H7" s="3">
        <f t="shared" si="4"/>
        <v>2.7994736989445991E-3</v>
      </c>
      <c r="J7" s="3">
        <f t="shared" si="5"/>
        <v>-0.72353819582675583</v>
      </c>
      <c r="K7" s="3">
        <f t="shared" si="0"/>
        <v>-6.6160915488462697</v>
      </c>
    </row>
    <row r="8" spans="2:19" x14ac:dyDescent="0.3">
      <c r="B8" s="3">
        <v>14</v>
      </c>
      <c r="C8" s="3">
        <f t="shared" si="1"/>
        <v>16.899999999999999</v>
      </c>
      <c r="D8" s="3">
        <f>(19.1+17)/2</f>
        <v>18.05</v>
      </c>
      <c r="E8" s="3">
        <v>1.1000000000000001</v>
      </c>
      <c r="F8" s="3">
        <f t="shared" si="2"/>
        <v>6.0500000000000007</v>
      </c>
      <c r="G8" s="3">
        <f t="shared" si="3"/>
        <v>4.7239156250000012E-7</v>
      </c>
      <c r="H8" s="3">
        <f t="shared" si="4"/>
        <v>3.5012779664577577E-3</v>
      </c>
      <c r="J8" s="3">
        <f t="shared" si="5"/>
        <v>-0.77211329538632656</v>
      </c>
      <c r="K8" s="3">
        <f t="shared" si="0"/>
        <v>-6.3256978680280733</v>
      </c>
    </row>
    <row r="9" spans="2:19" x14ac:dyDescent="0.3">
      <c r="B9" s="3">
        <v>12</v>
      </c>
      <c r="C9" s="3">
        <f t="shared" si="1"/>
        <v>14.9</v>
      </c>
      <c r="D9" s="3">
        <f>(19.8+17.2)/2</f>
        <v>18.5</v>
      </c>
      <c r="E9" s="3">
        <v>1.3</v>
      </c>
      <c r="F9" s="3">
        <f t="shared" si="2"/>
        <v>6.5</v>
      </c>
      <c r="G9" s="3">
        <f t="shared" si="3"/>
        <v>5.0752812499999997E-7</v>
      </c>
      <c r="H9" s="3">
        <f t="shared" si="4"/>
        <v>4.5043016080356735E-3</v>
      </c>
      <c r="J9" s="3">
        <f t="shared" si="5"/>
        <v>-0.82681373158772598</v>
      </c>
      <c r="K9" s="3">
        <f t="shared" si="0"/>
        <v>-6.2945398860376871</v>
      </c>
    </row>
    <row r="10" spans="2:19" x14ac:dyDescent="0.3">
      <c r="B10" s="3">
        <v>10</v>
      </c>
      <c r="C10" s="3">
        <f t="shared" si="1"/>
        <v>12.9</v>
      </c>
      <c r="D10" s="3">
        <f>(21.4+19.4)/2</f>
        <v>20.399999999999999</v>
      </c>
      <c r="E10" s="3">
        <v>1.5</v>
      </c>
      <c r="F10" s="3">
        <f t="shared" si="2"/>
        <v>8.3999999999999986</v>
      </c>
      <c r="G10" s="3">
        <f t="shared" si="3"/>
        <v>6.5588249999999998E-7</v>
      </c>
      <c r="H10" s="3">
        <f t="shared" si="4"/>
        <v>6.0092542515473831E-3</v>
      </c>
      <c r="J10" s="3">
        <f t="shared" si="5"/>
        <v>-0.88941028970075098</v>
      </c>
      <c r="K10" s="3">
        <f t="shared" si="0"/>
        <v>-6.1831739566186608</v>
      </c>
    </row>
    <row r="11" spans="2:19" x14ac:dyDescent="0.3">
      <c r="B11" s="3">
        <v>8</v>
      </c>
      <c r="C11" s="3">
        <f t="shared" si="1"/>
        <v>10.9</v>
      </c>
      <c r="D11" s="3">
        <f>(27.5+22.6)/2</f>
        <v>25.05</v>
      </c>
      <c r="E11" s="3">
        <f>(27.5-22.6)/2</f>
        <v>2.4499999999999993</v>
      </c>
      <c r="F11" s="3">
        <f t="shared" si="2"/>
        <v>13.05</v>
      </c>
      <c r="G11" s="3">
        <f t="shared" si="3"/>
        <v>1.0189603125000003E-6</v>
      </c>
      <c r="H11" s="3">
        <f t="shared" si="4"/>
        <v>8.4167999326656001E-3</v>
      </c>
      <c r="J11" s="3">
        <f t="shared" si="5"/>
        <v>-0.96257350205937642</v>
      </c>
      <c r="K11" s="3">
        <f t="shared" si="0"/>
        <v>-5.9918427310062423</v>
      </c>
    </row>
    <row r="14" spans="2:19" x14ac:dyDescent="0.3">
      <c r="B14" s="2" t="s">
        <v>6</v>
      </c>
      <c r="C14" s="2" t="s">
        <v>7</v>
      </c>
      <c r="D14" s="2" t="s">
        <v>9</v>
      </c>
      <c r="E14" s="2" t="s">
        <v>12</v>
      </c>
      <c r="F14" s="2" t="s">
        <v>8</v>
      </c>
      <c r="G14" s="2" t="s">
        <v>3</v>
      </c>
      <c r="H14" s="2" t="s">
        <v>13</v>
      </c>
      <c r="J14" s="1" t="s">
        <v>20</v>
      </c>
      <c r="K14" s="1" t="s">
        <v>19</v>
      </c>
    </row>
    <row r="15" spans="2:19" x14ac:dyDescent="0.3">
      <c r="B15" s="3">
        <v>5</v>
      </c>
      <c r="C15" s="3">
        <f>B15+2.9</f>
        <v>7.9</v>
      </c>
      <c r="D15" s="3">
        <v>28.6</v>
      </c>
      <c r="E15" s="3">
        <v>4</v>
      </c>
      <c r="F15" s="3">
        <f>D15-C20</f>
        <v>28.6</v>
      </c>
      <c r="G15" s="3">
        <f>0.00031*F15*0.01/2*2.015*0.025</f>
        <v>2.2331237500000002E-6</v>
      </c>
      <c r="H15" s="3">
        <f>1/(C15^2)</f>
        <v>1.6023073225444641E-2</v>
      </c>
      <c r="J15">
        <f>LOG(C15*0.01)</f>
        <v>-1.1023729087095586</v>
      </c>
      <c r="K15">
        <f>LOG(G15)</f>
        <v>-5.6510872095514992</v>
      </c>
    </row>
    <row r="16" spans="2:19" x14ac:dyDescent="0.3">
      <c r="B16" s="3">
        <v>4</v>
      </c>
      <c r="C16" s="3">
        <f t="shared" ref="C16:C18" si="6">B16+2.9</f>
        <v>6.9</v>
      </c>
      <c r="D16" s="3">
        <f>31.8</f>
        <v>31.8</v>
      </c>
      <c r="E16" s="3">
        <v>2.6</v>
      </c>
      <c r="F16" s="3">
        <f t="shared" ref="F16:F18" si="7">D16-C21</f>
        <v>31.8</v>
      </c>
      <c r="G16" s="3">
        <f t="shared" ref="G16:G18" si="8">0.00031*F16*0.01/2*2.015*0.025</f>
        <v>2.4829837500000003E-6</v>
      </c>
      <c r="H16" s="3">
        <f t="shared" ref="H16:H18" si="9">1/(C16^2)</f>
        <v>2.1003990758244065E-2</v>
      </c>
      <c r="J16">
        <f t="shared" ref="J16:J18" si="10">LOG(C16*0.01)</f>
        <v>-1.1611509092627446</v>
      </c>
      <c r="K16">
        <f>LOG(G16)</f>
        <v>-5.6050261226961098</v>
      </c>
    </row>
    <row r="17" spans="2:24" x14ac:dyDescent="0.3">
      <c r="B17" s="3">
        <v>3</v>
      </c>
      <c r="C17" s="3">
        <f t="shared" si="6"/>
        <v>5.9</v>
      </c>
      <c r="D17" s="3">
        <v>45.8</v>
      </c>
      <c r="E17" s="3">
        <v>5.4</v>
      </c>
      <c r="F17" s="3">
        <f t="shared" si="7"/>
        <v>45.8</v>
      </c>
      <c r="G17" s="3">
        <f t="shared" si="8"/>
        <v>3.5761212500000006E-6</v>
      </c>
      <c r="H17" s="3">
        <f t="shared" si="9"/>
        <v>2.8727377190462509E-2</v>
      </c>
      <c r="J17">
        <f t="shared" si="10"/>
        <v>-1.2291479883578558</v>
      </c>
      <c r="K17">
        <f>LOG(G17)</f>
        <v>-5.4465877646766732</v>
      </c>
    </row>
    <row r="18" spans="2:24" x14ac:dyDescent="0.3">
      <c r="B18" s="3">
        <v>2</v>
      </c>
      <c r="C18" s="3">
        <f t="shared" si="6"/>
        <v>4.9000000000000004</v>
      </c>
      <c r="D18" s="3">
        <v>50.8</v>
      </c>
      <c r="E18" s="3">
        <v>4.9000000000000004</v>
      </c>
      <c r="F18" s="3">
        <f t="shared" si="7"/>
        <v>50.8</v>
      </c>
      <c r="G18" s="3">
        <f t="shared" si="8"/>
        <v>3.9665275000000003E-6</v>
      </c>
      <c r="H18" s="3">
        <f t="shared" si="9"/>
        <v>4.1649312786339016E-2</v>
      </c>
      <c r="J18">
        <f t="shared" si="10"/>
        <v>-1.3098039199714864</v>
      </c>
      <c r="K18">
        <f>LOG(G18)</f>
        <v>-5.401589530396623</v>
      </c>
    </row>
    <row r="28" spans="2:24" x14ac:dyDescent="0.3">
      <c r="N28" t="s">
        <v>29</v>
      </c>
      <c r="O28">
        <v>17.399999999999999</v>
      </c>
      <c r="P28">
        <v>1</v>
      </c>
    </row>
    <row r="30" spans="2:24" x14ac:dyDescent="0.3">
      <c r="N30" t="s">
        <v>21</v>
      </c>
      <c r="O30" t="s">
        <v>23</v>
      </c>
      <c r="P30" t="s">
        <v>32</v>
      </c>
      <c r="Q30" t="s">
        <v>30</v>
      </c>
      <c r="R30" t="s">
        <v>27</v>
      </c>
      <c r="S30" t="s">
        <v>28</v>
      </c>
      <c r="T30" t="s">
        <v>31</v>
      </c>
      <c r="U30" t="s">
        <v>20</v>
      </c>
      <c r="V30" t="s">
        <v>19</v>
      </c>
      <c r="W30" t="s">
        <v>33</v>
      </c>
      <c r="X30" t="s">
        <v>34</v>
      </c>
    </row>
    <row r="31" spans="2:24" x14ac:dyDescent="0.3">
      <c r="N31">
        <v>22</v>
      </c>
      <c r="O31">
        <f>N31+2.9</f>
        <v>24.9</v>
      </c>
      <c r="Q31">
        <v>19.3</v>
      </c>
      <c r="R31">
        <v>0.7</v>
      </c>
      <c r="S31">
        <f>Q31-17.4</f>
        <v>1.9000000000000021</v>
      </c>
      <c r="T31">
        <f>0.00031*S31*0.01/2*2.015*0.025</f>
        <v>1.4835437500000018E-7</v>
      </c>
      <c r="U31">
        <f>LOG(O31*0.01)</f>
        <v>-0.60380065290426366</v>
      </c>
      <c r="V31">
        <f>LOG(T31)</f>
        <v>-6.828699641727713</v>
      </c>
      <c r="W31">
        <f>LOG((Q31+R31)*0.01)-LOG((Q31-R31)*0.01)</f>
        <v>3.151705144606487E-2</v>
      </c>
    </row>
    <row r="32" spans="2:24" x14ac:dyDescent="0.3">
      <c r="N32">
        <v>20</v>
      </c>
      <c r="O32">
        <f t="shared" ref="O32:O40" si="11">N32+2.9</f>
        <v>22.9</v>
      </c>
      <c r="Q32">
        <v>20.2</v>
      </c>
      <c r="R32">
        <v>1.8</v>
      </c>
      <c r="S32">
        <f t="shared" ref="S32:S40" si="12">Q32-17.4</f>
        <v>2.8000000000000007</v>
      </c>
      <c r="T32">
        <f t="shared" ref="T32:T40" si="13">0.00031*S32*0.01/2*2.015*0.025</f>
        <v>2.1862750000000006E-7</v>
      </c>
      <c r="U32">
        <f t="shared" ref="U32:U40" si="14">LOG(O32*0.01)</f>
        <v>-0.64016451766011206</v>
      </c>
      <c r="V32">
        <f t="shared" ref="V32:V40" si="15">LOG(T32)</f>
        <v>-6.6602952113383234</v>
      </c>
      <c r="W32">
        <f t="shared" ref="W32:W40" si="16">LOG((Q32+R32)*0.01)-LOG((Q32-R32)*0.01)</f>
        <v>7.7604857812669792E-2</v>
      </c>
    </row>
    <row r="33" spans="14:23" x14ac:dyDescent="0.3">
      <c r="N33">
        <v>18</v>
      </c>
      <c r="O33">
        <f t="shared" si="11"/>
        <v>20.9</v>
      </c>
      <c r="Q33">
        <v>21.9</v>
      </c>
      <c r="R33">
        <v>1.1000000000000001</v>
      </c>
      <c r="S33">
        <f t="shared" si="12"/>
        <v>4.5</v>
      </c>
      <c r="T33">
        <f t="shared" si="13"/>
        <v>3.5136562500000007E-7</v>
      </c>
      <c r="U33">
        <f t="shared" si="14"/>
        <v>-0.679853713888946</v>
      </c>
      <c r="V33">
        <f t="shared" si="15"/>
        <v>-6.4542407289051988</v>
      </c>
      <c r="W33">
        <f t="shared" si="16"/>
        <v>4.3664501054831439E-2</v>
      </c>
    </row>
    <row r="34" spans="14:23" x14ac:dyDescent="0.3">
      <c r="N34">
        <v>16</v>
      </c>
      <c r="O34">
        <f t="shared" si="11"/>
        <v>18.899999999999999</v>
      </c>
      <c r="Q34">
        <v>23.2</v>
      </c>
      <c r="R34">
        <v>1</v>
      </c>
      <c r="S34">
        <f t="shared" si="12"/>
        <v>5.8000000000000007</v>
      </c>
      <c r="T34">
        <f t="shared" si="13"/>
        <v>4.5287125000000004E-7</v>
      </c>
      <c r="U34">
        <f t="shared" si="14"/>
        <v>-0.72353819582675583</v>
      </c>
      <c r="V34">
        <f t="shared" si="15"/>
        <v>-6.344025249117605</v>
      </c>
      <c r="W34">
        <f t="shared" si="16"/>
        <v>3.7462391529792693E-2</v>
      </c>
    </row>
    <row r="35" spans="14:23" x14ac:dyDescent="0.3">
      <c r="N35">
        <v>14</v>
      </c>
      <c r="O35">
        <f t="shared" si="11"/>
        <v>16.899999999999999</v>
      </c>
      <c r="Q35">
        <v>23.9</v>
      </c>
      <c r="R35">
        <v>1</v>
      </c>
      <c r="S35">
        <f t="shared" si="12"/>
        <v>6.5</v>
      </c>
      <c r="T35">
        <f t="shared" si="13"/>
        <v>5.0752812499999997E-7</v>
      </c>
      <c r="U35">
        <f t="shared" si="14"/>
        <v>-0.77211329538632656</v>
      </c>
      <c r="V35">
        <f t="shared" si="15"/>
        <v>-6.2945398860376871</v>
      </c>
      <c r="W35">
        <f t="shared" si="16"/>
        <v>3.6363864755848407E-2</v>
      </c>
    </row>
    <row r="36" spans="14:23" x14ac:dyDescent="0.3">
      <c r="N36">
        <v>12</v>
      </c>
      <c r="O36">
        <f t="shared" si="11"/>
        <v>14.9</v>
      </c>
      <c r="Q36">
        <v>25.1</v>
      </c>
      <c r="R36">
        <v>1.1000000000000001</v>
      </c>
      <c r="S36">
        <f t="shared" si="12"/>
        <v>7.7000000000000028</v>
      </c>
      <c r="T36">
        <f t="shared" si="13"/>
        <v>6.0122562500000027E-7</v>
      </c>
      <c r="U36">
        <f t="shared" si="14"/>
        <v>-0.82681373158772598</v>
      </c>
      <c r="V36">
        <f t="shared" si="15"/>
        <v>-6.2209625175080605</v>
      </c>
      <c r="W36">
        <f t="shared" si="16"/>
        <v>3.8090049608139442E-2</v>
      </c>
    </row>
    <row r="37" spans="14:23" x14ac:dyDescent="0.3">
      <c r="N37">
        <v>10</v>
      </c>
      <c r="O37">
        <f t="shared" si="11"/>
        <v>12.9</v>
      </c>
      <c r="Q37">
        <v>28.8</v>
      </c>
      <c r="R37">
        <v>1.6</v>
      </c>
      <c r="S37">
        <f t="shared" si="12"/>
        <v>11.400000000000002</v>
      </c>
      <c r="T37">
        <f t="shared" si="13"/>
        <v>8.9012625000000031E-7</v>
      </c>
      <c r="U37">
        <f t="shared" si="14"/>
        <v>-0.88941028970075098</v>
      </c>
      <c r="V37">
        <f t="shared" si="15"/>
        <v>-6.0505483913440701</v>
      </c>
      <c r="W37">
        <f t="shared" si="16"/>
        <v>4.8304679574554976E-2</v>
      </c>
    </row>
    <row r="38" spans="14:23" x14ac:dyDescent="0.3">
      <c r="N38">
        <v>8</v>
      </c>
      <c r="O38">
        <f t="shared" si="11"/>
        <v>10.9</v>
      </c>
      <c r="Q38">
        <v>35.4</v>
      </c>
      <c r="R38">
        <v>2.2000000000000002</v>
      </c>
      <c r="S38">
        <f t="shared" si="12"/>
        <v>18</v>
      </c>
      <c r="T38">
        <f t="shared" si="13"/>
        <v>1.4054625000000003E-6</v>
      </c>
      <c r="U38">
        <f t="shared" si="14"/>
        <v>-0.96257350205937642</v>
      </c>
      <c r="V38">
        <f t="shared" si="15"/>
        <v>-5.8521807375772363</v>
      </c>
      <c r="W38">
        <f t="shared" si="16"/>
        <v>5.4049761223624815E-2</v>
      </c>
    </row>
    <row r="39" spans="14:23" x14ac:dyDescent="0.3">
      <c r="N39">
        <v>7</v>
      </c>
      <c r="O39">
        <f t="shared" si="11"/>
        <v>9.9</v>
      </c>
      <c r="Q39">
        <v>36.6</v>
      </c>
      <c r="R39">
        <v>2.1</v>
      </c>
      <c r="S39">
        <f t="shared" si="12"/>
        <v>19.200000000000003</v>
      </c>
      <c r="T39">
        <f t="shared" si="13"/>
        <v>1.4991600000000004E-6</v>
      </c>
      <c r="U39">
        <f t="shared" si="14"/>
        <v>-1.0043648054024501</v>
      </c>
      <c r="V39">
        <f t="shared" si="15"/>
        <v>-5.8241520139769927</v>
      </c>
      <c r="W39">
        <f t="shared" si="16"/>
        <v>4.9891869945637268E-2</v>
      </c>
    </row>
    <row r="40" spans="14:23" x14ac:dyDescent="0.3">
      <c r="N40">
        <v>6</v>
      </c>
      <c r="O40">
        <f t="shared" si="11"/>
        <v>8.9</v>
      </c>
      <c r="Q40">
        <v>38.4</v>
      </c>
      <c r="R40">
        <v>1.9</v>
      </c>
      <c r="S40">
        <f t="shared" si="12"/>
        <v>21</v>
      </c>
      <c r="T40">
        <f t="shared" si="13"/>
        <v>1.6397062500000002E-6</v>
      </c>
      <c r="U40">
        <f t="shared" si="14"/>
        <v>-1.0506099933550872</v>
      </c>
      <c r="V40">
        <f t="shared" si="15"/>
        <v>-5.7852339479466233</v>
      </c>
      <c r="W40">
        <f t="shared" si="16"/>
        <v>4.301218168463472E-2</v>
      </c>
    </row>
    <row r="41" spans="14:23" x14ac:dyDescent="0.3">
      <c r="N41">
        <v>5</v>
      </c>
      <c r="O41">
        <f>N41+2.9</f>
        <v>7.9</v>
      </c>
      <c r="Q41">
        <v>42.6</v>
      </c>
      <c r="R41">
        <v>1</v>
      </c>
      <c r="S41">
        <f>Q41-17.4</f>
        <v>25.200000000000003</v>
      </c>
      <c r="T41">
        <f>0.00031*S41*0.01/2*2.015*0.025</f>
        <v>1.9676475000000008E-6</v>
      </c>
      <c r="U41">
        <f>LOG(O41*0.01)</f>
        <v>-1.1023729087095586</v>
      </c>
      <c r="V41">
        <f>LOG(T41)</f>
        <v>-5.7060527018989982</v>
      </c>
      <c r="W41">
        <f>LOG((Q41+R41)*0.01)-LOG((Q41-R41)*0.01)</f>
        <v>2.0393158641843268E-2</v>
      </c>
    </row>
    <row r="42" spans="14:23" x14ac:dyDescent="0.3">
      <c r="N42">
        <v>4</v>
      </c>
      <c r="O42">
        <f>N42+2.9</f>
        <v>6.9</v>
      </c>
      <c r="Q42">
        <v>48.3</v>
      </c>
      <c r="R42">
        <v>1.7</v>
      </c>
      <c r="S42">
        <f>Q42-17.4</f>
        <v>30.9</v>
      </c>
      <c r="T42">
        <f>0.00031*S42*0.01/2*2.015*0.025</f>
        <v>2.4127106250000001E-6</v>
      </c>
      <c r="U42">
        <f>LOG(O42*0.01)</f>
        <v>-1.1611509092627446</v>
      </c>
      <c r="V42">
        <f>LOG(T42)</f>
        <v>-5.6174947632557082</v>
      </c>
      <c r="W42">
        <f>LOG((Q42+R42)*0.01)-LOG((Q42-R42)*0.01)</f>
        <v>3.0584087646018665E-2</v>
      </c>
    </row>
    <row r="43" spans="14:23" x14ac:dyDescent="0.3">
      <c r="N43">
        <v>3</v>
      </c>
      <c r="O43">
        <f>N43+2.9</f>
        <v>5.9</v>
      </c>
      <c r="Q43">
        <v>56.8</v>
      </c>
      <c r="R43">
        <v>2.5</v>
      </c>
      <c r="S43">
        <f>Q43-17.4</f>
        <v>39.4</v>
      </c>
      <c r="T43">
        <f>0.00031*S43*0.01/2*2.015*0.025</f>
        <v>3.0764012500000004E-6</v>
      </c>
      <c r="U43">
        <f>LOG(O43*0.01)</f>
        <v>-1.2291479883578558</v>
      </c>
      <c r="V43">
        <f>LOG(T43)</f>
        <v>-5.5119570208549682</v>
      </c>
      <c r="W43">
        <f>LOG((Q43+R43)*0.01)-LOG((Q43-R43)*0.01)</f>
        <v>3.8254863775415593E-2</v>
      </c>
    </row>
    <row r="44" spans="14:23" x14ac:dyDescent="0.3">
      <c r="N44">
        <v>2</v>
      </c>
      <c r="O44">
        <f>N44+2.9</f>
        <v>4.9000000000000004</v>
      </c>
      <c r="Q44">
        <v>65.099999999999994</v>
      </c>
      <c r="R44">
        <v>3.9</v>
      </c>
      <c r="S44">
        <f>Q44-17.4</f>
        <v>47.699999999999996</v>
      </c>
      <c r="T44">
        <f>0.00031*S44*0.01/2*2.015*0.025</f>
        <v>3.7244756250000001E-6</v>
      </c>
      <c r="U44">
        <f>LOG(O44*0.01)</f>
        <v>-1.3098039199714864</v>
      </c>
      <c r="V44">
        <f>LOG(T44)</f>
        <v>-5.4289348636404284</v>
      </c>
      <c r="W44">
        <f>LOG((Q44+R44)*0.01)-LOG((Q44-R44)*0.01)</f>
        <v>5.209766859169418E-2</v>
      </c>
    </row>
    <row r="45" spans="14:23" x14ac:dyDescent="0.3">
      <c r="N45" s="3"/>
      <c r="O45" s="3"/>
      <c r="P45" s="3"/>
      <c r="Q45" s="3"/>
      <c r="R45" s="3"/>
      <c r="S45" s="3"/>
      <c r="T45" s="3"/>
      <c r="V45" s="3"/>
      <c r="W45" s="3"/>
    </row>
    <row r="46" spans="14:23" x14ac:dyDescent="0.3">
      <c r="N46" s="3"/>
      <c r="O46" s="3"/>
      <c r="P46" s="3"/>
      <c r="Q46" s="3"/>
      <c r="R46" s="3"/>
      <c r="S46" s="3"/>
      <c r="T46" s="3"/>
      <c r="V46" s="3"/>
      <c r="W46" s="3"/>
    </row>
    <row r="47" spans="14:23" x14ac:dyDescent="0.3">
      <c r="N47" s="3"/>
      <c r="O47" s="3"/>
      <c r="P47" s="3"/>
      <c r="Q47" s="3"/>
      <c r="R47" s="3"/>
      <c r="S47" s="3"/>
      <c r="T47" s="3"/>
      <c r="V47" s="3"/>
      <c r="W47" s="3"/>
    </row>
    <row r="50" spans="14:23" x14ac:dyDescent="0.3">
      <c r="N50" s="2"/>
      <c r="O50" s="2"/>
      <c r="P50" s="2"/>
      <c r="Q50" s="2"/>
      <c r="R50" s="2"/>
      <c r="S50" s="2"/>
      <c r="T50" s="2"/>
      <c r="V50" s="1"/>
      <c r="W50" s="1"/>
    </row>
    <row r="51" spans="14:23" x14ac:dyDescent="0.3">
      <c r="N51" s="3"/>
      <c r="O51" s="3"/>
      <c r="P51" s="3"/>
      <c r="Q51" s="3"/>
      <c r="R51" s="3"/>
      <c r="S51" s="3"/>
      <c r="T51" s="3"/>
    </row>
    <row r="52" spans="14:23" x14ac:dyDescent="0.3">
      <c r="N52" s="3"/>
      <c r="O52" s="3"/>
      <c r="P52" s="3"/>
      <c r="Q52" s="3"/>
      <c r="R52" s="3"/>
      <c r="S52" s="3"/>
      <c r="T52" s="3"/>
    </row>
    <row r="53" spans="14:23" x14ac:dyDescent="0.3">
      <c r="N53" s="3"/>
      <c r="O53" s="3"/>
      <c r="P53" s="3"/>
      <c r="Q53" s="3"/>
      <c r="R53" s="3"/>
      <c r="S53" s="3"/>
      <c r="T53" s="3"/>
    </row>
    <row r="54" spans="14:23" x14ac:dyDescent="0.3">
      <c r="N54" s="3"/>
      <c r="O54" s="3"/>
      <c r="P54" s="3"/>
      <c r="Q54" s="3"/>
      <c r="R54" s="3"/>
      <c r="S54" s="3"/>
      <c r="T54" s="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99AA-AF13-4A56-B075-819FB9B4D2A5}">
  <dimension ref="B2:AP59"/>
  <sheetViews>
    <sheetView tabSelected="1" topLeftCell="G2" workbookViewId="0">
      <selection activeCell="P18" sqref="P18"/>
    </sheetView>
  </sheetViews>
  <sheetFormatPr defaultRowHeight="14.4" x14ac:dyDescent="0.3"/>
  <cols>
    <col min="2" max="2" width="24.6640625" customWidth="1"/>
    <col min="3" max="3" width="12" bestFit="1" customWidth="1"/>
    <col min="5" max="5" width="12" bestFit="1" customWidth="1"/>
    <col min="7" max="7" width="12" bestFit="1" customWidth="1"/>
    <col min="11" max="12" width="12" bestFit="1" customWidth="1"/>
    <col min="14" max="14" width="11.6640625" customWidth="1"/>
    <col min="17" max="17" width="15.77734375" customWidth="1"/>
    <col min="24" max="26" width="12" bestFit="1" customWidth="1"/>
    <col min="27" max="27" width="12.44140625" customWidth="1"/>
  </cols>
  <sheetData>
    <row r="2" spans="2:42" x14ac:dyDescent="0.3">
      <c r="B2" s="2" t="s">
        <v>6</v>
      </c>
      <c r="C2" s="2" t="s">
        <v>7</v>
      </c>
      <c r="D2" s="2" t="s">
        <v>9</v>
      </c>
      <c r="E2" s="2" t="s">
        <v>12</v>
      </c>
      <c r="F2" s="2" t="s">
        <v>8</v>
      </c>
      <c r="G2" s="2" t="s">
        <v>3</v>
      </c>
      <c r="H2" s="2" t="s">
        <v>20</v>
      </c>
      <c r="I2" s="2" t="s">
        <v>19</v>
      </c>
      <c r="J2" s="2" t="s">
        <v>35</v>
      </c>
      <c r="K2" s="2" t="s">
        <v>37</v>
      </c>
      <c r="L2" s="2" t="s">
        <v>36</v>
      </c>
      <c r="M2" s="2" t="s">
        <v>38</v>
      </c>
      <c r="N2" s="2" t="s">
        <v>39</v>
      </c>
      <c r="AC2" s="1" t="s">
        <v>21</v>
      </c>
      <c r="AD2" s="1" t="s">
        <v>23</v>
      </c>
      <c r="AE2" s="1" t="s">
        <v>32</v>
      </c>
      <c r="AF2" s="1" t="s">
        <v>30</v>
      </c>
      <c r="AG2" s="1" t="s">
        <v>27</v>
      </c>
      <c r="AH2" s="1" t="s">
        <v>28</v>
      </c>
      <c r="AI2" s="1" t="s">
        <v>31</v>
      </c>
      <c r="AJ2" s="1" t="s">
        <v>20</v>
      </c>
      <c r="AK2" s="1" t="s">
        <v>19</v>
      </c>
      <c r="AL2" s="1" t="s">
        <v>33</v>
      </c>
      <c r="AM2" s="1" t="s">
        <v>37</v>
      </c>
      <c r="AN2" s="1" t="s">
        <v>36</v>
      </c>
      <c r="AO2" s="1" t="s">
        <v>38</v>
      </c>
      <c r="AP2" s="1" t="s">
        <v>39</v>
      </c>
    </row>
    <row r="3" spans="2:42" x14ac:dyDescent="0.3">
      <c r="B3" s="3">
        <v>20</v>
      </c>
      <c r="C3" s="3">
        <f t="shared" ref="C3:C10" si="0">B3+2.9</f>
        <v>22.9</v>
      </c>
      <c r="D3" s="3">
        <v>13.5</v>
      </c>
      <c r="E3" s="3">
        <v>0.6</v>
      </c>
      <c r="F3" s="3">
        <f t="shared" ref="F3:F9" si="1">D3-12</f>
        <v>1.5</v>
      </c>
      <c r="G3" s="3">
        <f>0.00031*F3*0.01/2*2.015*0.025</f>
        <v>1.1712187500000002E-7</v>
      </c>
      <c r="H3" s="3">
        <f t="shared" ref="H3:H13" si="2">LOG(C3*0.01)</f>
        <v>-0.64016451766011206</v>
      </c>
      <c r="I3" s="3">
        <f t="shared" ref="I3:I13" si="3">LOG(G3)</f>
        <v>-6.9313619836248614</v>
      </c>
      <c r="J3" s="3">
        <v>7</v>
      </c>
      <c r="K3" s="3">
        <f>0.00036*(F3+E3/2)*0.01/2*2.01*0.022</f>
        <v>1.4327279999999998E-7</v>
      </c>
      <c r="L3" s="3">
        <f>0.00026*(F3-E3/2)*0.01/2*2.02*0.028</f>
        <v>8.8233599999999986E-8</v>
      </c>
      <c r="M3" s="3">
        <f>LOG(K3)-I3</f>
        <v>8.7525732074168694E-2</v>
      </c>
      <c r="N3" s="3">
        <f>I3-LOG(L3)</f>
        <v>0.12300401723183363</v>
      </c>
      <c r="AC3">
        <v>22</v>
      </c>
      <c r="AD3">
        <f>AC3+2.9</f>
        <v>24.9</v>
      </c>
      <c r="AF3">
        <v>19.3</v>
      </c>
      <c r="AG3">
        <v>0.7</v>
      </c>
      <c r="AH3">
        <f>AF3-17.4</f>
        <v>1.9000000000000021</v>
      </c>
      <c r="AI3">
        <f>0.00031*AH3*0.01/2*2.015*0.025</f>
        <v>1.4835437500000018E-7</v>
      </c>
      <c r="AJ3">
        <f>LOG(AD3*0.01)</f>
        <v>-0.60380065290426366</v>
      </c>
      <c r="AK3">
        <f>LOG(AI3)</f>
        <v>-6.828699641727713</v>
      </c>
      <c r="AL3">
        <f>(LOG((AF3+AG3)*0.01)-LOG((AF3-AG3)*0.01))/2</f>
        <v>1.5758525723032435E-2</v>
      </c>
      <c r="AM3">
        <f>0.00036*(AH3+AG3/2)*0.01/2*2.01*0.022</f>
        <v>1.7909100000000016E-7</v>
      </c>
      <c r="AN3">
        <f>0.00026*(AH3-AG3/2)*0.01/2*2.02*0.028</f>
        <v>1.1396840000000013E-7</v>
      </c>
      <c r="AO3">
        <f>LOG(AM3)-AK3</f>
        <v>8.177340318507742E-2</v>
      </c>
      <c r="AP3">
        <f>AK3-LOG(AN3)</f>
        <v>0.11451590700631531</v>
      </c>
    </row>
    <row r="4" spans="2:42" x14ac:dyDescent="0.3">
      <c r="B4" s="3">
        <v>18</v>
      </c>
      <c r="C4" s="3">
        <f t="shared" si="0"/>
        <v>20.9</v>
      </c>
      <c r="D4" s="3">
        <v>13.7</v>
      </c>
      <c r="E4" s="3">
        <v>0.5</v>
      </c>
      <c r="F4" s="3">
        <f t="shared" si="1"/>
        <v>1.6999999999999993</v>
      </c>
      <c r="G4" s="3">
        <f t="shared" ref="G3:G10" si="4">0.00031*F4*0.01/2*2.015*0.025</f>
        <v>1.3273812499999996E-7</v>
      </c>
      <c r="H4" s="3">
        <f t="shared" si="2"/>
        <v>-0.679853713888946</v>
      </c>
      <c r="I4" s="3">
        <f t="shared" si="3"/>
        <v>-6.8770043213022687</v>
      </c>
      <c r="J4" s="3">
        <f t="shared" ref="J4:J13" si="5">(LOG((D4+E4)*0.01)-LOG((D4-E4)*0.01))/2</f>
        <v>1.585720658860329E-2</v>
      </c>
      <c r="K4" s="3">
        <f t="shared" ref="K4:K13" si="6">0.00036*(F4+E4/2)*0.01/2*2.01*0.022</f>
        <v>1.5521219999999993E-7</v>
      </c>
      <c r="L4" s="3">
        <f t="shared" ref="L4:L13" si="7">0.00026*(F4-E4/2)*0.01/2*2.02*0.028</f>
        <v>1.0661559999999995E-7</v>
      </c>
      <c r="M4" s="3">
        <f t="shared" ref="M4:M13" si="8">LOG(K4)-I4</f>
        <v>6.7930176010787768E-2</v>
      </c>
      <c r="N4" s="3">
        <f t="shared" ref="N4:N13" si="9">I4-LOG(L4)</f>
        <v>9.5174923367077113E-2</v>
      </c>
      <c r="AC4">
        <v>20</v>
      </c>
      <c r="AD4">
        <f t="shared" ref="AD4:AD12" si="10">AC4+2.9</f>
        <v>22.9</v>
      </c>
      <c r="AF4">
        <v>20.2</v>
      </c>
      <c r="AG4">
        <v>1.8</v>
      </c>
      <c r="AH4">
        <f t="shared" ref="AH4:AH12" si="11">AF4-17.4</f>
        <v>2.8000000000000007</v>
      </c>
      <c r="AI4">
        <f t="shared" ref="AI4:AI12" si="12">0.00031*AH4*0.01/2*2.015*0.025</f>
        <v>2.1862750000000006E-7</v>
      </c>
      <c r="AJ4">
        <f t="shared" ref="AJ4:AJ12" si="13">LOG(AD4*0.01)</f>
        <v>-0.64016451766011206</v>
      </c>
      <c r="AK4">
        <f t="shared" ref="AK4:AK12" si="14">LOG(AI4)</f>
        <v>-6.6602952113383234</v>
      </c>
      <c r="AL4">
        <f t="shared" ref="AL4:AL16" si="15">(LOG((AF4+AG4)*0.01)-LOG((AF4-AG4)*0.01))/2</f>
        <v>3.8802428906334896E-2</v>
      </c>
      <c r="AM4">
        <f t="shared" ref="AM4:AM16" si="16">0.00036*(AH4+AG4/2)*0.01/2*2.01*0.022</f>
        <v>2.9450520000000001E-7</v>
      </c>
      <c r="AN4">
        <f t="shared" ref="AN4:AN16" si="17">0.00026*(AH4-AG4/2)*0.01/2*2.02*0.028</f>
        <v>1.3970320000000005E-7</v>
      </c>
      <c r="AO4">
        <f t="shared" ref="AO4:AO16" si="18">LOG(AM4)-AK4</f>
        <v>0.12938817875131914</v>
      </c>
      <c r="AP4">
        <f t="shared" ref="AP4:AP16" si="19">AK4-LOG(AN4)</f>
        <v>0.19449843461316796</v>
      </c>
    </row>
    <row r="5" spans="2:42" x14ac:dyDescent="0.3">
      <c r="B5" s="3">
        <v>16</v>
      </c>
      <c r="C5" s="3">
        <f t="shared" si="0"/>
        <v>18.899999999999999</v>
      </c>
      <c r="D5" s="3">
        <v>15.1</v>
      </c>
      <c r="E5" s="3">
        <v>1.1000000000000001</v>
      </c>
      <c r="F5" s="3">
        <f t="shared" si="1"/>
        <v>3.0999999999999996</v>
      </c>
      <c r="G5" s="3">
        <f t="shared" si="4"/>
        <v>2.42051875E-7</v>
      </c>
      <c r="H5" s="3">
        <f t="shared" si="2"/>
        <v>-0.72353819582675583</v>
      </c>
      <c r="I5" s="3">
        <f t="shared" si="3"/>
        <v>-6.6160915488462697</v>
      </c>
      <c r="J5" s="3">
        <f t="shared" si="5"/>
        <v>3.1693489432196464E-2</v>
      </c>
      <c r="K5" s="3">
        <f t="shared" si="6"/>
        <v>2.9052539999999993E-7</v>
      </c>
      <c r="L5" s="3">
        <f t="shared" si="7"/>
        <v>1.8749639999999994E-7</v>
      </c>
      <c r="M5" s="3">
        <f t="shared" si="8"/>
        <v>7.9275656648745141E-2</v>
      </c>
      <c r="N5" s="3">
        <f t="shared" si="9"/>
        <v>0.11091551762409591</v>
      </c>
      <c r="AC5">
        <v>18</v>
      </c>
      <c r="AD5">
        <f t="shared" si="10"/>
        <v>20.9</v>
      </c>
      <c r="AF5">
        <v>21.9</v>
      </c>
      <c r="AG5">
        <v>1.1000000000000001</v>
      </c>
      <c r="AH5">
        <f t="shared" si="11"/>
        <v>4.5</v>
      </c>
      <c r="AI5">
        <f t="shared" si="12"/>
        <v>3.5136562500000007E-7</v>
      </c>
      <c r="AJ5">
        <f t="shared" si="13"/>
        <v>-0.679853713888946</v>
      </c>
      <c r="AK5">
        <f t="shared" si="14"/>
        <v>-6.4542407289051988</v>
      </c>
      <c r="AL5">
        <f t="shared" si="15"/>
        <v>2.183225052741572E-2</v>
      </c>
      <c r="AM5">
        <f t="shared" si="16"/>
        <v>4.0195979999999994E-7</v>
      </c>
      <c r="AN5">
        <f t="shared" si="17"/>
        <v>2.9043560000000003E-7</v>
      </c>
      <c r="AO5">
        <f t="shared" si="18"/>
        <v>5.842335036986146E-2</v>
      </c>
      <c r="AP5">
        <f t="shared" si="19"/>
        <v>8.2709422372660768E-2</v>
      </c>
    </row>
    <row r="6" spans="2:42" x14ac:dyDescent="0.3">
      <c r="B6" s="3">
        <v>14</v>
      </c>
      <c r="C6" s="3">
        <f t="shared" si="0"/>
        <v>16.899999999999999</v>
      </c>
      <c r="D6" s="3">
        <f>(19.1+17)/2</f>
        <v>18.05</v>
      </c>
      <c r="E6" s="3">
        <v>1.1000000000000001</v>
      </c>
      <c r="F6" s="3">
        <f t="shared" si="1"/>
        <v>6.0500000000000007</v>
      </c>
      <c r="G6" s="3">
        <f t="shared" si="4"/>
        <v>4.7239156250000012E-7</v>
      </c>
      <c r="H6" s="3">
        <f t="shared" si="2"/>
        <v>-0.77211329538632656</v>
      </c>
      <c r="I6" s="3">
        <f t="shared" si="3"/>
        <v>-6.3256978680280733</v>
      </c>
      <c r="J6" s="3">
        <f t="shared" si="5"/>
        <v>2.6499537882770319E-2</v>
      </c>
      <c r="K6" s="3">
        <f t="shared" si="6"/>
        <v>5.2533359999999999E-7</v>
      </c>
      <c r="L6" s="3">
        <f t="shared" si="7"/>
        <v>4.04404E-7</v>
      </c>
      <c r="M6" s="3">
        <f t="shared" si="8"/>
        <v>4.6133046915943332E-2</v>
      </c>
      <c r="N6" s="3">
        <f t="shared" si="9"/>
        <v>6.7486689382002751E-2</v>
      </c>
      <c r="AC6">
        <v>16</v>
      </c>
      <c r="AD6">
        <f t="shared" si="10"/>
        <v>18.899999999999999</v>
      </c>
      <c r="AF6">
        <v>23.2</v>
      </c>
      <c r="AG6">
        <v>1</v>
      </c>
      <c r="AH6">
        <f t="shared" si="11"/>
        <v>5.8000000000000007</v>
      </c>
      <c r="AI6">
        <f t="shared" si="12"/>
        <v>4.5287125000000004E-7</v>
      </c>
      <c r="AJ6">
        <f t="shared" si="13"/>
        <v>-0.72353819582675583</v>
      </c>
      <c r="AK6">
        <f t="shared" si="14"/>
        <v>-6.344025249117605</v>
      </c>
      <c r="AL6">
        <f t="shared" si="15"/>
        <v>1.8731195764896347E-2</v>
      </c>
      <c r="AM6">
        <f t="shared" si="16"/>
        <v>5.0145480000000003E-7</v>
      </c>
      <c r="AN6">
        <f t="shared" si="17"/>
        <v>3.8969840000000007E-7</v>
      </c>
      <c r="AO6">
        <f t="shared" si="18"/>
        <v>4.4257041917187934E-2</v>
      </c>
      <c r="AP6">
        <f t="shared" si="19"/>
        <v>6.5246128185926011E-2</v>
      </c>
    </row>
    <row r="7" spans="2:42" x14ac:dyDescent="0.3">
      <c r="B7" s="3">
        <v>12</v>
      </c>
      <c r="C7" s="3">
        <f t="shared" si="0"/>
        <v>14.9</v>
      </c>
      <c r="D7" s="3">
        <f>(19.8+17.2)/2</f>
        <v>18.5</v>
      </c>
      <c r="E7" s="3">
        <v>1.3</v>
      </c>
      <c r="F7" s="3">
        <f t="shared" si="1"/>
        <v>6.5</v>
      </c>
      <c r="G7" s="3">
        <f t="shared" si="4"/>
        <v>5.0752812499999997E-7</v>
      </c>
      <c r="H7" s="3">
        <f t="shared" si="2"/>
        <v>-0.82681373158772598</v>
      </c>
      <c r="I7" s="3">
        <f t="shared" si="3"/>
        <v>-6.2945398860376871</v>
      </c>
      <c r="J7" s="3">
        <f t="shared" si="5"/>
        <v>3.0568371676991113E-2</v>
      </c>
      <c r="K7" s="3">
        <f t="shared" si="6"/>
        <v>5.6911140000000004E-7</v>
      </c>
      <c r="L7" s="3">
        <f t="shared" si="7"/>
        <v>4.301388E-7</v>
      </c>
      <c r="M7" s="3">
        <f t="shared" si="8"/>
        <v>4.9737171184768947E-2</v>
      </c>
      <c r="N7" s="3">
        <f t="shared" si="9"/>
        <v>7.1851494784453074E-2</v>
      </c>
      <c r="AC7">
        <v>14</v>
      </c>
      <c r="AD7">
        <f t="shared" si="10"/>
        <v>16.899999999999999</v>
      </c>
      <c r="AF7">
        <v>23.9</v>
      </c>
      <c r="AG7">
        <v>1</v>
      </c>
      <c r="AH7">
        <f t="shared" si="11"/>
        <v>6.5</v>
      </c>
      <c r="AI7">
        <f t="shared" si="12"/>
        <v>5.0752812499999997E-7</v>
      </c>
      <c r="AJ7">
        <f t="shared" si="13"/>
        <v>-0.77211329538632656</v>
      </c>
      <c r="AK7">
        <f t="shared" si="14"/>
        <v>-6.2945398860376871</v>
      </c>
      <c r="AL7">
        <f t="shared" si="15"/>
        <v>1.8181932377924204E-2</v>
      </c>
      <c r="AM7">
        <f t="shared" si="16"/>
        <v>5.5717200000000001E-7</v>
      </c>
      <c r="AN7">
        <f t="shared" si="17"/>
        <v>4.4116799999999992E-7</v>
      </c>
      <c r="AO7">
        <f t="shared" si="18"/>
        <v>4.052916939794482E-2</v>
      </c>
      <c r="AP7">
        <f t="shared" si="19"/>
        <v>6.0856110482989223E-2</v>
      </c>
    </row>
    <row r="8" spans="2:42" x14ac:dyDescent="0.3">
      <c r="B8" s="3">
        <v>10</v>
      </c>
      <c r="C8" s="3">
        <f t="shared" si="0"/>
        <v>12.9</v>
      </c>
      <c r="D8" s="3">
        <f>(21.4+19.4)/2</f>
        <v>20.399999999999999</v>
      </c>
      <c r="E8" s="3">
        <v>1.5</v>
      </c>
      <c r="F8" s="3">
        <f t="shared" si="1"/>
        <v>8.3999999999999986</v>
      </c>
      <c r="G8" s="3">
        <f t="shared" si="4"/>
        <v>6.5588249999999998E-7</v>
      </c>
      <c r="H8" s="3">
        <f t="shared" si="2"/>
        <v>-0.88941028970075098</v>
      </c>
      <c r="I8" s="3">
        <f t="shared" si="3"/>
        <v>-6.1831739566186608</v>
      </c>
      <c r="J8" s="3">
        <f t="shared" si="5"/>
        <v>3.1991155333437105E-2</v>
      </c>
      <c r="K8" s="3">
        <f t="shared" si="6"/>
        <v>7.2830339999999982E-7</v>
      </c>
      <c r="L8" s="3">
        <f t="shared" si="7"/>
        <v>5.624891999999998E-7</v>
      </c>
      <c r="M8" s="3">
        <f t="shared" si="8"/>
        <v>4.5486294031110042E-2</v>
      </c>
      <c r="N8" s="3">
        <f t="shared" si="9"/>
        <v>6.6711855132042253E-2</v>
      </c>
      <c r="AC8">
        <v>12</v>
      </c>
      <c r="AD8">
        <f t="shared" si="10"/>
        <v>14.9</v>
      </c>
      <c r="AF8">
        <v>25.1</v>
      </c>
      <c r="AG8">
        <v>1.1000000000000001</v>
      </c>
      <c r="AH8">
        <f t="shared" si="11"/>
        <v>7.7000000000000028</v>
      </c>
      <c r="AI8">
        <f t="shared" si="12"/>
        <v>6.0122562500000027E-7</v>
      </c>
      <c r="AJ8">
        <f t="shared" si="13"/>
        <v>-0.82681373158772598</v>
      </c>
      <c r="AK8">
        <f t="shared" si="14"/>
        <v>-6.2209625175080605</v>
      </c>
      <c r="AL8">
        <f t="shared" si="15"/>
        <v>1.9045024804069721E-2</v>
      </c>
      <c r="AM8">
        <f t="shared" si="16"/>
        <v>6.5666700000000025E-7</v>
      </c>
      <c r="AN8">
        <f t="shared" si="17"/>
        <v>5.2572520000000025E-7</v>
      </c>
      <c r="AO8">
        <f t="shared" si="18"/>
        <v>3.8307709403986756E-2</v>
      </c>
      <c r="AP8">
        <f t="shared" si="19"/>
        <v>5.8278687595178624E-2</v>
      </c>
    </row>
    <row r="9" spans="2:42" x14ac:dyDescent="0.3">
      <c r="B9" s="3">
        <v>8</v>
      </c>
      <c r="C9" s="3">
        <f t="shared" si="0"/>
        <v>10.9</v>
      </c>
      <c r="D9" s="3">
        <f>(27.5+22.6)/2</f>
        <v>25.05</v>
      </c>
      <c r="E9" s="3">
        <f>(27.5-22.6)/2</f>
        <v>2.4499999999999993</v>
      </c>
      <c r="F9" s="3">
        <f t="shared" si="1"/>
        <v>13.05</v>
      </c>
      <c r="G9" s="3">
        <f t="shared" si="4"/>
        <v>1.0189603125000003E-6</v>
      </c>
      <c r="H9" s="3">
        <f t="shared" si="2"/>
        <v>-0.96257350205937642</v>
      </c>
      <c r="I9" s="3">
        <f t="shared" si="3"/>
        <v>-5.9918427310062423</v>
      </c>
      <c r="J9" s="3">
        <f t="shared" si="5"/>
        <v>4.2612127341430828E-2</v>
      </c>
      <c r="K9" s="3">
        <f t="shared" si="6"/>
        <v>1.1362329000000001E-6</v>
      </c>
      <c r="L9" s="3">
        <f t="shared" si="7"/>
        <v>8.6946859999999991E-7</v>
      </c>
      <c r="M9" s="3">
        <f t="shared" si="8"/>
        <v>4.7310091270129639E-2</v>
      </c>
      <c r="N9" s="3">
        <f t="shared" si="9"/>
        <v>6.8903366488228812E-2</v>
      </c>
      <c r="AC9">
        <v>10</v>
      </c>
      <c r="AD9">
        <f t="shared" si="10"/>
        <v>12.9</v>
      </c>
      <c r="AF9">
        <v>28.8</v>
      </c>
      <c r="AG9">
        <v>1.6</v>
      </c>
      <c r="AH9">
        <f t="shared" si="11"/>
        <v>11.400000000000002</v>
      </c>
      <c r="AI9">
        <f t="shared" si="12"/>
        <v>8.9012625000000031E-7</v>
      </c>
      <c r="AJ9">
        <f t="shared" si="13"/>
        <v>-0.88941028970075098</v>
      </c>
      <c r="AK9">
        <f t="shared" si="14"/>
        <v>-6.0505483913440701</v>
      </c>
      <c r="AL9">
        <f t="shared" si="15"/>
        <v>2.4152339787277488E-2</v>
      </c>
      <c r="AM9">
        <f t="shared" si="16"/>
        <v>9.7107120000000004E-7</v>
      </c>
      <c r="AN9">
        <f t="shared" si="17"/>
        <v>7.7939680000000015E-7</v>
      </c>
      <c r="AO9">
        <f t="shared" si="18"/>
        <v>3.7799465364819262E-2</v>
      </c>
      <c r="AP9">
        <f t="shared" si="19"/>
        <v>5.7692990295479696E-2</v>
      </c>
    </row>
    <row r="10" spans="2:42" x14ac:dyDescent="0.3">
      <c r="B10" s="3">
        <v>5</v>
      </c>
      <c r="C10" s="3">
        <f t="shared" si="0"/>
        <v>7.9</v>
      </c>
      <c r="D10" s="3">
        <v>28.6</v>
      </c>
      <c r="E10" s="3">
        <v>4</v>
      </c>
      <c r="F10" s="3">
        <f>D10-C15</f>
        <v>28.6</v>
      </c>
      <c r="G10" s="3">
        <f t="shared" si="4"/>
        <v>2.2331237500000002E-6</v>
      </c>
      <c r="H10" s="3">
        <f t="shared" si="2"/>
        <v>-1.1023729087095586</v>
      </c>
      <c r="I10" s="3">
        <f t="shared" si="3"/>
        <v>-5.6510872095514992</v>
      </c>
      <c r="J10" s="3">
        <f t="shared" si="5"/>
        <v>6.1141246482279921E-2</v>
      </c>
      <c r="K10" s="3">
        <f t="shared" si="6"/>
        <v>2.4356376E-6</v>
      </c>
      <c r="L10" s="3">
        <f t="shared" si="7"/>
        <v>1.9558447999999999E-6</v>
      </c>
      <c r="M10" s="3">
        <f t="shared" si="8"/>
        <v>3.7699879379080592E-2</v>
      </c>
      <c r="N10" s="3">
        <f t="shared" si="9"/>
        <v>5.7578400721753908E-2</v>
      </c>
      <c r="AC10">
        <v>8</v>
      </c>
      <c r="AD10">
        <f t="shared" si="10"/>
        <v>10.9</v>
      </c>
      <c r="AF10">
        <v>35.4</v>
      </c>
      <c r="AG10">
        <v>2.2000000000000002</v>
      </c>
      <c r="AH10">
        <f t="shared" si="11"/>
        <v>18</v>
      </c>
      <c r="AI10">
        <f t="shared" si="12"/>
        <v>1.4054625000000003E-6</v>
      </c>
      <c r="AJ10">
        <f t="shared" si="13"/>
        <v>-0.96257350205937642</v>
      </c>
      <c r="AK10">
        <f t="shared" si="14"/>
        <v>-5.8521807375772363</v>
      </c>
      <c r="AL10">
        <f t="shared" si="15"/>
        <v>2.7024880611812407E-2</v>
      </c>
      <c r="AM10">
        <f t="shared" si="16"/>
        <v>1.5202836000000001E-6</v>
      </c>
      <c r="AN10">
        <f t="shared" si="17"/>
        <v>1.2426231999999998E-6</v>
      </c>
      <c r="AO10">
        <f t="shared" si="18"/>
        <v>3.4105348170965222E-2</v>
      </c>
      <c r="AP10">
        <f t="shared" si="19"/>
        <v>5.347980471341085E-2</v>
      </c>
    </row>
    <row r="11" spans="2:42" x14ac:dyDescent="0.3">
      <c r="B11" s="3">
        <v>4</v>
      </c>
      <c r="C11" s="3">
        <f t="shared" ref="C11:C13" si="20">B11+2.9</f>
        <v>6.9</v>
      </c>
      <c r="D11" s="3">
        <f>31.8</f>
        <v>31.8</v>
      </c>
      <c r="E11" s="3">
        <v>2.6</v>
      </c>
      <c r="F11" s="3">
        <f>D11-C16</f>
        <v>31.8</v>
      </c>
      <c r="G11" s="3">
        <f t="shared" ref="G11:G13" si="21">0.00031*F11*0.01/2*2.015*0.025</f>
        <v>2.4829837500000003E-6</v>
      </c>
      <c r="H11" s="3">
        <f t="shared" si="2"/>
        <v>-1.1611509092627446</v>
      </c>
      <c r="I11" s="3">
        <f t="shared" si="3"/>
        <v>-5.6050261226961098</v>
      </c>
      <c r="J11" s="3">
        <f t="shared" si="5"/>
        <v>3.5587795561555891E-2</v>
      </c>
      <c r="K11" s="3">
        <f t="shared" si="6"/>
        <v>2.6346275999999999E-6</v>
      </c>
      <c r="L11" s="3">
        <f t="shared" si="7"/>
        <v>2.2426040000000005E-6</v>
      </c>
      <c r="M11" s="3">
        <f t="shared" si="8"/>
        <v>2.5745359817829438E-2</v>
      </c>
      <c r="N11" s="3">
        <f t="shared" si="9"/>
        <v>4.4221284861424515E-2</v>
      </c>
      <c r="AC11">
        <v>7</v>
      </c>
      <c r="AD11">
        <f t="shared" si="10"/>
        <v>9.9</v>
      </c>
      <c r="AF11">
        <v>36.6</v>
      </c>
      <c r="AG11">
        <v>2.1</v>
      </c>
      <c r="AH11">
        <f t="shared" si="11"/>
        <v>19.200000000000003</v>
      </c>
      <c r="AI11">
        <f t="shared" si="12"/>
        <v>1.4991600000000004E-6</v>
      </c>
      <c r="AJ11">
        <f t="shared" si="13"/>
        <v>-1.0043648054024501</v>
      </c>
      <c r="AK11">
        <f t="shared" si="14"/>
        <v>-5.8241520139769927</v>
      </c>
      <c r="AL11">
        <f t="shared" si="15"/>
        <v>2.4945934972818634E-2</v>
      </c>
      <c r="AM11">
        <f t="shared" si="16"/>
        <v>1.6118190000000001E-6</v>
      </c>
      <c r="AN11">
        <f t="shared" si="17"/>
        <v>1.3345332E-6</v>
      </c>
      <c r="AO11">
        <f t="shared" si="18"/>
        <v>3.1468284873681363E-2</v>
      </c>
      <c r="AP11">
        <f t="shared" si="19"/>
        <v>5.0518603555196329E-2</v>
      </c>
    </row>
    <row r="12" spans="2:42" x14ac:dyDescent="0.3">
      <c r="B12" s="3">
        <v>3</v>
      </c>
      <c r="C12" s="3">
        <f t="shared" si="20"/>
        <v>5.9</v>
      </c>
      <c r="D12" s="3">
        <v>45.8</v>
      </c>
      <c r="E12" s="3">
        <v>5.4</v>
      </c>
      <c r="F12" s="3">
        <f>D12-C17</f>
        <v>45.8</v>
      </c>
      <c r="G12" s="3">
        <f t="shared" si="21"/>
        <v>3.5761212500000006E-6</v>
      </c>
      <c r="H12" s="3">
        <f t="shared" si="2"/>
        <v>-1.2291479883578558</v>
      </c>
      <c r="I12" s="3">
        <f t="shared" si="3"/>
        <v>-5.4465877646766732</v>
      </c>
      <c r="J12" s="3">
        <f t="shared" si="5"/>
        <v>5.1444297932612931E-2</v>
      </c>
      <c r="K12" s="3">
        <f t="shared" si="6"/>
        <v>3.8604059999999992E-6</v>
      </c>
      <c r="L12" s="3">
        <f t="shared" si="7"/>
        <v>3.1690567999999999E-6</v>
      </c>
      <c r="M12" s="3">
        <f t="shared" si="8"/>
        <v>3.3220746624937902E-2</v>
      </c>
      <c r="N12" s="3">
        <f t="shared" si="9"/>
        <v>5.2482212066915501E-2</v>
      </c>
      <c r="AC12">
        <v>6</v>
      </c>
      <c r="AD12">
        <f t="shared" si="10"/>
        <v>8.9</v>
      </c>
      <c r="AF12">
        <v>38.4</v>
      </c>
      <c r="AG12">
        <v>1.9</v>
      </c>
      <c r="AH12">
        <f t="shared" si="11"/>
        <v>21</v>
      </c>
      <c r="AI12">
        <f t="shared" si="12"/>
        <v>1.6397062500000002E-6</v>
      </c>
      <c r="AJ12">
        <f t="shared" si="13"/>
        <v>-1.0506099933550872</v>
      </c>
      <c r="AK12">
        <f t="shared" si="14"/>
        <v>-5.7852339479466233</v>
      </c>
      <c r="AL12">
        <f t="shared" si="15"/>
        <v>2.150609084231736E-2</v>
      </c>
      <c r="AM12">
        <f t="shared" si="16"/>
        <v>1.7471322000000001E-6</v>
      </c>
      <c r="AN12">
        <f t="shared" si="17"/>
        <v>1.4742363999999999E-6</v>
      </c>
      <c r="AO12">
        <f t="shared" si="18"/>
        <v>2.7559715870764556E-2</v>
      </c>
      <c r="AP12">
        <f t="shared" si="19"/>
        <v>4.6198922001496001E-2</v>
      </c>
    </row>
    <row r="13" spans="2:42" x14ac:dyDescent="0.3">
      <c r="B13" s="3">
        <v>2</v>
      </c>
      <c r="C13" s="3">
        <f t="shared" si="20"/>
        <v>4.9000000000000004</v>
      </c>
      <c r="D13" s="3">
        <v>50.8</v>
      </c>
      <c r="E13" s="3">
        <v>4.9000000000000004</v>
      </c>
      <c r="F13" s="3">
        <f>D13-C18</f>
        <v>50.8</v>
      </c>
      <c r="G13" s="3">
        <f t="shared" si="21"/>
        <v>3.9665275000000003E-6</v>
      </c>
      <c r="H13" s="3">
        <f t="shared" si="2"/>
        <v>-1.3098039199714864</v>
      </c>
      <c r="I13" s="3">
        <f t="shared" si="3"/>
        <v>-5.401589530396623</v>
      </c>
      <c r="J13" s="3">
        <f t="shared" si="5"/>
        <v>4.2021254818233794E-2</v>
      </c>
      <c r="K13" s="3">
        <f t="shared" si="6"/>
        <v>4.2384869999999987E-6</v>
      </c>
      <c r="L13" s="3">
        <f t="shared" si="7"/>
        <v>3.5550787999999994E-6</v>
      </c>
      <c r="M13" s="3">
        <f t="shared" si="8"/>
        <v>2.8800385853399391E-2</v>
      </c>
      <c r="N13" s="3">
        <f t="shared" si="9"/>
        <v>4.7561238088676738E-2</v>
      </c>
      <c r="AC13">
        <v>5</v>
      </c>
      <c r="AD13">
        <f>AC13+2.9</f>
        <v>7.9</v>
      </c>
      <c r="AF13">
        <v>42.6</v>
      </c>
      <c r="AG13">
        <v>1</v>
      </c>
      <c r="AH13">
        <f>AF13-17.4</f>
        <v>25.200000000000003</v>
      </c>
      <c r="AI13">
        <f>0.00031*AH13*0.01/2*2.015*0.025</f>
        <v>1.9676475000000008E-6</v>
      </c>
      <c r="AJ13">
        <f>LOG(AD13*0.01)</f>
        <v>-1.1023729087095586</v>
      </c>
      <c r="AK13">
        <f>LOG(AI13)</f>
        <v>-5.7060527018989982</v>
      </c>
      <c r="AL13">
        <f t="shared" si="15"/>
        <v>1.0196579320921634E-2</v>
      </c>
      <c r="AM13">
        <f t="shared" si="16"/>
        <v>2.0456172000000001E-6</v>
      </c>
      <c r="AN13">
        <f t="shared" si="17"/>
        <v>1.8161416000000002E-6</v>
      </c>
      <c r="AO13">
        <f t="shared" si="18"/>
        <v>1.6877068576294008E-2</v>
      </c>
      <c r="AP13">
        <f t="shared" si="19"/>
        <v>3.479759174565622E-2</v>
      </c>
    </row>
    <row r="14" spans="2:42" x14ac:dyDescent="0.3">
      <c r="AC14">
        <v>4</v>
      </c>
      <c r="AD14">
        <f>AC14+2.9</f>
        <v>6.9</v>
      </c>
      <c r="AF14">
        <v>48.3</v>
      </c>
      <c r="AG14">
        <v>1.7</v>
      </c>
      <c r="AH14">
        <f>AF14-17.4</f>
        <v>30.9</v>
      </c>
      <c r="AI14">
        <f>0.00031*AH14*0.01/2*2.015*0.025</f>
        <v>2.4127106250000001E-6</v>
      </c>
      <c r="AJ14">
        <f>LOG(AD14*0.01)</f>
        <v>-1.1611509092627446</v>
      </c>
      <c r="AK14">
        <f>LOG(AI14)</f>
        <v>-5.6174947632557082</v>
      </c>
      <c r="AL14">
        <f t="shared" si="15"/>
        <v>1.5292043823009333E-2</v>
      </c>
      <c r="AM14">
        <f t="shared" si="16"/>
        <v>2.527173E-6</v>
      </c>
      <c r="AN14">
        <f t="shared" si="17"/>
        <v>2.2095163999999995E-6</v>
      </c>
      <c r="AO14">
        <f t="shared" si="18"/>
        <v>2.012973622970371E-2</v>
      </c>
      <c r="AP14">
        <f t="shared" si="19"/>
        <v>3.8208007309854075E-2</v>
      </c>
    </row>
    <row r="15" spans="2:42" x14ac:dyDescent="0.3">
      <c r="AC15">
        <v>3</v>
      </c>
      <c r="AD15">
        <f>AC15+2.9</f>
        <v>5.9</v>
      </c>
      <c r="AF15">
        <v>56.8</v>
      </c>
      <c r="AG15">
        <v>2.5</v>
      </c>
      <c r="AH15">
        <f>AF15-17.4</f>
        <v>39.4</v>
      </c>
      <c r="AI15">
        <f>0.00031*AH15*0.01/2*2.015*0.025</f>
        <v>3.0764012500000004E-6</v>
      </c>
      <c r="AJ15">
        <f>LOG(AD15*0.01)</f>
        <v>-1.2291479883578558</v>
      </c>
      <c r="AK15">
        <f>LOG(AI15)</f>
        <v>-5.5119570208549682</v>
      </c>
      <c r="AL15">
        <f t="shared" si="15"/>
        <v>1.9127431887707796E-2</v>
      </c>
      <c r="AM15">
        <f t="shared" si="16"/>
        <v>3.2355773999999997E-6</v>
      </c>
      <c r="AN15">
        <f t="shared" si="17"/>
        <v>2.8050931999999999E-6</v>
      </c>
      <c r="AO15">
        <f t="shared" si="18"/>
        <v>2.1908814131056609E-2</v>
      </c>
      <c r="AP15">
        <f t="shared" si="19"/>
        <v>4.0095683758452516E-2</v>
      </c>
    </row>
    <row r="16" spans="2:42" x14ac:dyDescent="0.3">
      <c r="AC16">
        <v>2</v>
      </c>
      <c r="AD16">
        <f>AC16+2.9</f>
        <v>4.9000000000000004</v>
      </c>
      <c r="AF16">
        <v>65.099999999999994</v>
      </c>
      <c r="AG16">
        <v>3.9</v>
      </c>
      <c r="AH16">
        <f>AF16-17.4</f>
        <v>47.699999999999996</v>
      </c>
      <c r="AI16">
        <f>0.00031*AH16*0.01/2*2.015*0.025</f>
        <v>3.7244756250000001E-6</v>
      </c>
      <c r="AJ16">
        <f>LOG(AD16*0.01)</f>
        <v>-1.3098039199714864</v>
      </c>
      <c r="AK16">
        <f>LOG(AI16)</f>
        <v>-5.4289348636404284</v>
      </c>
      <c r="AL16">
        <f t="shared" si="15"/>
        <v>2.604883429584709E-2</v>
      </c>
      <c r="AM16">
        <f t="shared" si="16"/>
        <v>3.9519413999999996E-6</v>
      </c>
      <c r="AN16">
        <f t="shared" si="17"/>
        <v>3.3639059999999994E-6</v>
      </c>
      <c r="AO16">
        <f t="shared" si="18"/>
        <v>2.5745359817829438E-2</v>
      </c>
      <c r="AP16">
        <f t="shared" si="19"/>
        <v>4.4221284861424515E-2</v>
      </c>
    </row>
    <row r="18" spans="2:18" x14ac:dyDescent="0.3">
      <c r="K18" t="s">
        <v>40</v>
      </c>
      <c r="L18">
        <v>-2.4188976679606466</v>
      </c>
      <c r="N18" t="s">
        <v>47</v>
      </c>
      <c r="O18">
        <f>40.6-R37</f>
        <v>-0.35295106091191286</v>
      </c>
    </row>
    <row r="19" spans="2:18" x14ac:dyDescent="0.3">
      <c r="K19" t="s">
        <v>42</v>
      </c>
      <c r="L19">
        <v>-8.2317089317078889</v>
      </c>
    </row>
    <row r="21" spans="2:18" x14ac:dyDescent="0.3">
      <c r="O21" t="s">
        <v>41</v>
      </c>
      <c r="P21" t="s">
        <v>43</v>
      </c>
      <c r="Q21" t="s">
        <v>44</v>
      </c>
      <c r="R21" t="s">
        <v>45</v>
      </c>
    </row>
    <row r="22" spans="2:18" x14ac:dyDescent="0.3">
      <c r="B22" s="3">
        <v>20</v>
      </c>
      <c r="C22" s="3">
        <f t="shared" ref="C22:C28" si="22">B22+2.9</f>
        <v>22.9</v>
      </c>
      <c r="D22" s="3">
        <v>13.5</v>
      </c>
      <c r="E22" s="3">
        <v>0.6</v>
      </c>
      <c r="F22" s="3">
        <f t="shared" ref="F22:F28" si="23">D22-12</f>
        <v>1.5</v>
      </c>
      <c r="G22" s="3">
        <f t="shared" ref="G22:G28" si="24">0.00031*F22*0.01/2*2.015*0.025</f>
        <v>1.1712187500000002E-7</v>
      </c>
      <c r="H22" s="3">
        <f t="shared" ref="H22:H35" si="25">LOG(C22*0.01)</f>
        <v>-0.64016451766011206</v>
      </c>
      <c r="I22" s="3">
        <f t="shared" ref="I22:I28" si="26">LOG(G22)</f>
        <v>-6.9313619836248614</v>
      </c>
      <c r="J22" s="3">
        <f>(LOG((D22+E22)*0.01)-LOG((D22-E22)*0.01))/2</f>
        <v>1.9314701178065441E-2</v>
      </c>
      <c r="K22" s="3">
        <f>0.00036*(F22+E22/2)*0.01/2*2.01*0.022</f>
        <v>1.4327279999999998E-7</v>
      </c>
      <c r="L22" s="3">
        <f>0.00026*(F22-E22/2)*0.01/2*2.02*0.028</f>
        <v>8.8233599999999986E-8</v>
      </c>
      <c r="M22" s="3">
        <f>LOG(K22)-I22</f>
        <v>8.7525732074168694E-2</v>
      </c>
      <c r="N22" s="3">
        <f>I22-LOG(L22)</f>
        <v>0.12300401723183363</v>
      </c>
      <c r="O22">
        <f>$L$18*H22 + $L$19</f>
        <v>-6.6832164728286916</v>
      </c>
      <c r="P22">
        <f>O22-I22</f>
        <v>0.24814551079616987</v>
      </c>
      <c r="Q22">
        <f>P22/((M22+N22)/2)</f>
        <v>2.3573439061621024</v>
      </c>
      <c r="R22">
        <f>Q22^2</f>
        <v>5.5570702919195991</v>
      </c>
    </row>
    <row r="23" spans="2:18" x14ac:dyDescent="0.3">
      <c r="B23" s="3">
        <v>18</v>
      </c>
      <c r="C23" s="3">
        <f t="shared" si="22"/>
        <v>20.9</v>
      </c>
      <c r="D23" s="3">
        <v>13.7</v>
      </c>
      <c r="E23" s="3">
        <v>0.5</v>
      </c>
      <c r="F23" s="3">
        <f t="shared" si="23"/>
        <v>1.6999999999999993</v>
      </c>
      <c r="G23" s="3">
        <f t="shared" si="24"/>
        <v>1.3273812499999996E-7</v>
      </c>
      <c r="H23" s="3">
        <f t="shared" si="25"/>
        <v>-0.679853713888946</v>
      </c>
      <c r="I23" s="3">
        <f t="shared" si="26"/>
        <v>-6.8770043213022687</v>
      </c>
      <c r="J23" s="3">
        <f t="shared" ref="J23:J28" si="27">(LOG((D23+E23)*0.01)-LOG((D23-E23)*0.01))/2</f>
        <v>1.585720658860329E-2</v>
      </c>
      <c r="K23" s="3">
        <f t="shared" ref="K23:K28" si="28">0.00036*(F23+E23/2)*0.01/2*2.01*0.022</f>
        <v>1.5521219999999993E-7</v>
      </c>
      <c r="L23" s="3">
        <f t="shared" ref="L23:L28" si="29">0.00026*(F23-E23/2)*0.01/2*2.02*0.028</f>
        <v>1.0661559999999995E-7</v>
      </c>
      <c r="M23" s="3">
        <f t="shared" ref="M23:M28" si="30">LOG(K23)-I23</f>
        <v>6.7930176010787768E-2</v>
      </c>
      <c r="N23" s="3">
        <f t="shared" ref="N23:N28" si="31">I23-LOG(L23)</f>
        <v>9.5174923367077113E-2</v>
      </c>
      <c r="O23">
        <f t="shared" ref="O23:O35" si="32">$L$18*H23 + $L$19</f>
        <v>-6.587212368627533</v>
      </c>
      <c r="P23">
        <f t="shared" ref="P23:P35" si="33">O23-I23</f>
        <v>0.28979195267473568</v>
      </c>
      <c r="Q23">
        <f t="shared" ref="Q23:Q35" si="34">P23/((M23+N23)/2)</f>
        <v>3.5534382895457597</v>
      </c>
      <c r="R23">
        <f t="shared" ref="R23:R35" si="35">Q23^2</f>
        <v>12.626923677609895</v>
      </c>
    </row>
    <row r="24" spans="2:18" x14ac:dyDescent="0.3">
      <c r="B24" s="3">
        <v>16</v>
      </c>
      <c r="C24" s="3">
        <f t="shared" si="22"/>
        <v>18.899999999999999</v>
      </c>
      <c r="D24" s="3">
        <v>15.1</v>
      </c>
      <c r="E24" s="3">
        <v>1.1000000000000001</v>
      </c>
      <c r="F24" s="3">
        <f t="shared" si="23"/>
        <v>3.0999999999999996</v>
      </c>
      <c r="G24" s="3">
        <f t="shared" si="24"/>
        <v>2.42051875E-7</v>
      </c>
      <c r="H24" s="3">
        <f t="shared" si="25"/>
        <v>-0.72353819582675583</v>
      </c>
      <c r="I24" s="3">
        <f t="shared" si="26"/>
        <v>-6.6160915488462697</v>
      </c>
      <c r="J24" s="3">
        <f t="shared" si="27"/>
        <v>3.1693489432196464E-2</v>
      </c>
      <c r="K24" s="3">
        <f t="shared" si="28"/>
        <v>2.9052539999999993E-7</v>
      </c>
      <c r="L24" s="3">
        <f t="shared" si="29"/>
        <v>1.8749639999999994E-7</v>
      </c>
      <c r="M24" s="3">
        <f t="shared" si="30"/>
        <v>7.9275656648745141E-2</v>
      </c>
      <c r="N24" s="3">
        <f t="shared" si="31"/>
        <v>0.11091551762409591</v>
      </c>
      <c r="O24">
        <f t="shared" si="32"/>
        <v>-6.4815440771420958</v>
      </c>
      <c r="P24">
        <f t="shared" si="33"/>
        <v>0.13454747170417392</v>
      </c>
      <c r="Q24">
        <f t="shared" si="34"/>
        <v>1.4148655658559341</v>
      </c>
      <c r="R24">
        <f t="shared" si="35"/>
        <v>2.0018445694448328</v>
      </c>
    </row>
    <row r="25" spans="2:18" x14ac:dyDescent="0.3">
      <c r="B25" s="3">
        <v>14</v>
      </c>
      <c r="C25" s="3">
        <f t="shared" si="22"/>
        <v>16.899999999999999</v>
      </c>
      <c r="D25" s="3">
        <f>(19.1+17)/2</f>
        <v>18.05</v>
      </c>
      <c r="E25" s="3">
        <v>1.1000000000000001</v>
      </c>
      <c r="F25" s="3">
        <f t="shared" si="23"/>
        <v>6.0500000000000007</v>
      </c>
      <c r="G25" s="3">
        <f t="shared" si="24"/>
        <v>4.7239156250000012E-7</v>
      </c>
      <c r="H25" s="3">
        <f t="shared" si="25"/>
        <v>-0.77211329538632656</v>
      </c>
      <c r="I25" s="3">
        <f t="shared" si="26"/>
        <v>-6.3256978680280733</v>
      </c>
      <c r="J25" s="3">
        <f t="shared" si="27"/>
        <v>2.6499537882770319E-2</v>
      </c>
      <c r="K25" s="3">
        <f t="shared" si="28"/>
        <v>5.2533359999999999E-7</v>
      </c>
      <c r="L25" s="3">
        <f t="shared" si="29"/>
        <v>4.04404E-7</v>
      </c>
      <c r="M25" s="3">
        <f t="shared" si="30"/>
        <v>4.6133046915943332E-2</v>
      </c>
      <c r="N25" s="3">
        <f t="shared" si="31"/>
        <v>6.7486689382002751E-2</v>
      </c>
      <c r="O25">
        <f t="shared" si="32"/>
        <v>-6.3640458820964936</v>
      </c>
      <c r="P25">
        <f t="shared" si="33"/>
        <v>-3.8348014068420255E-2</v>
      </c>
      <c r="Q25">
        <f t="shared" si="34"/>
        <v>-0.67502381747938411</v>
      </c>
      <c r="R25">
        <f t="shared" si="35"/>
        <v>0.45565715416444086</v>
      </c>
    </row>
    <row r="26" spans="2:18" x14ac:dyDescent="0.3">
      <c r="B26" s="3">
        <v>12</v>
      </c>
      <c r="C26" s="3">
        <f t="shared" si="22"/>
        <v>14.9</v>
      </c>
      <c r="D26" s="3">
        <f>(19.8+17.2)/2</f>
        <v>18.5</v>
      </c>
      <c r="E26" s="3">
        <v>1.3</v>
      </c>
      <c r="F26" s="3">
        <f t="shared" si="23"/>
        <v>6.5</v>
      </c>
      <c r="G26" s="3">
        <f t="shared" si="24"/>
        <v>5.0752812499999997E-7</v>
      </c>
      <c r="H26" s="3">
        <f t="shared" si="25"/>
        <v>-0.82681373158772598</v>
      </c>
      <c r="I26" s="3">
        <f t="shared" si="26"/>
        <v>-6.2945398860376871</v>
      </c>
      <c r="J26" s="3">
        <f t="shared" si="27"/>
        <v>3.0568371676991113E-2</v>
      </c>
      <c r="K26" s="3">
        <f t="shared" si="28"/>
        <v>5.6911140000000004E-7</v>
      </c>
      <c r="L26" s="3">
        <f t="shared" si="29"/>
        <v>4.301388E-7</v>
      </c>
      <c r="M26" s="3">
        <f t="shared" si="30"/>
        <v>4.9737171184768947E-2</v>
      </c>
      <c r="N26" s="3">
        <f t="shared" si="31"/>
        <v>7.1851494784453074E-2</v>
      </c>
      <c r="O26">
        <f t="shared" si="32"/>
        <v>-6.231731124532498</v>
      </c>
      <c r="P26">
        <f t="shared" si="33"/>
        <v>6.2808761505189104E-2</v>
      </c>
      <c r="Q26">
        <f t="shared" si="34"/>
        <v>1.0331351364787242</v>
      </c>
      <c r="R26">
        <f t="shared" si="35"/>
        <v>1.0673682102269122</v>
      </c>
    </row>
    <row r="27" spans="2:18" x14ac:dyDescent="0.3">
      <c r="B27" s="3">
        <v>10</v>
      </c>
      <c r="C27" s="3">
        <f t="shared" si="22"/>
        <v>12.9</v>
      </c>
      <c r="D27" s="3">
        <f>(21.4+19.4)/2</f>
        <v>20.399999999999999</v>
      </c>
      <c r="E27" s="3">
        <v>1.5</v>
      </c>
      <c r="F27" s="3">
        <f t="shared" si="23"/>
        <v>8.3999999999999986</v>
      </c>
      <c r="G27" s="3">
        <f t="shared" si="24"/>
        <v>6.5588249999999998E-7</v>
      </c>
      <c r="H27" s="3">
        <f t="shared" si="25"/>
        <v>-0.88941028970075098</v>
      </c>
      <c r="I27" s="3">
        <f t="shared" si="26"/>
        <v>-6.1831739566186608</v>
      </c>
      <c r="J27" s="3">
        <f t="shared" si="27"/>
        <v>3.1991155333437105E-2</v>
      </c>
      <c r="K27" s="3">
        <f t="shared" si="28"/>
        <v>7.2830339999999982E-7</v>
      </c>
      <c r="L27" s="3">
        <f t="shared" si="29"/>
        <v>5.624891999999998E-7</v>
      </c>
      <c r="M27" s="3">
        <f t="shared" si="30"/>
        <v>4.5486294031110042E-2</v>
      </c>
      <c r="N27" s="3">
        <f t="shared" si="31"/>
        <v>6.6711855132042253E-2</v>
      </c>
      <c r="O27">
        <f t="shared" si="32"/>
        <v>-6.0803164560905394</v>
      </c>
      <c r="P27">
        <f t="shared" si="33"/>
        <v>0.10285750052812137</v>
      </c>
      <c r="Q27">
        <f t="shared" si="34"/>
        <v>1.8334972777233915</v>
      </c>
      <c r="R27">
        <f t="shared" si="35"/>
        <v>3.3617122674190876</v>
      </c>
    </row>
    <row r="28" spans="2:18" x14ac:dyDescent="0.3">
      <c r="B28" s="3">
        <v>8</v>
      </c>
      <c r="C28" s="3">
        <f t="shared" si="22"/>
        <v>10.9</v>
      </c>
      <c r="D28" s="3">
        <f>(27.5+22.6)/2</f>
        <v>25.05</v>
      </c>
      <c r="E28" s="3">
        <f>(27.5-22.6)/2</f>
        <v>2.4499999999999993</v>
      </c>
      <c r="F28" s="3">
        <f t="shared" si="23"/>
        <v>13.05</v>
      </c>
      <c r="G28" s="3">
        <f t="shared" si="24"/>
        <v>1.0189603125000003E-6</v>
      </c>
      <c r="H28" s="3">
        <f t="shared" si="25"/>
        <v>-0.96257350205937642</v>
      </c>
      <c r="I28" s="3">
        <f t="shared" si="26"/>
        <v>-5.9918427310062423</v>
      </c>
      <c r="J28" s="3">
        <f t="shared" si="27"/>
        <v>4.2612127341430828E-2</v>
      </c>
      <c r="K28" s="3">
        <f t="shared" si="28"/>
        <v>1.1362329000000001E-6</v>
      </c>
      <c r="L28" s="3">
        <f t="shared" si="29"/>
        <v>8.6946859999999991E-7</v>
      </c>
      <c r="M28" s="3">
        <f t="shared" si="30"/>
        <v>4.7310091270129639E-2</v>
      </c>
      <c r="N28" s="3">
        <f t="shared" si="31"/>
        <v>6.8903366488228812E-2</v>
      </c>
      <c r="O28">
        <f t="shared" si="32"/>
        <v>-5.9033421323357507</v>
      </c>
      <c r="P28">
        <f t="shared" si="33"/>
        <v>8.8500598670491648E-2</v>
      </c>
      <c r="Q28">
        <f t="shared" si="34"/>
        <v>1.5230697094395058</v>
      </c>
      <c r="R28">
        <f t="shared" si="35"/>
        <v>2.3197413398121407</v>
      </c>
    </row>
    <row r="29" spans="2:18" x14ac:dyDescent="0.3">
      <c r="B29" s="3">
        <v>20</v>
      </c>
      <c r="C29" s="3">
        <f t="shared" ref="C29:C35" si="36">B29+2.9</f>
        <v>22.9</v>
      </c>
      <c r="D29" s="3">
        <v>20.2</v>
      </c>
      <c r="E29" s="3">
        <v>1.8</v>
      </c>
      <c r="F29" s="3">
        <f t="shared" ref="F29:F35" si="37">D29-17.4</f>
        <v>2.8000000000000007</v>
      </c>
      <c r="G29" s="3">
        <f t="shared" ref="G29:G35" si="38">0.00031*F29*0.01/2*2.015*0.025</f>
        <v>2.1862750000000006E-7</v>
      </c>
      <c r="H29" s="3">
        <f t="shared" si="25"/>
        <v>-0.64016451766011206</v>
      </c>
      <c r="I29" s="3">
        <f t="shared" ref="I29:I35" si="39">LOG(G29)</f>
        <v>-6.6602952113383234</v>
      </c>
      <c r="J29" s="3">
        <f t="shared" ref="J29:J35" si="40">(LOG((D29+E29)*0.01)-LOG((D29-E29)*0.01))/2</f>
        <v>3.8802428906334896E-2</v>
      </c>
      <c r="K29" s="3">
        <f t="shared" ref="K29:K35" si="41">0.00036*(F29+E29/2)*0.01/2*2.01*0.022</f>
        <v>2.9450520000000001E-7</v>
      </c>
      <c r="L29" s="3">
        <f t="shared" ref="L29:L35" si="42">0.00026*(F29-E29/2)*0.01/2*2.02*0.028</f>
        <v>1.3970320000000005E-7</v>
      </c>
      <c r="M29" s="3">
        <f t="shared" ref="M29:M35" si="43">LOG(K29)-I29</f>
        <v>0.12938817875131914</v>
      </c>
      <c r="N29" s="3">
        <f t="shared" ref="N29:N35" si="44">I29-LOG(L29)</f>
        <v>0.19449843461316796</v>
      </c>
      <c r="O29">
        <f t="shared" si="32"/>
        <v>-6.6832164728286916</v>
      </c>
      <c r="P29">
        <f t="shared" si="33"/>
        <v>-2.2921261490368217E-2</v>
      </c>
      <c r="Q29">
        <f t="shared" si="34"/>
        <v>-0.141538801201232</v>
      </c>
      <c r="R29">
        <f t="shared" si="35"/>
        <v>2.0033232245481872E-2</v>
      </c>
    </row>
    <row r="30" spans="2:18" x14ac:dyDescent="0.3">
      <c r="B30" s="3">
        <v>18</v>
      </c>
      <c r="C30" s="3">
        <f t="shared" si="36"/>
        <v>20.9</v>
      </c>
      <c r="D30" s="3">
        <v>21.9</v>
      </c>
      <c r="E30" s="3">
        <v>1.1000000000000001</v>
      </c>
      <c r="F30" s="3">
        <f t="shared" si="37"/>
        <v>4.5</v>
      </c>
      <c r="G30" s="3">
        <f t="shared" si="38"/>
        <v>3.5136562500000007E-7</v>
      </c>
      <c r="H30" s="3">
        <f t="shared" si="25"/>
        <v>-0.679853713888946</v>
      </c>
      <c r="I30" s="3">
        <f t="shared" si="39"/>
        <v>-6.4542407289051988</v>
      </c>
      <c r="J30" s="3">
        <f t="shared" si="40"/>
        <v>2.183225052741572E-2</v>
      </c>
      <c r="K30" s="3">
        <f t="shared" si="41"/>
        <v>4.0195979999999994E-7</v>
      </c>
      <c r="L30" s="3">
        <f t="shared" si="42"/>
        <v>2.9043560000000003E-7</v>
      </c>
      <c r="M30" s="3">
        <f t="shared" si="43"/>
        <v>5.842335036986146E-2</v>
      </c>
      <c r="N30" s="3">
        <f t="shared" si="44"/>
        <v>8.2709422372660768E-2</v>
      </c>
      <c r="O30">
        <f t="shared" si="32"/>
        <v>-6.587212368627533</v>
      </c>
      <c r="P30">
        <f t="shared" si="33"/>
        <v>-0.13297163972233417</v>
      </c>
      <c r="Q30">
        <f t="shared" si="34"/>
        <v>-1.884348151579549</v>
      </c>
      <c r="R30">
        <f t="shared" si="35"/>
        <v>3.5507679563612631</v>
      </c>
    </row>
    <row r="31" spans="2:18" x14ac:dyDescent="0.3">
      <c r="B31" s="3">
        <v>16</v>
      </c>
      <c r="C31" s="3">
        <f t="shared" si="36"/>
        <v>18.899999999999999</v>
      </c>
      <c r="D31" s="3">
        <v>23.2</v>
      </c>
      <c r="E31" s="3">
        <v>1</v>
      </c>
      <c r="F31" s="3">
        <f t="shared" si="37"/>
        <v>5.8000000000000007</v>
      </c>
      <c r="G31" s="3">
        <f t="shared" si="38"/>
        <v>4.5287125000000004E-7</v>
      </c>
      <c r="H31" s="3">
        <f t="shared" si="25"/>
        <v>-0.72353819582675583</v>
      </c>
      <c r="I31" s="3">
        <f t="shared" si="39"/>
        <v>-6.344025249117605</v>
      </c>
      <c r="J31" s="3">
        <f t="shared" si="40"/>
        <v>1.8731195764896347E-2</v>
      </c>
      <c r="K31" s="3">
        <f t="shared" si="41"/>
        <v>5.0145480000000003E-7</v>
      </c>
      <c r="L31" s="3">
        <f t="shared" si="42"/>
        <v>3.8969840000000007E-7</v>
      </c>
      <c r="M31" s="3">
        <f t="shared" si="43"/>
        <v>4.4257041917187934E-2</v>
      </c>
      <c r="N31" s="3">
        <f t="shared" si="44"/>
        <v>6.5246128185926011E-2</v>
      </c>
      <c r="O31">
        <f t="shared" si="32"/>
        <v>-6.4815440771420958</v>
      </c>
      <c r="P31">
        <f t="shared" si="33"/>
        <v>-0.13751882802449078</v>
      </c>
      <c r="Q31">
        <f t="shared" si="34"/>
        <v>-2.5116867008506842</v>
      </c>
      <c r="R31">
        <f t="shared" si="35"/>
        <v>6.3085700832301947</v>
      </c>
    </row>
    <row r="32" spans="2:18" x14ac:dyDescent="0.3">
      <c r="B32" s="3">
        <v>14</v>
      </c>
      <c r="C32" s="3">
        <f t="shared" si="36"/>
        <v>16.899999999999999</v>
      </c>
      <c r="D32" s="3">
        <v>23.9</v>
      </c>
      <c r="E32" s="3">
        <v>1</v>
      </c>
      <c r="F32" s="3">
        <f t="shared" si="37"/>
        <v>6.5</v>
      </c>
      <c r="G32" s="3">
        <f t="shared" si="38"/>
        <v>5.0752812499999997E-7</v>
      </c>
      <c r="H32" s="3">
        <f t="shared" si="25"/>
        <v>-0.77211329538632656</v>
      </c>
      <c r="I32" s="3">
        <f t="shared" si="39"/>
        <v>-6.2945398860376871</v>
      </c>
      <c r="J32" s="3">
        <f t="shared" si="40"/>
        <v>1.8181932377924204E-2</v>
      </c>
      <c r="K32" s="3">
        <f t="shared" si="41"/>
        <v>5.5717200000000001E-7</v>
      </c>
      <c r="L32" s="3">
        <f t="shared" si="42"/>
        <v>4.4116799999999992E-7</v>
      </c>
      <c r="M32" s="3">
        <f t="shared" si="43"/>
        <v>4.052916939794482E-2</v>
      </c>
      <c r="N32" s="3">
        <f t="shared" si="44"/>
        <v>6.0856110482989223E-2</v>
      </c>
      <c r="O32">
        <f t="shared" si="32"/>
        <v>-6.3640458820964936</v>
      </c>
      <c r="P32">
        <f t="shared" si="33"/>
        <v>-6.9505996058806474E-2</v>
      </c>
      <c r="Q32">
        <f t="shared" si="34"/>
        <v>-1.3711259887122409</v>
      </c>
      <c r="R32">
        <f t="shared" si="35"/>
        <v>1.8799864769221202</v>
      </c>
    </row>
    <row r="33" spans="2:18" x14ac:dyDescent="0.3">
      <c r="B33" s="3">
        <v>12</v>
      </c>
      <c r="C33" s="3">
        <f t="shared" si="36"/>
        <v>14.9</v>
      </c>
      <c r="D33" s="3">
        <v>25.1</v>
      </c>
      <c r="E33" s="3">
        <v>1.1000000000000001</v>
      </c>
      <c r="F33" s="3">
        <f t="shared" si="37"/>
        <v>7.7000000000000028</v>
      </c>
      <c r="G33" s="3">
        <f t="shared" si="38"/>
        <v>6.0122562500000027E-7</v>
      </c>
      <c r="H33" s="3">
        <f t="shared" si="25"/>
        <v>-0.82681373158772598</v>
      </c>
      <c r="I33" s="3">
        <f t="shared" si="39"/>
        <v>-6.2209625175080605</v>
      </c>
      <c r="J33" s="3">
        <f t="shared" si="40"/>
        <v>1.9045024804069721E-2</v>
      </c>
      <c r="K33" s="3">
        <f t="shared" si="41"/>
        <v>6.5666700000000025E-7</v>
      </c>
      <c r="L33" s="3">
        <f t="shared" si="42"/>
        <v>5.2572520000000025E-7</v>
      </c>
      <c r="M33" s="3">
        <f t="shared" si="43"/>
        <v>3.8307709403986756E-2</v>
      </c>
      <c r="N33" s="3">
        <f t="shared" si="44"/>
        <v>5.8278687595178624E-2</v>
      </c>
      <c r="O33">
        <f t="shared" si="32"/>
        <v>-6.231731124532498</v>
      </c>
      <c r="P33">
        <f t="shared" si="33"/>
        <v>-1.0768607024437493E-2</v>
      </c>
      <c r="Q33">
        <f t="shared" si="34"/>
        <v>-0.22298392649496071</v>
      </c>
      <c r="R33">
        <f t="shared" si="35"/>
        <v>4.9721831475110043E-2</v>
      </c>
    </row>
    <row r="34" spans="2:18" x14ac:dyDescent="0.3">
      <c r="B34" s="3">
        <v>10</v>
      </c>
      <c r="C34" s="3">
        <f t="shared" si="36"/>
        <v>12.9</v>
      </c>
      <c r="D34" s="3">
        <v>28.8</v>
      </c>
      <c r="E34" s="3">
        <v>1.6</v>
      </c>
      <c r="F34" s="3">
        <f t="shared" si="37"/>
        <v>11.400000000000002</v>
      </c>
      <c r="G34" s="3">
        <f t="shared" si="38"/>
        <v>8.9012625000000031E-7</v>
      </c>
      <c r="H34" s="3">
        <f t="shared" si="25"/>
        <v>-0.88941028970075098</v>
      </c>
      <c r="I34" s="3">
        <f t="shared" si="39"/>
        <v>-6.0505483913440701</v>
      </c>
      <c r="J34" s="3">
        <f t="shared" si="40"/>
        <v>2.4152339787277488E-2</v>
      </c>
      <c r="K34" s="3">
        <f t="shared" si="41"/>
        <v>9.7107120000000004E-7</v>
      </c>
      <c r="L34" s="3">
        <f t="shared" si="42"/>
        <v>7.7939680000000015E-7</v>
      </c>
      <c r="M34" s="3">
        <f t="shared" si="43"/>
        <v>3.7799465364819262E-2</v>
      </c>
      <c r="N34" s="3">
        <f t="shared" si="44"/>
        <v>5.7692990295479696E-2</v>
      </c>
      <c r="O34">
        <f t="shared" si="32"/>
        <v>-6.0803164560905394</v>
      </c>
      <c r="P34">
        <f t="shared" si="33"/>
        <v>-2.9768064746469314E-2</v>
      </c>
      <c r="Q34">
        <f t="shared" si="34"/>
        <v>-0.62346422113941724</v>
      </c>
      <c r="R34">
        <f t="shared" si="35"/>
        <v>0.38870763504098016</v>
      </c>
    </row>
    <row r="35" spans="2:18" x14ac:dyDescent="0.3">
      <c r="B35" s="3">
        <v>8</v>
      </c>
      <c r="C35" s="3">
        <f t="shared" si="36"/>
        <v>10.9</v>
      </c>
      <c r="D35" s="3">
        <v>35.4</v>
      </c>
      <c r="E35" s="3">
        <v>2.2000000000000002</v>
      </c>
      <c r="F35" s="3">
        <f t="shared" si="37"/>
        <v>18</v>
      </c>
      <c r="G35" s="3">
        <f t="shared" si="38"/>
        <v>1.4054625000000003E-6</v>
      </c>
      <c r="H35" s="3">
        <f t="shared" si="25"/>
        <v>-0.96257350205937642</v>
      </c>
      <c r="I35" s="3">
        <f t="shared" si="39"/>
        <v>-5.8521807375772363</v>
      </c>
      <c r="J35" s="3">
        <f t="shared" si="40"/>
        <v>2.7024880611812407E-2</v>
      </c>
      <c r="K35" s="3">
        <f t="shared" si="41"/>
        <v>1.5202836000000001E-6</v>
      </c>
      <c r="L35" s="3">
        <f t="shared" si="42"/>
        <v>1.2426231999999998E-6</v>
      </c>
      <c r="M35" s="3">
        <f t="shared" si="43"/>
        <v>3.4105348170965222E-2</v>
      </c>
      <c r="N35" s="3">
        <f t="shared" si="44"/>
        <v>5.347980471341085E-2</v>
      </c>
      <c r="O35">
        <f t="shared" si="32"/>
        <v>-5.9033421323357507</v>
      </c>
      <c r="P35">
        <f t="shared" si="33"/>
        <v>-5.1161394758514334E-2</v>
      </c>
      <c r="Q35">
        <f t="shared" si="34"/>
        <v>-1.1682663801718565</v>
      </c>
      <c r="R35">
        <f t="shared" si="35"/>
        <v>1.3648463350398528</v>
      </c>
    </row>
    <row r="37" spans="2:18" x14ac:dyDescent="0.3">
      <c r="Q37" t="s">
        <v>46</v>
      </c>
      <c r="R37">
        <f>SUM(R22:R35)</f>
        <v>40.952951060911914</v>
      </c>
    </row>
    <row r="39" spans="2:18" x14ac:dyDescent="0.3">
      <c r="B39" s="2" t="s">
        <v>24</v>
      </c>
    </row>
    <row r="40" spans="2:18" x14ac:dyDescent="0.3">
      <c r="B40" s="3">
        <f>(G22*4*PI()*0.00000000000885*(C22*0.01)^2)^0.5</f>
        <v>8.2647754384528455E-10</v>
      </c>
      <c r="C40" s="3">
        <v>20</v>
      </c>
    </row>
    <row r="41" spans="2:18" x14ac:dyDescent="0.3">
      <c r="B41" s="3">
        <f t="shared" ref="B41:B53" si="45">(G23*4*PI()*0.00000000000885*(C23*0.01)^2)^0.5</f>
        <v>8.0300951773566518E-10</v>
      </c>
      <c r="C41" s="3">
        <v>18</v>
      </c>
    </row>
    <row r="42" spans="2:18" x14ac:dyDescent="0.3">
      <c r="B42" s="3">
        <f t="shared" si="45"/>
        <v>9.8060159905646402E-10</v>
      </c>
      <c r="C42" s="3">
        <v>16</v>
      </c>
    </row>
    <row r="43" spans="2:18" x14ac:dyDescent="0.3">
      <c r="B43" s="3">
        <f t="shared" si="45"/>
        <v>1.2249386499447531E-9</v>
      </c>
      <c r="C43" s="3">
        <v>14</v>
      </c>
    </row>
    <row r="44" spans="2:18" x14ac:dyDescent="0.3">
      <c r="B44" s="3">
        <f t="shared" si="45"/>
        <v>1.1194195639712066E-9</v>
      </c>
      <c r="C44" s="3">
        <v>12</v>
      </c>
    </row>
    <row r="45" spans="2:18" x14ac:dyDescent="0.3">
      <c r="B45" s="3">
        <f t="shared" si="45"/>
        <v>1.1017404618243319E-9</v>
      </c>
      <c r="C45" s="3">
        <v>10</v>
      </c>
    </row>
    <row r="46" spans="2:18" x14ac:dyDescent="0.3">
      <c r="B46" s="3">
        <f t="shared" si="45"/>
        <v>1.1603304778408269E-9</v>
      </c>
      <c r="C46" s="3">
        <v>8</v>
      </c>
    </row>
    <row r="47" spans="2:18" x14ac:dyDescent="0.3">
      <c r="B47" s="3">
        <f t="shared" si="45"/>
        <v>1.129183293460513E-9</v>
      </c>
      <c r="C47" s="3">
        <v>20</v>
      </c>
    </row>
    <row r="48" spans="2:18" x14ac:dyDescent="0.3">
      <c r="B48" s="3">
        <f t="shared" si="45"/>
        <v>1.3064791673635215E-9</v>
      </c>
      <c r="C48" s="3">
        <v>18</v>
      </c>
    </row>
    <row r="49" spans="2:5" x14ac:dyDescent="0.3">
      <c r="B49" s="3">
        <f t="shared" si="45"/>
        <v>1.3412994514490291E-9</v>
      </c>
      <c r="C49" s="3">
        <v>16</v>
      </c>
    </row>
    <row r="50" spans="2:5" x14ac:dyDescent="0.3">
      <c r="B50" s="3">
        <f t="shared" si="45"/>
        <v>1.2696772235646572E-9</v>
      </c>
      <c r="C50" s="3">
        <v>14</v>
      </c>
    </row>
    <row r="51" spans="2:5" x14ac:dyDescent="0.3">
      <c r="B51" s="3">
        <f t="shared" si="45"/>
        <v>1.2183766774847114E-9</v>
      </c>
      <c r="C51" s="3">
        <v>12</v>
      </c>
    </row>
    <row r="52" spans="2:5" x14ac:dyDescent="0.3">
      <c r="B52" s="3">
        <f t="shared" si="45"/>
        <v>1.2834887961889811E-9</v>
      </c>
      <c r="C52" s="3">
        <v>10</v>
      </c>
    </row>
    <row r="53" spans="2:5" x14ac:dyDescent="0.3">
      <c r="B53" s="3">
        <f t="shared" si="45"/>
        <v>1.3627390358145822E-9</v>
      </c>
      <c r="C53" s="3">
        <v>8</v>
      </c>
    </row>
    <row r="55" spans="2:5" x14ac:dyDescent="0.3">
      <c r="B55" s="11" t="s">
        <v>53</v>
      </c>
      <c r="C55" s="11">
        <f>AVERAGE(B40:B53)</f>
        <v>1.1519829613960376E-9</v>
      </c>
    </row>
    <row r="56" spans="2:5" x14ac:dyDescent="0.3">
      <c r="B56" s="11" t="s">
        <v>54</v>
      </c>
      <c r="C56" s="11">
        <f>_xlfn.STDEV.P(B40:B53)</f>
        <v>1.7035390012403926E-10</v>
      </c>
    </row>
    <row r="58" spans="2:5" x14ac:dyDescent="0.3">
      <c r="B58" t="s">
        <v>55</v>
      </c>
      <c r="C58">
        <f>C55/(4*PI()*(0.029)^2)</f>
        <v>1.0900343796897706E-7</v>
      </c>
      <c r="D58" t="s">
        <v>57</v>
      </c>
      <c r="E58">
        <f>C56/(4*PI()*(0.029)^2)</f>
        <v>1.6119301593177104E-8</v>
      </c>
    </row>
    <row r="59" spans="2:5" x14ac:dyDescent="0.3">
      <c r="B59" t="s">
        <v>56</v>
      </c>
      <c r="C59">
        <f>C55/1.6E-19</f>
        <v>7199893508.7252359</v>
      </c>
      <c r="D59" t="s">
        <v>58</v>
      </c>
      <c r="E59">
        <f>C56/1.6E-19</f>
        <v>1064711875.7752454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8"/>
  <sheetViews>
    <sheetView workbookViewId="0">
      <selection activeCell="D24" sqref="D24"/>
    </sheetView>
  </sheetViews>
  <sheetFormatPr defaultRowHeight="14.4" x14ac:dyDescent="0.3"/>
  <cols>
    <col min="6" max="6" width="17.33203125" customWidth="1"/>
    <col min="7" max="7" width="16" customWidth="1"/>
  </cols>
  <sheetData>
    <row r="2" spans="2:10" x14ac:dyDescent="0.3">
      <c r="B2" s="1" t="s">
        <v>6</v>
      </c>
      <c r="C2" s="1" t="s">
        <v>7</v>
      </c>
      <c r="D2" s="1" t="s">
        <v>9</v>
      </c>
      <c r="E2" s="1" t="s">
        <v>12</v>
      </c>
      <c r="F2" s="1" t="s">
        <v>8</v>
      </c>
      <c r="G2" s="1" t="s">
        <v>3</v>
      </c>
      <c r="H2" s="1" t="s">
        <v>13</v>
      </c>
      <c r="I2" s="1" t="s">
        <v>19</v>
      </c>
      <c r="J2" s="1" t="s">
        <v>20</v>
      </c>
    </row>
    <row r="3" spans="2:10" x14ac:dyDescent="0.3">
      <c r="B3">
        <v>5</v>
      </c>
      <c r="C3">
        <f>B3+2.9</f>
        <v>7.9</v>
      </c>
      <c r="D3">
        <v>28.6</v>
      </c>
      <c r="E3">
        <v>4</v>
      </c>
      <c r="F3">
        <f>D3-C8</f>
        <v>21.1</v>
      </c>
      <c r="G3">
        <f>0.00031*F3*0.001/2*2.5*0.5</f>
        <v>4.0881250000000008E-6</v>
      </c>
      <c r="H3">
        <f>1/(C3^2)</f>
        <v>1.6023073225444641E-2</v>
      </c>
      <c r="I3">
        <f>LOG(G3)</f>
        <v>-5.3884758335239598</v>
      </c>
      <c r="J3">
        <f>LOG(C3)</f>
        <v>0.89762709129044149</v>
      </c>
    </row>
    <row r="4" spans="2:10" x14ac:dyDescent="0.3">
      <c r="B4">
        <v>4</v>
      </c>
      <c r="C4">
        <f t="shared" ref="C4:C6" si="0">B4+2.9</f>
        <v>6.9</v>
      </c>
      <c r="D4">
        <f>31.8</f>
        <v>31.8</v>
      </c>
      <c r="E4">
        <v>2.6</v>
      </c>
      <c r="F4">
        <f t="shared" ref="F4:F6" si="1">D4-C9</f>
        <v>31.8</v>
      </c>
      <c r="G4">
        <f t="shared" ref="G4:G6" si="2">0.00031*F4*0.001/2*2.5*0.5</f>
        <v>6.1612500000000005E-6</v>
      </c>
      <c r="H4">
        <f t="shared" ref="H4:H6" si="3">1/(C4^2)</f>
        <v>2.1003990758244065E-2</v>
      </c>
      <c r="I4">
        <f t="shared" ref="I4:I6" si="4">LOG(G4)</f>
        <v>-5.2103311688372198</v>
      </c>
      <c r="J4">
        <f t="shared" ref="J4:J6" si="5">LOG(C4)</f>
        <v>0.83884909073725533</v>
      </c>
    </row>
    <row r="5" spans="2:10" x14ac:dyDescent="0.3">
      <c r="B5">
        <v>3</v>
      </c>
      <c r="C5">
        <f t="shared" si="0"/>
        <v>5.9</v>
      </c>
      <c r="D5">
        <v>45.8</v>
      </c>
      <c r="E5">
        <v>5.4</v>
      </c>
      <c r="F5">
        <f t="shared" si="1"/>
        <v>45.8</v>
      </c>
      <c r="G5">
        <f t="shared" si="2"/>
        <v>8.8737499999999995E-6</v>
      </c>
      <c r="H5">
        <f t="shared" si="3"/>
        <v>2.8727377190462509E-2</v>
      </c>
      <c r="I5">
        <f t="shared" si="4"/>
        <v>-5.0518928108177832</v>
      </c>
      <c r="J5">
        <f t="shared" si="5"/>
        <v>0.77085201164214423</v>
      </c>
    </row>
    <row r="6" spans="2:10" x14ac:dyDescent="0.3">
      <c r="B6">
        <v>2</v>
      </c>
      <c r="C6">
        <f t="shared" si="0"/>
        <v>4.9000000000000004</v>
      </c>
      <c r="D6">
        <v>50.8</v>
      </c>
      <c r="E6">
        <v>4.9000000000000004</v>
      </c>
      <c r="F6">
        <f t="shared" si="1"/>
        <v>50.8</v>
      </c>
      <c r="G6">
        <f t="shared" si="2"/>
        <v>9.8424999999999994E-6</v>
      </c>
      <c r="H6">
        <f t="shared" si="3"/>
        <v>4.1649312786339016E-2</v>
      </c>
      <c r="I6">
        <f t="shared" si="4"/>
        <v>-5.0068945765377331</v>
      </c>
      <c r="J6">
        <f t="shared" si="5"/>
        <v>0.69019608002851374</v>
      </c>
    </row>
    <row r="8" spans="2:10" x14ac:dyDescent="0.3">
      <c r="B8" t="s">
        <v>18</v>
      </c>
      <c r="C8">
        <v>7.5</v>
      </c>
      <c r="D8">
        <v>0.7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8"/>
  <sheetViews>
    <sheetView topLeftCell="A19" workbookViewId="0">
      <selection activeCell="P30" sqref="P30"/>
    </sheetView>
  </sheetViews>
  <sheetFormatPr defaultRowHeight="14.4" x14ac:dyDescent="0.3"/>
  <cols>
    <col min="6" max="6" width="13.109375" customWidth="1"/>
    <col min="7" max="7" width="12" bestFit="1" customWidth="1"/>
    <col min="10" max="10" width="12" bestFit="1" customWidth="1"/>
    <col min="11" max="11" width="12.6640625" bestFit="1" customWidth="1"/>
    <col min="13" max="13" width="11.6640625" customWidth="1"/>
    <col min="16" max="16" width="14.44140625" customWidth="1"/>
  </cols>
  <sheetData>
    <row r="1" spans="1:21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x14ac:dyDescent="0.3">
      <c r="A3" s="5"/>
      <c r="B3" s="5"/>
      <c r="C3" s="5" t="s">
        <v>22</v>
      </c>
      <c r="D3" s="5" t="s">
        <v>23</v>
      </c>
      <c r="E3" s="5" t="s">
        <v>10</v>
      </c>
      <c r="F3" s="5" t="s">
        <v>25</v>
      </c>
      <c r="G3" s="5"/>
      <c r="H3" s="5" t="s">
        <v>40</v>
      </c>
      <c r="I3" s="5">
        <v>0.94</v>
      </c>
      <c r="J3" s="5"/>
      <c r="K3" s="5">
        <f>1.17-Q14</f>
        <v>-1.008190920274354</v>
      </c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x14ac:dyDescent="0.3">
      <c r="A4" s="5"/>
      <c r="B4" s="5"/>
      <c r="C4" s="5">
        <v>12</v>
      </c>
      <c r="D4" s="5">
        <f>12+2.9</f>
        <v>14.9</v>
      </c>
      <c r="E4" s="5">
        <v>37</v>
      </c>
      <c r="F4" s="5">
        <v>1</v>
      </c>
      <c r="G4" s="5"/>
      <c r="H4" s="5" t="s">
        <v>42</v>
      </c>
      <c r="I4" s="5">
        <v>-6.2740931608882216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x14ac:dyDescent="0.3">
      <c r="A6" s="5"/>
      <c r="B6" s="5"/>
      <c r="C6" s="6" t="s">
        <v>24</v>
      </c>
      <c r="D6" s="6" t="s">
        <v>26</v>
      </c>
      <c r="E6" s="6" t="s">
        <v>27</v>
      </c>
      <c r="F6" s="6" t="s">
        <v>8</v>
      </c>
      <c r="G6" s="6" t="s">
        <v>3</v>
      </c>
      <c r="H6" s="6" t="s">
        <v>48</v>
      </c>
      <c r="I6" s="6" t="s">
        <v>49</v>
      </c>
      <c r="J6" s="2" t="s">
        <v>37</v>
      </c>
      <c r="K6" s="2" t="s">
        <v>36</v>
      </c>
      <c r="L6" s="2" t="s">
        <v>38</v>
      </c>
      <c r="M6" s="2" t="s">
        <v>39</v>
      </c>
      <c r="N6" s="9" t="s">
        <v>41</v>
      </c>
      <c r="O6" s="9" t="s">
        <v>43</v>
      </c>
      <c r="P6" s="9" t="s">
        <v>50</v>
      </c>
      <c r="Q6" s="9" t="s">
        <v>51</v>
      </c>
      <c r="R6" s="5"/>
      <c r="S6" s="5"/>
      <c r="T6" s="5"/>
      <c r="U6" s="5"/>
    </row>
    <row r="7" spans="1:21" x14ac:dyDescent="0.3">
      <c r="A7" s="5"/>
      <c r="B7" s="5"/>
      <c r="C7" s="7">
        <v>1</v>
      </c>
      <c r="D7" s="7">
        <v>43</v>
      </c>
      <c r="E7" s="7">
        <v>1.1000000000000001</v>
      </c>
      <c r="F7" s="7">
        <f t="shared" ref="F7:F12" si="0">D7-37</f>
        <v>6</v>
      </c>
      <c r="G7" s="7">
        <f>0.00031*F7*0.01/2*2.015*0.025</f>
        <v>4.6848750000000007E-7</v>
      </c>
      <c r="H7" s="7">
        <f>LOG(C7)</f>
        <v>0</v>
      </c>
      <c r="I7" s="7">
        <f>LOG(G7)</f>
        <v>-6.3293019922968989</v>
      </c>
      <c r="J7" s="3">
        <f>0.00036*(E7+F7/2)*0.01/2*2.01*0.022</f>
        <v>3.2634359999999993E-7</v>
      </c>
      <c r="K7" s="3">
        <f>0.00026*(F7-E7/2)*0.01/2*2.02*0.028</f>
        <v>4.0072759999999999E-7</v>
      </c>
      <c r="L7" s="3">
        <f>LOG(J7)-I7</f>
        <v>-0.15702290763736482</v>
      </c>
      <c r="M7" s="3">
        <f>I7-LOG(K7)</f>
        <v>6.7848752330778694E-2</v>
      </c>
      <c r="N7" s="5">
        <f>H7*$I$3+$I$4</f>
        <v>-6.2740931608882216</v>
      </c>
      <c r="O7" s="5">
        <f>N7-I7</f>
        <v>5.5208831408677383E-2</v>
      </c>
      <c r="P7" s="5">
        <f>O7/M7</f>
        <v>0.81370444572836487</v>
      </c>
      <c r="Q7" s="5">
        <f>P7^2</f>
        <v>0.66211492499810554</v>
      </c>
      <c r="R7" s="5"/>
      <c r="S7" s="5"/>
      <c r="T7" s="5"/>
      <c r="U7" s="5"/>
    </row>
    <row r="8" spans="1:21" x14ac:dyDescent="0.3">
      <c r="A8" s="5"/>
      <c r="B8" s="5"/>
      <c r="C8" s="7">
        <f>1/2</f>
        <v>0.5</v>
      </c>
      <c r="D8" s="7">
        <v>40.700000000000003</v>
      </c>
      <c r="E8" s="7">
        <v>0.8</v>
      </c>
      <c r="F8" s="7">
        <f t="shared" si="0"/>
        <v>3.7000000000000028</v>
      </c>
      <c r="G8" s="7">
        <f t="shared" ref="G8:G12" si="1">0.00031*F8*0.01/2*2.015*0.025</f>
        <v>2.8890062500000026E-7</v>
      </c>
      <c r="H8" s="7">
        <f t="shared" ref="H8:H12" si="2">LOG(C8)</f>
        <v>-0.3010299956639812</v>
      </c>
      <c r="I8" s="7">
        <f t="shared" ref="I8:I12" si="3">LOG(G8)</f>
        <v>-6.5392515186135469</v>
      </c>
      <c r="J8" s="3">
        <f t="shared" ref="J8:J12" si="4">0.00036*(E8+F8/2)*0.01/2*2.01*0.022</f>
        <v>2.109294000000001E-7</v>
      </c>
      <c r="K8" s="3">
        <f t="shared" ref="K8:K12" si="5">0.00026*(F8-E8/2)*0.01/2*2.02*0.028</f>
        <v>2.4264240000000024E-7</v>
      </c>
      <c r="L8" s="3">
        <f t="shared" ref="L8:L12" si="6">LOG(J8)-I8</f>
        <v>-0.1366113641036435</v>
      </c>
      <c r="M8" s="3">
        <f t="shared" ref="M8:M10" si="7">I8-LOG(K8)</f>
        <v>7.5781788412885298E-2</v>
      </c>
      <c r="N8" s="5">
        <f t="shared" ref="N8:N12" si="8">H8*$I$3+$I$4</f>
        <v>-6.5570613568123637</v>
      </c>
      <c r="O8" s="5">
        <f t="shared" ref="O8:O12" si="9">N8-I8</f>
        <v>-1.7809838198816763E-2</v>
      </c>
      <c r="P8" s="5">
        <f t="shared" ref="P8:P12" si="10">O8/M8</f>
        <v>-0.23501475185281492</v>
      </c>
      <c r="Q8" s="5">
        <f t="shared" ref="Q8:Q12" si="11">P8^2</f>
        <v>5.5231933588440175E-2</v>
      </c>
      <c r="R8" s="5"/>
      <c r="S8" s="5"/>
      <c r="T8" s="5"/>
      <c r="U8" s="5"/>
    </row>
    <row r="9" spans="1:21" x14ac:dyDescent="0.3">
      <c r="A9" s="5"/>
      <c r="B9" s="5"/>
      <c r="C9" s="7">
        <f>1/4</f>
        <v>0.25</v>
      </c>
      <c r="D9" s="7">
        <v>39</v>
      </c>
      <c r="E9" s="7">
        <v>0.9</v>
      </c>
      <c r="F9" s="7">
        <f t="shared" si="0"/>
        <v>2</v>
      </c>
      <c r="G9" s="7">
        <f t="shared" si="1"/>
        <v>1.5616250000000001E-7</v>
      </c>
      <c r="H9" s="7">
        <f t="shared" si="2"/>
        <v>-0.6020599913279624</v>
      </c>
      <c r="I9" s="7">
        <f t="shared" si="3"/>
        <v>-6.8064232470165615</v>
      </c>
      <c r="J9" s="3">
        <f t="shared" si="4"/>
        <v>1.5123239999999998E-7</v>
      </c>
      <c r="K9" s="3">
        <f t="shared" si="5"/>
        <v>1.139684E-7</v>
      </c>
      <c r="L9" s="3">
        <f t="shared" si="6"/>
        <v>-1.3931908684608807E-2</v>
      </c>
      <c r="M9" s="3">
        <f t="shared" si="7"/>
        <v>0.13679230171746681</v>
      </c>
      <c r="N9" s="5">
        <f t="shared" si="8"/>
        <v>-6.8400295527365058</v>
      </c>
      <c r="O9" s="5">
        <f t="shared" si="9"/>
        <v>-3.3606305719944274E-2</v>
      </c>
      <c r="P9" s="5">
        <f t="shared" si="10"/>
        <v>-0.24567395458667929</v>
      </c>
      <c r="Q9" s="5">
        <f t="shared" si="11"/>
        <v>6.0355691962257756E-2</v>
      </c>
      <c r="R9" s="5"/>
      <c r="S9" s="5"/>
      <c r="T9" s="5"/>
      <c r="U9" s="5"/>
    </row>
    <row r="10" spans="1:21" x14ac:dyDescent="0.3">
      <c r="A10" s="5"/>
      <c r="B10" s="5"/>
      <c r="C10" s="7">
        <f>1/8</f>
        <v>0.125</v>
      </c>
      <c r="D10" s="7">
        <v>38.200000000000003</v>
      </c>
      <c r="E10" s="7">
        <v>0.4</v>
      </c>
      <c r="F10" s="7">
        <f t="shared" si="0"/>
        <v>1.2000000000000028</v>
      </c>
      <c r="G10" s="7">
        <f t="shared" si="1"/>
        <v>9.3697500000000234E-8</v>
      </c>
      <c r="H10" s="7">
        <f t="shared" si="2"/>
        <v>-0.90308998699194354</v>
      </c>
      <c r="I10" s="7">
        <f t="shared" si="3"/>
        <v>-7.0282719966329168</v>
      </c>
      <c r="J10" s="3">
        <f t="shared" si="4"/>
        <v>7.9596000000000099E-8</v>
      </c>
      <c r="K10" s="3">
        <f t="shared" si="5"/>
        <v>7.3528000000000207E-8</v>
      </c>
      <c r="L10" s="3">
        <f t="shared" si="6"/>
        <v>-7.0836760021081524E-2</v>
      </c>
      <c r="M10" s="3">
        <f t="shared" si="7"/>
        <v>0.1052752502714025</v>
      </c>
      <c r="N10" s="5">
        <f t="shared" si="8"/>
        <v>-7.1229977486606479</v>
      </c>
      <c r="O10" s="5">
        <f t="shared" si="9"/>
        <v>-9.4725752027731147E-2</v>
      </c>
      <c r="P10" s="5">
        <f t="shared" si="10"/>
        <v>-0.8997912784203842</v>
      </c>
      <c r="Q10" s="5">
        <f t="shared" si="11"/>
        <v>0.80962434472138933</v>
      </c>
      <c r="R10" s="5"/>
      <c r="S10" s="5"/>
      <c r="T10" s="5"/>
      <c r="U10" s="5"/>
    </row>
    <row r="11" spans="1:21" x14ac:dyDescent="0.3">
      <c r="A11" s="5"/>
      <c r="B11" s="5"/>
      <c r="C11" s="7">
        <f>1/16</f>
        <v>6.25E-2</v>
      </c>
      <c r="D11" s="7">
        <v>37.200000000000003</v>
      </c>
      <c r="E11" s="7">
        <v>0.8</v>
      </c>
      <c r="F11" s="7">
        <f t="shared" si="0"/>
        <v>0.20000000000000284</v>
      </c>
      <c r="G11" s="7">
        <f t="shared" si="1"/>
        <v>1.5616250000000228E-8</v>
      </c>
      <c r="H11" s="7">
        <f t="shared" si="2"/>
        <v>-1.2041199826559248</v>
      </c>
      <c r="I11" s="7">
        <f t="shared" si="3"/>
        <v>-7.8064232470165553</v>
      </c>
      <c r="J11" s="3">
        <f t="shared" si="4"/>
        <v>7.1636400000000108E-8</v>
      </c>
      <c r="K11" s="3">
        <f t="shared" si="5"/>
        <v>-1.4705599999999794E-8</v>
      </c>
      <c r="L11" s="3">
        <f t="shared" si="6"/>
        <v>0.66155699980188221</v>
      </c>
      <c r="M11" s="3">
        <f>L11</f>
        <v>0.66155699980188221</v>
      </c>
      <c r="N11" s="5">
        <f t="shared" si="8"/>
        <v>-7.405965944584791</v>
      </c>
      <c r="O11" s="5">
        <f t="shared" si="9"/>
        <v>0.40045730243176436</v>
      </c>
      <c r="P11" s="5">
        <f t="shared" si="10"/>
        <v>0.60532547089924238</v>
      </c>
      <c r="Q11" s="5">
        <f t="shared" si="11"/>
        <v>0.36641892571938955</v>
      </c>
      <c r="R11" s="5"/>
      <c r="S11" s="5"/>
      <c r="T11" s="5"/>
      <c r="U11" s="5"/>
    </row>
    <row r="12" spans="1:21" x14ac:dyDescent="0.3">
      <c r="A12" s="5"/>
      <c r="B12" s="5"/>
      <c r="C12" s="7">
        <f>1/32</f>
        <v>3.125E-2</v>
      </c>
      <c r="D12" s="7">
        <v>37.1</v>
      </c>
      <c r="E12" s="7">
        <v>0.7</v>
      </c>
      <c r="F12" s="7">
        <f t="shared" si="0"/>
        <v>0.10000000000000142</v>
      </c>
      <c r="G12" s="7">
        <f t="shared" si="1"/>
        <v>7.8081250000001138E-9</v>
      </c>
      <c r="H12" s="7">
        <f t="shared" si="2"/>
        <v>-1.505149978319906</v>
      </c>
      <c r="I12" s="7">
        <f t="shared" si="3"/>
        <v>-8.1074532426805366</v>
      </c>
      <c r="J12" s="10">
        <f t="shared" si="4"/>
        <v>5.9697000000000048E-8</v>
      </c>
      <c r="K12" s="10">
        <f t="shared" si="5"/>
        <v>-1.8381999999999893E-8</v>
      </c>
      <c r="L12" s="3">
        <f t="shared" si="6"/>
        <v>0.88340574941823835</v>
      </c>
      <c r="M12" s="3">
        <f>L12</f>
        <v>0.88340574941823835</v>
      </c>
      <c r="N12" s="5">
        <f t="shared" si="8"/>
        <v>-7.6889341405089331</v>
      </c>
      <c r="O12" s="5">
        <f t="shared" si="9"/>
        <v>0.41851910217160349</v>
      </c>
      <c r="P12" s="5">
        <f t="shared" si="10"/>
        <v>0.47375637123396219</v>
      </c>
      <c r="Q12" s="5">
        <f t="shared" si="11"/>
        <v>0.2244450992847718</v>
      </c>
      <c r="R12" s="5"/>
      <c r="S12" s="5"/>
      <c r="T12" s="5"/>
      <c r="U12" s="5"/>
    </row>
    <row r="13" spans="1:21" x14ac:dyDescent="0.3">
      <c r="A13" s="5"/>
      <c r="B13" s="5"/>
      <c r="C13" s="5"/>
      <c r="D13" s="5"/>
      <c r="E13" s="5"/>
      <c r="F13" s="5"/>
      <c r="G13" s="5"/>
      <c r="H13" s="5"/>
      <c r="I13" s="5"/>
      <c r="J13" s="8"/>
      <c r="K13" s="8"/>
      <c r="L13" s="8"/>
      <c r="M13" s="8"/>
      <c r="N13" s="5"/>
      <c r="O13" s="5"/>
      <c r="P13" s="5"/>
      <c r="Q13" s="5"/>
      <c r="R13" s="5"/>
      <c r="S13" s="5"/>
      <c r="T13" s="5"/>
      <c r="U13" s="5"/>
    </row>
    <row r="14" spans="1:21" x14ac:dyDescent="0.3">
      <c r="A14" s="5"/>
      <c r="B14" s="5"/>
      <c r="C14" s="5"/>
      <c r="D14" s="5"/>
      <c r="E14" s="5"/>
      <c r="F14" s="5"/>
      <c r="G14" s="5"/>
      <c r="H14" s="5"/>
      <c r="I14" s="5"/>
      <c r="J14" s="8"/>
      <c r="K14" s="8"/>
      <c r="L14" s="8"/>
      <c r="M14" s="8"/>
      <c r="N14" s="5"/>
      <c r="O14" s="5"/>
      <c r="P14" s="5" t="s">
        <v>52</v>
      </c>
      <c r="Q14" s="5">
        <f>SUM(Q7:Q12)</f>
        <v>2.1781909202743539</v>
      </c>
      <c r="R14" s="5"/>
      <c r="S14" s="5"/>
      <c r="T14" s="5"/>
      <c r="U14" s="5"/>
    </row>
    <row r="15" spans="1:21" x14ac:dyDescent="0.3">
      <c r="A15" s="5"/>
      <c r="B15" s="5"/>
      <c r="C15" s="5"/>
      <c r="D15" s="5"/>
      <c r="E15" s="5"/>
      <c r="F15" s="5"/>
      <c r="G15" s="5"/>
      <c r="H15" s="5"/>
      <c r="I15" s="5"/>
      <c r="J15" s="8"/>
      <c r="K15" s="8"/>
      <c r="L15" s="8"/>
      <c r="M15" s="8"/>
      <c r="N15" s="5"/>
      <c r="O15" s="5"/>
      <c r="P15" s="5"/>
      <c r="Q15" s="5"/>
      <c r="R15" s="5"/>
      <c r="S15" s="5"/>
      <c r="T15" s="5"/>
      <c r="U15" s="5"/>
    </row>
    <row r="16" spans="1:21" x14ac:dyDescent="0.3">
      <c r="A16" s="5"/>
      <c r="B16" s="5"/>
      <c r="C16" s="5"/>
      <c r="D16" s="5"/>
      <c r="E16" s="5"/>
      <c r="F16" s="5"/>
      <c r="G16" s="5"/>
      <c r="H16" s="5"/>
      <c r="I16" s="5"/>
      <c r="J16" s="8"/>
      <c r="K16" s="8"/>
      <c r="L16" s="8"/>
      <c r="M16" s="8"/>
      <c r="N16" s="5"/>
      <c r="O16" s="5"/>
      <c r="P16" s="5"/>
      <c r="Q16" s="5"/>
      <c r="R16" s="5"/>
      <c r="S16" s="5"/>
      <c r="T16" s="5"/>
      <c r="U16" s="5"/>
    </row>
    <row r="17" spans="1:21" x14ac:dyDescent="0.3">
      <c r="A17" s="5"/>
      <c r="B17" s="5"/>
      <c r="C17" s="5"/>
      <c r="D17" s="5"/>
      <c r="E17" s="5"/>
      <c r="F17" s="5"/>
      <c r="G17" s="5"/>
      <c r="H17" s="5"/>
      <c r="I17" s="5"/>
      <c r="J17" s="8"/>
      <c r="K17" s="8"/>
      <c r="L17" s="8"/>
      <c r="M17" s="8"/>
      <c r="N17" s="5"/>
      <c r="O17" s="5"/>
      <c r="P17" s="5"/>
      <c r="Q17" s="5"/>
      <c r="R17" s="5"/>
      <c r="S17" s="5"/>
      <c r="T17" s="5"/>
      <c r="U17" s="5"/>
    </row>
    <row r="18" spans="1:21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Calibration</vt:lpstr>
      <vt:lpstr>Part5</vt:lpstr>
      <vt:lpstr>Merged-Part5</vt:lpstr>
      <vt:lpstr>Part6</vt:lpstr>
      <vt:lpstr>Part8</vt:lpstr>
    </vt:vector>
  </TitlesOfParts>
  <Company>Queens University Belfast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Rogers</dc:creator>
  <cp:lastModifiedBy>BR</cp:lastModifiedBy>
  <dcterms:created xsi:type="dcterms:W3CDTF">2022-03-25T10:54:55Z</dcterms:created>
  <dcterms:modified xsi:type="dcterms:W3CDTF">2022-03-31T20:49:35Z</dcterms:modified>
</cp:coreProperties>
</file>