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R\Desktop\physics_labs\level2_labs\faraday_effect\"/>
    </mc:Choice>
  </mc:AlternateContent>
  <xr:revisionPtr revIDLastSave="0" documentId="8_{4E4B3932-F17D-45AC-9BE7-770E1F420AD4}" xr6:coauthVersionLast="47" xr6:coauthVersionMax="47" xr10:uidLastSave="{00000000-0000-0000-0000-000000000000}"/>
  <bookViews>
    <workbookView xWindow="-228" yWindow="252" windowWidth="22332" windowHeight="11964" activeTab="1" xr2:uid="{00000000-000D-0000-FFFF-FFFF00000000}"/>
  </bookViews>
  <sheets>
    <sheet name="Calibration" sheetId="1" r:id="rId1"/>
    <sheet name="Sheet3" sheetId="3" r:id="rId2"/>
    <sheet name="Sheet1" sheetId="4" r:id="rId3"/>
    <sheet name="Sheet2" sheetId="5" r:id="rId4"/>
  </sheets>
  <definedNames>
    <definedName name="solver_adj" localSheetId="0" hidden="1">Calibration!$H$2</definedName>
    <definedName name="solver_adj" localSheetId="2" hidden="1">Sheet1!$O$2:$O$3</definedName>
    <definedName name="solver_adj" localSheetId="1" hidden="1">Sheet3!$X$17:$X$18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Calibration!$L$34</definedName>
    <definedName name="solver_opt" localSheetId="2" hidden="1">Sheet1!$T$7</definedName>
    <definedName name="solver_opt" localSheetId="1" hidden="1">Sheet3!$AB$25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E5" i="5"/>
  <c r="E4" i="5"/>
  <c r="J3" i="5"/>
  <c r="E3" i="5"/>
  <c r="E2" i="5"/>
  <c r="AI25" i="4"/>
  <c r="AH25" i="4"/>
  <c r="AG25" i="4"/>
  <c r="AF25" i="4"/>
  <c r="AI24" i="4"/>
  <c r="AH24" i="4"/>
  <c r="AG24" i="4"/>
  <c r="AF24" i="4"/>
  <c r="AA23" i="4"/>
  <c r="Z23" i="4"/>
  <c r="Y23" i="4"/>
  <c r="X23" i="4"/>
  <c r="AA22" i="4"/>
  <c r="Z22" i="4"/>
  <c r="Y22" i="4"/>
  <c r="X22" i="4"/>
  <c r="AA21" i="4"/>
  <c r="Z21" i="4"/>
  <c r="Y21" i="4"/>
  <c r="X21" i="4"/>
  <c r="AA20" i="4"/>
  <c r="Z20" i="4"/>
  <c r="Y20" i="4"/>
  <c r="X20" i="4"/>
  <c r="AA19" i="4"/>
  <c r="Z19" i="4"/>
  <c r="Y19" i="4"/>
  <c r="X19" i="4"/>
  <c r="AA18" i="4"/>
  <c r="Z18" i="4"/>
  <c r="Y18" i="4"/>
  <c r="X18" i="4"/>
  <c r="D18" i="4"/>
  <c r="AA17" i="4"/>
  <c r="Z17" i="4"/>
  <c r="Y17" i="4"/>
  <c r="X17" i="4"/>
  <c r="D17" i="4"/>
  <c r="AA16" i="4"/>
  <c r="Z16" i="4"/>
  <c r="Y16" i="4"/>
  <c r="X16" i="4"/>
  <c r="D16" i="4"/>
  <c r="AA15" i="4"/>
  <c r="Z15" i="4"/>
  <c r="Y15" i="4"/>
  <c r="X15" i="4"/>
  <c r="D15" i="4"/>
  <c r="AA14" i="4"/>
  <c r="Z14" i="4"/>
  <c r="Y14" i="4"/>
  <c r="X14" i="4"/>
  <c r="D14" i="4"/>
  <c r="AA13" i="4"/>
  <c r="Z13" i="4"/>
  <c r="Y13" i="4"/>
  <c r="X13" i="4"/>
  <c r="D13" i="4"/>
  <c r="AA12" i="4"/>
  <c r="Z12" i="4"/>
  <c r="Y12" i="4"/>
  <c r="X12" i="4"/>
  <c r="D12" i="4"/>
  <c r="AA11" i="4"/>
  <c r="Z11" i="4"/>
  <c r="Y11" i="4"/>
  <c r="X11" i="4"/>
  <c r="AA10" i="4"/>
  <c r="Z10" i="4"/>
  <c r="Y10" i="4"/>
  <c r="X10" i="4"/>
  <c r="AA9" i="4"/>
  <c r="Z9" i="4"/>
  <c r="Y9" i="4"/>
  <c r="X9" i="4"/>
  <c r="T9" i="4"/>
  <c r="AA8" i="4"/>
  <c r="Z8" i="4"/>
  <c r="Y8" i="4"/>
  <c r="X8" i="4"/>
  <c r="AA7" i="4"/>
  <c r="Z7" i="4"/>
  <c r="Y7" i="4"/>
  <c r="X7" i="4"/>
  <c r="T7" i="4"/>
  <c r="AA6" i="4"/>
  <c r="Z6" i="4"/>
  <c r="Y6" i="4"/>
  <c r="X6" i="4"/>
  <c r="T6" i="4"/>
  <c r="S6" i="4"/>
  <c r="R6" i="4"/>
  <c r="Q6" i="4"/>
  <c r="L6" i="4"/>
  <c r="I6" i="4"/>
  <c r="H6" i="4"/>
  <c r="G6" i="4"/>
  <c r="F6" i="4"/>
  <c r="D6" i="4"/>
  <c r="AA5" i="4"/>
  <c r="Z5" i="4"/>
  <c r="Y5" i="4"/>
  <c r="X5" i="4"/>
  <c r="T5" i="4"/>
  <c r="S5" i="4"/>
  <c r="R5" i="4"/>
  <c r="Q5" i="4"/>
  <c r="L5" i="4"/>
  <c r="I5" i="4"/>
  <c r="H5" i="4"/>
  <c r="G5" i="4"/>
  <c r="F5" i="4"/>
  <c r="D5" i="4"/>
  <c r="AA4" i="4"/>
  <c r="Z4" i="4"/>
  <c r="Y4" i="4"/>
  <c r="X4" i="4"/>
  <c r="T4" i="4"/>
  <c r="S4" i="4"/>
  <c r="R4" i="4"/>
  <c r="Q4" i="4"/>
  <c r="L4" i="4"/>
  <c r="I4" i="4"/>
  <c r="H4" i="4"/>
  <c r="G4" i="4"/>
  <c r="F4" i="4"/>
  <c r="D4" i="4"/>
  <c r="AA3" i="4"/>
  <c r="Z3" i="4"/>
  <c r="Y3" i="4"/>
  <c r="X3" i="4"/>
  <c r="T3" i="4"/>
  <c r="S3" i="4"/>
  <c r="R3" i="4"/>
  <c r="Q3" i="4"/>
  <c r="L3" i="4"/>
  <c r="I3" i="4"/>
  <c r="H3" i="4"/>
  <c r="G3" i="4"/>
  <c r="F3" i="4"/>
  <c r="D3" i="4"/>
  <c r="AD45" i="3"/>
  <c r="AB45" i="3"/>
  <c r="AB44" i="3"/>
  <c r="V44" i="3"/>
  <c r="AB43" i="3"/>
  <c r="AA43" i="3"/>
  <c r="Z43" i="3"/>
  <c r="Y43" i="3"/>
  <c r="V43" i="3"/>
  <c r="U43" i="3"/>
  <c r="T43" i="3"/>
  <c r="S43" i="3"/>
  <c r="R43" i="3"/>
  <c r="Q43" i="3"/>
  <c r="P43" i="3"/>
  <c r="L43" i="3"/>
  <c r="K43" i="3"/>
  <c r="J43" i="3"/>
  <c r="I43" i="3"/>
  <c r="H43" i="3"/>
  <c r="G43" i="3"/>
  <c r="AB42" i="3"/>
  <c r="AA42" i="3"/>
  <c r="Z42" i="3"/>
  <c r="Y42" i="3"/>
  <c r="V42" i="3"/>
  <c r="U42" i="3"/>
  <c r="T42" i="3"/>
  <c r="S42" i="3"/>
  <c r="R42" i="3"/>
  <c r="Q42" i="3"/>
  <c r="P42" i="3"/>
  <c r="L42" i="3"/>
  <c r="K42" i="3"/>
  <c r="J42" i="3"/>
  <c r="I42" i="3"/>
  <c r="H42" i="3"/>
  <c r="G42" i="3"/>
  <c r="AB41" i="3"/>
  <c r="AA41" i="3"/>
  <c r="Z41" i="3"/>
  <c r="Y41" i="3"/>
  <c r="V41" i="3"/>
  <c r="U41" i="3"/>
  <c r="T41" i="3"/>
  <c r="S41" i="3"/>
  <c r="R41" i="3"/>
  <c r="Q41" i="3"/>
  <c r="P41" i="3"/>
  <c r="L41" i="3"/>
  <c r="K41" i="3"/>
  <c r="J41" i="3"/>
  <c r="I41" i="3"/>
  <c r="H41" i="3"/>
  <c r="G41" i="3"/>
  <c r="AB40" i="3"/>
  <c r="AA40" i="3"/>
  <c r="Z40" i="3"/>
  <c r="Y40" i="3"/>
  <c r="V40" i="3"/>
  <c r="U40" i="3"/>
  <c r="T40" i="3"/>
  <c r="S40" i="3"/>
  <c r="R40" i="3"/>
  <c r="Q40" i="3"/>
  <c r="P40" i="3"/>
  <c r="L40" i="3"/>
  <c r="K40" i="3"/>
  <c r="J40" i="3"/>
  <c r="I40" i="3"/>
  <c r="H40" i="3"/>
  <c r="G40" i="3"/>
  <c r="AB39" i="3"/>
  <c r="AA39" i="3"/>
  <c r="Z39" i="3"/>
  <c r="Y39" i="3"/>
  <c r="V39" i="3"/>
  <c r="U39" i="3"/>
  <c r="T39" i="3"/>
  <c r="S39" i="3"/>
  <c r="R39" i="3"/>
  <c r="Q39" i="3"/>
  <c r="P39" i="3"/>
  <c r="L39" i="3"/>
  <c r="K39" i="3"/>
  <c r="J39" i="3"/>
  <c r="I39" i="3"/>
  <c r="H39" i="3"/>
  <c r="G39" i="3"/>
  <c r="AB38" i="3"/>
  <c r="AA38" i="3"/>
  <c r="Z38" i="3"/>
  <c r="Y38" i="3"/>
  <c r="V38" i="3"/>
  <c r="U38" i="3"/>
  <c r="T38" i="3"/>
  <c r="S38" i="3"/>
  <c r="R38" i="3"/>
  <c r="Q38" i="3"/>
  <c r="P38" i="3"/>
  <c r="L38" i="3"/>
  <c r="K38" i="3"/>
  <c r="J38" i="3"/>
  <c r="I38" i="3"/>
  <c r="H38" i="3"/>
  <c r="G38" i="3"/>
  <c r="AE37" i="3"/>
  <c r="AB37" i="3"/>
  <c r="AA37" i="3"/>
  <c r="Z37" i="3"/>
  <c r="Y37" i="3"/>
  <c r="AD35" i="3"/>
  <c r="AB35" i="3"/>
  <c r="AB34" i="3"/>
  <c r="V34" i="3"/>
  <c r="AB33" i="3"/>
  <c r="AA33" i="3"/>
  <c r="Z33" i="3"/>
  <c r="Y33" i="3"/>
  <c r="V33" i="3"/>
  <c r="U33" i="3"/>
  <c r="T33" i="3"/>
  <c r="S33" i="3"/>
  <c r="R33" i="3"/>
  <c r="Q33" i="3"/>
  <c r="P33" i="3"/>
  <c r="L33" i="3"/>
  <c r="K33" i="3"/>
  <c r="J33" i="3"/>
  <c r="I33" i="3"/>
  <c r="H33" i="3"/>
  <c r="G33" i="3"/>
  <c r="AB32" i="3"/>
  <c r="AA32" i="3"/>
  <c r="Z32" i="3"/>
  <c r="Y32" i="3"/>
  <c r="V32" i="3"/>
  <c r="U32" i="3"/>
  <c r="T32" i="3"/>
  <c r="S32" i="3"/>
  <c r="R32" i="3"/>
  <c r="Q32" i="3"/>
  <c r="P32" i="3"/>
  <c r="L32" i="3"/>
  <c r="K32" i="3"/>
  <c r="J32" i="3"/>
  <c r="I32" i="3"/>
  <c r="H32" i="3"/>
  <c r="G32" i="3"/>
  <c r="AB31" i="3"/>
  <c r="AA31" i="3"/>
  <c r="Z31" i="3"/>
  <c r="Y31" i="3"/>
  <c r="V31" i="3"/>
  <c r="U31" i="3"/>
  <c r="T31" i="3"/>
  <c r="S31" i="3"/>
  <c r="R31" i="3"/>
  <c r="Q31" i="3"/>
  <c r="P31" i="3"/>
  <c r="L31" i="3"/>
  <c r="K31" i="3"/>
  <c r="J31" i="3"/>
  <c r="I31" i="3"/>
  <c r="H31" i="3"/>
  <c r="G31" i="3"/>
  <c r="AB30" i="3"/>
  <c r="AA30" i="3"/>
  <c r="Z30" i="3"/>
  <c r="Y30" i="3"/>
  <c r="V30" i="3"/>
  <c r="U30" i="3"/>
  <c r="T30" i="3"/>
  <c r="S30" i="3"/>
  <c r="R30" i="3"/>
  <c r="Q30" i="3"/>
  <c r="P30" i="3"/>
  <c r="L30" i="3"/>
  <c r="K30" i="3"/>
  <c r="J30" i="3"/>
  <c r="I30" i="3"/>
  <c r="H30" i="3"/>
  <c r="G30" i="3"/>
  <c r="AB29" i="3"/>
  <c r="AA29" i="3"/>
  <c r="Z29" i="3"/>
  <c r="Y29" i="3"/>
  <c r="V29" i="3"/>
  <c r="U29" i="3"/>
  <c r="T29" i="3"/>
  <c r="S29" i="3"/>
  <c r="R29" i="3"/>
  <c r="Q29" i="3"/>
  <c r="P29" i="3"/>
  <c r="L29" i="3"/>
  <c r="K29" i="3"/>
  <c r="J29" i="3"/>
  <c r="I29" i="3"/>
  <c r="H29" i="3"/>
  <c r="G29" i="3"/>
  <c r="AE28" i="3"/>
  <c r="AB28" i="3"/>
  <c r="AA28" i="3"/>
  <c r="Z28" i="3"/>
  <c r="Y28" i="3"/>
  <c r="V28" i="3"/>
  <c r="U28" i="3"/>
  <c r="T28" i="3"/>
  <c r="S28" i="3"/>
  <c r="R28" i="3"/>
  <c r="Q28" i="3"/>
  <c r="P28" i="3"/>
  <c r="L28" i="3"/>
  <c r="K28" i="3"/>
  <c r="J28" i="3"/>
  <c r="I28" i="3"/>
  <c r="H28" i="3"/>
  <c r="G28" i="3"/>
  <c r="AD26" i="3"/>
  <c r="AB26" i="3"/>
  <c r="AD25" i="3"/>
  <c r="AB25" i="3"/>
  <c r="V25" i="3"/>
  <c r="AB24" i="3"/>
  <c r="AA24" i="3"/>
  <c r="Z24" i="3"/>
  <c r="Y24" i="3"/>
  <c r="V24" i="3"/>
  <c r="U24" i="3"/>
  <c r="T24" i="3"/>
  <c r="S24" i="3"/>
  <c r="R24" i="3"/>
  <c r="Q24" i="3"/>
  <c r="P24" i="3"/>
  <c r="L24" i="3"/>
  <c r="K24" i="3"/>
  <c r="I24" i="3"/>
  <c r="H24" i="3"/>
  <c r="G24" i="3"/>
  <c r="AB23" i="3"/>
  <c r="AA23" i="3"/>
  <c r="Z23" i="3"/>
  <c r="Y23" i="3"/>
  <c r="V23" i="3"/>
  <c r="U23" i="3"/>
  <c r="T23" i="3"/>
  <c r="S23" i="3"/>
  <c r="R23" i="3"/>
  <c r="Q23" i="3"/>
  <c r="P23" i="3"/>
  <c r="L23" i="3"/>
  <c r="K23" i="3"/>
  <c r="J23" i="3"/>
  <c r="I23" i="3"/>
  <c r="H23" i="3"/>
  <c r="G23" i="3"/>
  <c r="AB22" i="3"/>
  <c r="AA22" i="3"/>
  <c r="Z22" i="3"/>
  <c r="Y22" i="3"/>
  <c r="V22" i="3"/>
  <c r="U22" i="3"/>
  <c r="T22" i="3"/>
  <c r="S22" i="3"/>
  <c r="R22" i="3"/>
  <c r="Q22" i="3"/>
  <c r="P22" i="3"/>
  <c r="L22" i="3"/>
  <c r="K22" i="3"/>
  <c r="J22" i="3"/>
  <c r="I22" i="3"/>
  <c r="H22" i="3"/>
  <c r="G22" i="3"/>
  <c r="AB21" i="3"/>
  <c r="AA21" i="3"/>
  <c r="Z21" i="3"/>
  <c r="Y21" i="3"/>
  <c r="V21" i="3"/>
  <c r="U21" i="3"/>
  <c r="T21" i="3"/>
  <c r="S21" i="3"/>
  <c r="R21" i="3"/>
  <c r="Q21" i="3"/>
  <c r="P21" i="3"/>
  <c r="L21" i="3"/>
  <c r="K21" i="3"/>
  <c r="J21" i="3"/>
  <c r="I21" i="3"/>
  <c r="H21" i="3"/>
  <c r="G21" i="3"/>
  <c r="AB20" i="3"/>
  <c r="AA20" i="3"/>
  <c r="Z20" i="3"/>
  <c r="Y20" i="3"/>
  <c r="V20" i="3"/>
  <c r="U20" i="3"/>
  <c r="T20" i="3"/>
  <c r="S20" i="3"/>
  <c r="R20" i="3"/>
  <c r="Q20" i="3"/>
  <c r="P20" i="3"/>
  <c r="L20" i="3"/>
  <c r="K20" i="3"/>
  <c r="J20" i="3"/>
  <c r="I20" i="3"/>
  <c r="H20" i="3"/>
  <c r="G20" i="3"/>
  <c r="AB19" i="3"/>
  <c r="AA19" i="3"/>
  <c r="Z19" i="3"/>
  <c r="Y19" i="3"/>
  <c r="V19" i="3"/>
  <c r="U19" i="3"/>
  <c r="T19" i="3"/>
  <c r="S19" i="3"/>
  <c r="R19" i="3"/>
  <c r="Q19" i="3"/>
  <c r="P19" i="3"/>
  <c r="L19" i="3"/>
  <c r="K19" i="3"/>
  <c r="J19" i="3"/>
  <c r="I19" i="3"/>
  <c r="H19" i="3"/>
  <c r="G19" i="3"/>
  <c r="AE18" i="3"/>
  <c r="AB18" i="3"/>
  <c r="AA18" i="3"/>
  <c r="Z18" i="3"/>
  <c r="Y18" i="3"/>
  <c r="V18" i="3"/>
  <c r="U18" i="3"/>
  <c r="T18" i="3"/>
  <c r="S18" i="3"/>
  <c r="R18" i="3"/>
  <c r="Q18" i="3"/>
  <c r="P18" i="3"/>
  <c r="L18" i="3"/>
  <c r="K18" i="3"/>
  <c r="J18" i="3"/>
  <c r="I18" i="3"/>
  <c r="H18" i="3"/>
  <c r="G18" i="3"/>
  <c r="AD16" i="3"/>
  <c r="AB16" i="3"/>
  <c r="AB15" i="3"/>
  <c r="V15" i="3"/>
  <c r="AB14" i="3"/>
  <c r="AA14" i="3"/>
  <c r="Z14" i="3"/>
  <c r="Y14" i="3"/>
  <c r="V14" i="3"/>
  <c r="U14" i="3"/>
  <c r="T14" i="3"/>
  <c r="S14" i="3"/>
  <c r="R14" i="3"/>
  <c r="Q14" i="3"/>
  <c r="P14" i="3"/>
  <c r="L14" i="3"/>
  <c r="K14" i="3"/>
  <c r="J14" i="3"/>
  <c r="I14" i="3"/>
  <c r="H14" i="3"/>
  <c r="G14" i="3"/>
  <c r="AB13" i="3"/>
  <c r="AA13" i="3"/>
  <c r="Z13" i="3"/>
  <c r="Y13" i="3"/>
  <c r="V13" i="3"/>
  <c r="U13" i="3"/>
  <c r="T13" i="3"/>
  <c r="S13" i="3"/>
  <c r="R13" i="3"/>
  <c r="Q13" i="3"/>
  <c r="P13" i="3"/>
  <c r="L13" i="3"/>
  <c r="K13" i="3"/>
  <c r="J13" i="3"/>
  <c r="I13" i="3"/>
  <c r="H13" i="3"/>
  <c r="G13" i="3"/>
  <c r="AB12" i="3"/>
  <c r="AA12" i="3"/>
  <c r="Z12" i="3"/>
  <c r="Y12" i="3"/>
  <c r="V12" i="3"/>
  <c r="U12" i="3"/>
  <c r="T12" i="3"/>
  <c r="S12" i="3"/>
  <c r="R12" i="3"/>
  <c r="Q12" i="3"/>
  <c r="P12" i="3"/>
  <c r="L12" i="3"/>
  <c r="K12" i="3"/>
  <c r="J12" i="3"/>
  <c r="I12" i="3"/>
  <c r="H12" i="3"/>
  <c r="G12" i="3"/>
  <c r="AB11" i="3"/>
  <c r="AA11" i="3"/>
  <c r="Z11" i="3"/>
  <c r="Y11" i="3"/>
  <c r="V11" i="3"/>
  <c r="U11" i="3"/>
  <c r="T11" i="3"/>
  <c r="S11" i="3"/>
  <c r="R11" i="3"/>
  <c r="Q11" i="3"/>
  <c r="P11" i="3"/>
  <c r="L11" i="3"/>
  <c r="K11" i="3"/>
  <c r="J11" i="3"/>
  <c r="I11" i="3"/>
  <c r="H11" i="3"/>
  <c r="G11" i="3"/>
  <c r="AB10" i="3"/>
  <c r="AA10" i="3"/>
  <c r="Z10" i="3"/>
  <c r="Y10" i="3"/>
  <c r="V10" i="3"/>
  <c r="U10" i="3"/>
  <c r="T10" i="3"/>
  <c r="S10" i="3"/>
  <c r="R10" i="3"/>
  <c r="Q10" i="3"/>
  <c r="P10" i="3"/>
  <c r="L10" i="3"/>
  <c r="K10" i="3"/>
  <c r="J10" i="3"/>
  <c r="I10" i="3"/>
  <c r="H10" i="3"/>
  <c r="G10" i="3"/>
  <c r="AB9" i="3"/>
  <c r="AA9" i="3"/>
  <c r="Z9" i="3"/>
  <c r="Y9" i="3"/>
  <c r="V9" i="3"/>
  <c r="U9" i="3"/>
  <c r="T9" i="3"/>
  <c r="S9" i="3"/>
  <c r="R9" i="3"/>
  <c r="Q9" i="3"/>
  <c r="P9" i="3"/>
  <c r="L9" i="3"/>
  <c r="K9" i="3"/>
  <c r="J9" i="3"/>
  <c r="I9" i="3"/>
  <c r="H9" i="3"/>
  <c r="G9" i="3"/>
  <c r="AB8" i="3"/>
  <c r="AA8" i="3"/>
  <c r="Z8" i="3"/>
  <c r="Y8" i="3"/>
  <c r="V8" i="3"/>
  <c r="U8" i="3"/>
  <c r="T8" i="3"/>
  <c r="S8" i="3"/>
  <c r="R8" i="3"/>
  <c r="Q8" i="3"/>
  <c r="P8" i="3"/>
  <c r="L8" i="3"/>
  <c r="K8" i="3"/>
  <c r="J8" i="3"/>
  <c r="I8" i="3"/>
  <c r="H8" i="3"/>
  <c r="G8" i="3"/>
  <c r="AE7" i="3"/>
  <c r="L34" i="1"/>
  <c r="M32" i="1"/>
  <c r="L32" i="1"/>
  <c r="K32" i="1"/>
  <c r="J32" i="1"/>
  <c r="E32" i="1"/>
  <c r="D32" i="1"/>
  <c r="M31" i="1"/>
  <c r="L31" i="1"/>
  <c r="K31" i="1"/>
  <c r="J31" i="1"/>
  <c r="E31" i="1"/>
  <c r="D31" i="1"/>
  <c r="M30" i="1"/>
  <c r="L30" i="1"/>
  <c r="K30" i="1"/>
  <c r="J30" i="1"/>
  <c r="E30" i="1"/>
  <c r="D30" i="1"/>
  <c r="M29" i="1"/>
  <c r="L29" i="1"/>
  <c r="K29" i="1"/>
  <c r="J29" i="1"/>
  <c r="E29" i="1"/>
  <c r="D29" i="1"/>
  <c r="M28" i="1"/>
  <c r="L28" i="1"/>
  <c r="K28" i="1"/>
  <c r="J28" i="1"/>
  <c r="E28" i="1"/>
  <c r="D28" i="1"/>
  <c r="M27" i="1"/>
  <c r="L27" i="1"/>
  <c r="K27" i="1"/>
  <c r="J27" i="1"/>
  <c r="E27" i="1"/>
  <c r="D27" i="1"/>
  <c r="M26" i="1"/>
  <c r="L26" i="1"/>
  <c r="K26" i="1"/>
  <c r="J26" i="1"/>
  <c r="E26" i="1"/>
  <c r="D26" i="1"/>
  <c r="M25" i="1"/>
  <c r="L25" i="1"/>
  <c r="K25" i="1"/>
  <c r="J25" i="1"/>
  <c r="E25" i="1"/>
  <c r="D25" i="1"/>
  <c r="M24" i="1"/>
  <c r="L24" i="1"/>
  <c r="K24" i="1"/>
  <c r="J24" i="1"/>
  <c r="E24" i="1"/>
  <c r="D24" i="1"/>
  <c r="M23" i="1"/>
  <c r="L23" i="1"/>
  <c r="K23" i="1"/>
  <c r="J23" i="1"/>
  <c r="E23" i="1"/>
  <c r="D23" i="1"/>
  <c r="M22" i="1"/>
  <c r="L22" i="1"/>
  <c r="K22" i="1"/>
  <c r="J22" i="1"/>
  <c r="E22" i="1"/>
  <c r="D22" i="1"/>
  <c r="M21" i="1"/>
  <c r="L21" i="1"/>
  <c r="K21" i="1"/>
  <c r="J21" i="1"/>
  <c r="E21" i="1"/>
  <c r="D21" i="1"/>
  <c r="M20" i="1"/>
  <c r="L20" i="1"/>
  <c r="K20" i="1"/>
  <c r="J20" i="1"/>
  <c r="E20" i="1"/>
  <c r="D20" i="1"/>
  <c r="M19" i="1"/>
  <c r="L19" i="1"/>
  <c r="K19" i="1"/>
  <c r="J19" i="1"/>
  <c r="E19" i="1"/>
  <c r="D19" i="1"/>
  <c r="M18" i="1"/>
  <c r="L18" i="1"/>
  <c r="K18" i="1"/>
  <c r="J18" i="1"/>
  <c r="E18" i="1"/>
  <c r="D18" i="1"/>
  <c r="M17" i="1"/>
  <c r="L17" i="1"/>
  <c r="K17" i="1"/>
  <c r="J17" i="1"/>
  <c r="E17" i="1"/>
  <c r="D17" i="1"/>
  <c r="M16" i="1"/>
  <c r="L16" i="1"/>
  <c r="K16" i="1"/>
  <c r="J16" i="1"/>
  <c r="E16" i="1"/>
  <c r="D16" i="1"/>
  <c r="M15" i="1"/>
  <c r="L15" i="1"/>
  <c r="K15" i="1"/>
  <c r="J15" i="1"/>
  <c r="E15" i="1"/>
  <c r="D15" i="1"/>
  <c r="M14" i="1"/>
  <c r="L14" i="1"/>
  <c r="K14" i="1"/>
  <c r="J14" i="1"/>
  <c r="E14" i="1"/>
  <c r="D14" i="1"/>
  <c r="M13" i="1"/>
  <c r="L13" i="1"/>
  <c r="K13" i="1"/>
  <c r="J13" i="1"/>
  <c r="E13" i="1"/>
  <c r="D13" i="1"/>
  <c r="M12" i="1"/>
  <c r="L12" i="1"/>
  <c r="K12" i="1"/>
  <c r="J12" i="1"/>
  <c r="E12" i="1"/>
  <c r="D12" i="1"/>
  <c r="M11" i="1"/>
  <c r="L11" i="1"/>
  <c r="K11" i="1"/>
  <c r="J11" i="1"/>
  <c r="E11" i="1"/>
  <c r="D11" i="1"/>
  <c r="M10" i="1"/>
  <c r="L10" i="1"/>
  <c r="K10" i="1"/>
  <c r="J10" i="1"/>
  <c r="E10" i="1"/>
  <c r="D10" i="1"/>
  <c r="M9" i="1"/>
  <c r="L9" i="1"/>
  <c r="K9" i="1"/>
  <c r="J9" i="1"/>
  <c r="E9" i="1"/>
  <c r="D9" i="1"/>
  <c r="M8" i="1"/>
  <c r="L8" i="1"/>
  <c r="K8" i="1"/>
  <c r="J8" i="1"/>
  <c r="E8" i="1"/>
  <c r="D8" i="1"/>
  <c r="M7" i="1"/>
  <c r="L7" i="1"/>
  <c r="K7" i="1"/>
  <c r="J7" i="1"/>
  <c r="H7" i="1"/>
  <c r="E7" i="1"/>
  <c r="D7" i="1"/>
  <c r="M6" i="1"/>
  <c r="L6" i="1"/>
  <c r="K6" i="1"/>
  <c r="J6" i="1"/>
  <c r="E6" i="1"/>
  <c r="D6" i="1"/>
  <c r="M5" i="1"/>
  <c r="L5" i="1"/>
  <c r="K5" i="1"/>
  <c r="J5" i="1"/>
  <c r="E5" i="1"/>
  <c r="D5" i="1"/>
  <c r="M4" i="1"/>
  <c r="L4" i="1"/>
  <c r="K4" i="1"/>
  <c r="J4" i="1"/>
  <c r="E4" i="1"/>
  <c r="D4" i="1"/>
  <c r="M3" i="1"/>
  <c r="L3" i="1"/>
  <c r="K3" i="1"/>
  <c r="J3" i="1"/>
  <c r="E3" i="1"/>
  <c r="D3" i="1"/>
</calcChain>
</file>

<file path=xl/sharedStrings.xml><?xml version="1.0" encoding="utf-8"?>
<sst xmlns="http://schemas.openxmlformats.org/spreadsheetml/2006/main" count="127" uniqueCount="65">
  <si>
    <t>I1 / A</t>
  </si>
  <si>
    <t>B1 / mT</t>
  </si>
  <si>
    <t>I2 / A</t>
  </si>
  <si>
    <t>I1/A</t>
  </si>
  <si>
    <t>Angle Error 2/deg</t>
  </si>
  <si>
    <t>Angle Error 1/deg</t>
  </si>
  <si>
    <t>Fixed I1/A</t>
  </si>
  <si>
    <t>Fixed I2/A</t>
  </si>
  <si>
    <t>Green</t>
  </si>
  <si>
    <t>White</t>
  </si>
  <si>
    <t>Blue</t>
  </si>
  <si>
    <t>Yellow</t>
  </si>
  <si>
    <t>2 theta/deg</t>
  </si>
  <si>
    <t>I1 (corrected) / A</t>
  </si>
  <si>
    <t>B1 (fit) / mT</t>
  </si>
  <si>
    <t>B1 (corrected) / mT</t>
  </si>
  <si>
    <t>gradient</t>
  </si>
  <si>
    <t>intercept</t>
  </si>
  <si>
    <t>residual</t>
  </si>
  <si>
    <t>residual^2</t>
  </si>
  <si>
    <t>normalised residual^2</t>
  </si>
  <si>
    <t>Chi Square</t>
  </si>
  <si>
    <t>x^2 - x_min^2</t>
  </si>
  <si>
    <t>theta / degrees</t>
  </si>
  <si>
    <t>theta / degree</t>
  </si>
  <si>
    <t>B / mT</t>
  </si>
  <si>
    <t>I2 (corrected) / A</t>
  </si>
  <si>
    <t>I(error) / A</t>
  </si>
  <si>
    <t>I2(abs) / A</t>
  </si>
  <si>
    <t>theta (fit) / Mt</t>
  </si>
  <si>
    <t>B_max / mT</t>
  </si>
  <si>
    <t>B_min / mT</t>
  </si>
  <si>
    <t>B_error_pos / mT</t>
  </si>
  <si>
    <t>B_error_neg / mT</t>
  </si>
  <si>
    <t>normalised</t>
  </si>
  <si>
    <t>Chi square</t>
  </si>
  <si>
    <t>normalised_residual^2</t>
  </si>
  <si>
    <t xml:space="preserve">Chi^2 </t>
  </si>
  <si>
    <t>normalised_residual</t>
  </si>
  <si>
    <t>Chi^2</t>
  </si>
  <si>
    <t>V</t>
  </si>
  <si>
    <t>V_error</t>
  </si>
  <si>
    <t>error</t>
  </si>
  <si>
    <t>V_max</t>
  </si>
  <si>
    <t>color</t>
  </si>
  <si>
    <t>λ / nm</t>
  </si>
  <si>
    <t>ln(λ / m)</t>
  </si>
  <si>
    <t>r^2</t>
  </si>
  <si>
    <t>norm_r^2</t>
  </si>
  <si>
    <t>chi^2</t>
  </si>
  <si>
    <t>ln(V)</t>
  </si>
  <si>
    <t>ln(V_fit)</t>
  </si>
  <si>
    <t>ln(V)_max</t>
  </si>
  <si>
    <t>ln(V)_min</t>
  </si>
  <si>
    <t>ln(V)_error</t>
  </si>
  <si>
    <t>error_count</t>
  </si>
  <si>
    <t>λ</t>
  </si>
  <si>
    <t>ln(λ)</t>
  </si>
  <si>
    <t>Kim data</t>
  </si>
  <si>
    <t>V / min/G cm</t>
  </si>
  <si>
    <t xml:space="preserve">V </t>
  </si>
  <si>
    <t>G</t>
  </si>
  <si>
    <t>W</t>
  </si>
  <si>
    <t>B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</si>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</sst>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542218569370349E-2"/>
          <c:y val="2.0722852038073551E-2"/>
          <c:w val="0.96505517192457191"/>
          <c:h val="0.96549070296935779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Calibration!$D$3:$D$32</c:f>
              <c:numCache>
                <c:formatCode>General</c:formatCode>
                <c:ptCount val="30"/>
                <c:pt idx="0">
                  <c:v>0</c:v>
                </c:pt>
                <c:pt idx="1">
                  <c:v>0.1100000000000001</c:v>
                </c:pt>
                <c:pt idx="2">
                  <c:v>0.52</c:v>
                </c:pt>
                <c:pt idx="3">
                  <c:v>1.21</c:v>
                </c:pt>
                <c:pt idx="4">
                  <c:v>2.0700000000000003</c:v>
                </c:pt>
                <c:pt idx="5">
                  <c:v>3.27</c:v>
                </c:pt>
                <c:pt idx="6">
                  <c:v>4.0500000000000007</c:v>
                </c:pt>
                <c:pt idx="7">
                  <c:v>4.7699999999999996</c:v>
                </c:pt>
                <c:pt idx="8">
                  <c:v>5.49</c:v>
                </c:pt>
                <c:pt idx="9">
                  <c:v>6.3800000000000008</c:v>
                </c:pt>
                <c:pt idx="10">
                  <c:v>6.93</c:v>
                </c:pt>
                <c:pt idx="11">
                  <c:v>7.7100000000000009</c:v>
                </c:pt>
                <c:pt idx="12">
                  <c:v>8.2900000000000009</c:v>
                </c:pt>
                <c:pt idx="13">
                  <c:v>9.15</c:v>
                </c:pt>
                <c:pt idx="14">
                  <c:v>9.59</c:v>
                </c:pt>
                <c:pt idx="15">
                  <c:v>0</c:v>
                </c:pt>
                <c:pt idx="16">
                  <c:v>-7.9999999999999849E-2</c:v>
                </c:pt>
                <c:pt idx="17">
                  <c:v>-0.55000000000000004</c:v>
                </c:pt>
                <c:pt idx="18">
                  <c:v>-1.3499999999999999</c:v>
                </c:pt>
                <c:pt idx="19">
                  <c:v>-1.97</c:v>
                </c:pt>
                <c:pt idx="20">
                  <c:v>-2.7799999999999994</c:v>
                </c:pt>
                <c:pt idx="21">
                  <c:v>-3.54</c:v>
                </c:pt>
                <c:pt idx="22">
                  <c:v>-4.1499999999999995</c:v>
                </c:pt>
                <c:pt idx="23">
                  <c:v>-4.75</c:v>
                </c:pt>
                <c:pt idx="24">
                  <c:v>-5.42</c:v>
                </c:pt>
                <c:pt idx="25">
                  <c:v>-6.14</c:v>
                </c:pt>
                <c:pt idx="26">
                  <c:v>-6.9399999999999995</c:v>
                </c:pt>
                <c:pt idx="27">
                  <c:v>-7.58</c:v>
                </c:pt>
                <c:pt idx="28">
                  <c:v>-8.1999999999999993</c:v>
                </c:pt>
                <c:pt idx="29">
                  <c:v>-8.9499999999999993</c:v>
                </c:pt>
              </c:numCache>
            </c:numRef>
          </c:xVal>
          <c:yVal>
            <c:numRef>
              <c:f>Calibration!$E$3:$E$32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23</c:v>
                </c:pt>
                <c:pt idx="4">
                  <c:v>39</c:v>
                </c:pt>
                <c:pt idx="5">
                  <c:v>62</c:v>
                </c:pt>
                <c:pt idx="6">
                  <c:v>77</c:v>
                </c:pt>
                <c:pt idx="7">
                  <c:v>91</c:v>
                </c:pt>
                <c:pt idx="8">
                  <c:v>105</c:v>
                </c:pt>
                <c:pt idx="9">
                  <c:v>121</c:v>
                </c:pt>
                <c:pt idx="10">
                  <c:v>132</c:v>
                </c:pt>
                <c:pt idx="11">
                  <c:v>147</c:v>
                </c:pt>
                <c:pt idx="12">
                  <c:v>157</c:v>
                </c:pt>
                <c:pt idx="13">
                  <c:v>172</c:v>
                </c:pt>
                <c:pt idx="14">
                  <c:v>179</c:v>
                </c:pt>
                <c:pt idx="15">
                  <c:v>0</c:v>
                </c:pt>
                <c:pt idx="16">
                  <c:v>-2</c:v>
                </c:pt>
                <c:pt idx="17">
                  <c:v>-10</c:v>
                </c:pt>
                <c:pt idx="18">
                  <c:v>-26</c:v>
                </c:pt>
                <c:pt idx="19">
                  <c:v>-38</c:v>
                </c:pt>
                <c:pt idx="20">
                  <c:v>-54</c:v>
                </c:pt>
                <c:pt idx="21">
                  <c:v>-69</c:v>
                </c:pt>
                <c:pt idx="22">
                  <c:v>-80</c:v>
                </c:pt>
                <c:pt idx="23">
                  <c:v>-92</c:v>
                </c:pt>
                <c:pt idx="24">
                  <c:v>-104</c:v>
                </c:pt>
                <c:pt idx="25">
                  <c:v>-118</c:v>
                </c:pt>
                <c:pt idx="26">
                  <c:v>-134</c:v>
                </c:pt>
                <c:pt idx="27">
                  <c:v>-145</c:v>
                </c:pt>
                <c:pt idx="28">
                  <c:v>-157</c:v>
                </c:pt>
                <c:pt idx="29">
                  <c:v>-171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7B-4E8E-92AE-0D4304E7C423}"/>
            </c:ext>
          </c:extLst>
        </c:ser>
        <c:ser>
          <c:idx val="0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Calibration!$D$3:$D$32</c:f>
              <c:numCache>
                <c:formatCode>General</c:formatCode>
                <c:ptCount val="30"/>
                <c:pt idx="0">
                  <c:v>0</c:v>
                </c:pt>
                <c:pt idx="1">
                  <c:v>0.1100000000000001</c:v>
                </c:pt>
                <c:pt idx="2">
                  <c:v>0.52</c:v>
                </c:pt>
                <c:pt idx="3">
                  <c:v>1.21</c:v>
                </c:pt>
                <c:pt idx="4">
                  <c:v>2.0700000000000003</c:v>
                </c:pt>
                <c:pt idx="5">
                  <c:v>3.27</c:v>
                </c:pt>
                <c:pt idx="6">
                  <c:v>4.0500000000000007</c:v>
                </c:pt>
                <c:pt idx="7">
                  <c:v>4.7699999999999996</c:v>
                </c:pt>
                <c:pt idx="8">
                  <c:v>5.49</c:v>
                </c:pt>
                <c:pt idx="9">
                  <c:v>6.3800000000000008</c:v>
                </c:pt>
                <c:pt idx="10">
                  <c:v>6.93</c:v>
                </c:pt>
                <c:pt idx="11">
                  <c:v>7.7100000000000009</c:v>
                </c:pt>
                <c:pt idx="12">
                  <c:v>8.2900000000000009</c:v>
                </c:pt>
                <c:pt idx="13">
                  <c:v>9.15</c:v>
                </c:pt>
                <c:pt idx="14">
                  <c:v>9.59</c:v>
                </c:pt>
                <c:pt idx="15">
                  <c:v>0</c:v>
                </c:pt>
                <c:pt idx="16">
                  <c:v>-7.9999999999999849E-2</c:v>
                </c:pt>
                <c:pt idx="17">
                  <c:v>-0.55000000000000004</c:v>
                </c:pt>
                <c:pt idx="18">
                  <c:v>-1.3499999999999999</c:v>
                </c:pt>
                <c:pt idx="19">
                  <c:v>-1.97</c:v>
                </c:pt>
                <c:pt idx="20">
                  <c:v>-2.7799999999999994</c:v>
                </c:pt>
                <c:pt idx="21">
                  <c:v>-3.54</c:v>
                </c:pt>
                <c:pt idx="22">
                  <c:v>-4.1499999999999995</c:v>
                </c:pt>
                <c:pt idx="23">
                  <c:v>-4.75</c:v>
                </c:pt>
                <c:pt idx="24">
                  <c:v>-5.42</c:v>
                </c:pt>
                <c:pt idx="25">
                  <c:v>-6.14</c:v>
                </c:pt>
                <c:pt idx="26">
                  <c:v>-6.9399999999999995</c:v>
                </c:pt>
                <c:pt idx="27">
                  <c:v>-7.58</c:v>
                </c:pt>
                <c:pt idx="28">
                  <c:v>-8.1999999999999993</c:v>
                </c:pt>
                <c:pt idx="29">
                  <c:v>-8.9499999999999993</c:v>
                </c:pt>
              </c:numCache>
            </c:numRef>
          </c:xVal>
          <c:yVal>
            <c:numRef>
              <c:f>Calibration!$J$3:$J$32</c:f>
              <c:numCache>
                <c:formatCode>General</c:formatCode>
                <c:ptCount val="30"/>
                <c:pt idx="0">
                  <c:v>-0.9</c:v>
                </c:pt>
                <c:pt idx="1">
                  <c:v>1.1888447928563823</c:v>
                </c:pt>
                <c:pt idx="2">
                  <c:v>8.9745390207756159</c:v>
                </c:pt>
                <c:pt idx="3">
                  <c:v>22.077292721420186</c:v>
                </c:pt>
                <c:pt idx="4">
                  <c:v>38.408261101933711</c:v>
                </c:pt>
                <c:pt idx="5">
                  <c:v>61.195658842185125</c:v>
                </c:pt>
                <c:pt idx="6">
                  <c:v>76.007467373348561</c:v>
                </c:pt>
                <c:pt idx="7">
                  <c:v>89.679906017499391</c:v>
                </c:pt>
                <c:pt idx="8">
                  <c:v>103.35234466165025</c:v>
                </c:pt>
                <c:pt idx="9">
                  <c:v>120.25299798567006</c:v>
                </c:pt>
                <c:pt idx="10">
                  <c:v>130.69722194995194</c:v>
                </c:pt>
                <c:pt idx="11">
                  <c:v>145.50903048111539</c:v>
                </c:pt>
                <c:pt idx="12">
                  <c:v>156.52293938890358</c:v>
                </c:pt>
                <c:pt idx="13">
                  <c:v>172.85390776941708</c:v>
                </c:pt>
                <c:pt idx="14">
                  <c:v>181.20928694084259</c:v>
                </c:pt>
                <c:pt idx="15">
                  <c:v>-0.9</c:v>
                </c:pt>
                <c:pt idx="16">
                  <c:v>-2.4191598493500921</c:v>
                </c:pt>
                <c:pt idx="17">
                  <c:v>-11.344223964281902</c:v>
                </c:pt>
                <c:pt idx="18">
                  <c:v>-26.535822457782846</c:v>
                </c:pt>
                <c:pt idx="19">
                  <c:v>-38.309311290246079</c:v>
                </c:pt>
                <c:pt idx="20">
                  <c:v>-53.690804764915782</c:v>
                </c:pt>
                <c:pt idx="21">
                  <c:v>-68.122823333741692</c:v>
                </c:pt>
                <c:pt idx="22">
                  <c:v>-79.706417185036159</c:v>
                </c:pt>
                <c:pt idx="23">
                  <c:v>-91.100116055161877</c:v>
                </c:pt>
                <c:pt idx="24">
                  <c:v>-103.82307979346892</c:v>
                </c:pt>
                <c:pt idx="25">
                  <c:v>-117.49551843761978</c:v>
                </c:pt>
                <c:pt idx="26">
                  <c:v>-132.68711693112073</c:v>
                </c:pt>
                <c:pt idx="27">
                  <c:v>-144.8403957259215</c:v>
                </c:pt>
                <c:pt idx="28">
                  <c:v>-156.61388455838471</c:v>
                </c:pt>
                <c:pt idx="29">
                  <c:v>-170.85600814604183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7B-4E8E-92AE-0D4304E7C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54048"/>
        <c:axId val="506255296"/>
      </c:scatterChart>
      <c:valAx>
        <c:axId val="50625404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i="1"/>
                  <a:t>I</a:t>
                </a:r>
                <a:r>
                  <a:rPr lang="en-GB" sz="2000" i="1" baseline="0"/>
                  <a:t> / A</a:t>
                </a:r>
                <a:endParaRPr lang="en-GB" sz="2000" i="1"/>
              </a:p>
            </c:rich>
          </c:tx>
          <c:layout>
            <c:manualLayout>
              <c:xMode val="edge"/>
              <c:yMode val="edge"/>
              <c:x val="0.92069760501745312"/>
              <c:y val="0.56086985738228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55296"/>
        <c:crosses val="autoZero"/>
        <c:crossBetween val="midCat"/>
      </c:valAx>
      <c:valAx>
        <c:axId val="50625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i="1"/>
                  <a:t>B</a:t>
                </a:r>
                <a:r>
                  <a:rPr lang="en-GB" sz="2000" i="1" baseline="0"/>
                  <a:t> / mT</a:t>
                </a:r>
                <a:endParaRPr lang="en-GB" sz="2000" i="1"/>
              </a:p>
            </c:rich>
          </c:tx>
          <c:layout>
            <c:manualLayout>
              <c:xMode val="edge"/>
              <c:yMode val="edge"/>
              <c:x val="0.4090109658939417"/>
              <c:y val="1.26711570692217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54048"/>
        <c:crosses val="autoZero"/>
        <c:crossBetween val="midCat"/>
        <c:majorUnit val="50"/>
      </c:valAx>
      <c:spPr>
        <a:noFill/>
        <a:ln w="952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53469681675111E-2"/>
          <c:y val="3.9846763703238537E-2"/>
          <c:w val="0.889283370448817"/>
          <c:h val="0.93795420919326922"/>
        </c:manualLayout>
      </c:layout>
      <c:scatterChart>
        <c:scatterStyle val="lineMarker"/>
        <c:varyColors val="0"/>
        <c:ser>
          <c:idx val="0"/>
          <c:order val="0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0.5</c:v>
                </c:pt>
              </c:numLit>
            </c:plus>
            <c:minus>
              <c:numLit>
                <c:formatCode>General</c:formatCode>
                <c:ptCount val="1"/>
                <c:pt idx="0">
                  <c:v>0.5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Sheet3!$P$8:$P$14</c:f>
              <c:numCache>
                <c:formatCode>General</c:formatCode>
                <c:ptCount val="7"/>
                <c:pt idx="0">
                  <c:v>-1.5592000000000006</c:v>
                </c:pt>
                <c:pt idx="1">
                  <c:v>36.970200000000006</c:v>
                </c:pt>
                <c:pt idx="2">
                  <c:v>76.069000000000017</c:v>
                </c:pt>
                <c:pt idx="3">
                  <c:v>112.70040000000002</c:v>
                </c:pt>
                <c:pt idx="4">
                  <c:v>152.55840000000001</c:v>
                </c:pt>
                <c:pt idx="5">
                  <c:v>191.4674</c:v>
                </c:pt>
                <c:pt idx="6">
                  <c:v>229.6172</c:v>
                </c:pt>
              </c:numCache>
            </c:numRef>
          </c:xVal>
          <c:yVal>
            <c:numRef>
              <c:f>Sheet3!$Y$8:$Y$14</c:f>
              <c:numCache>
                <c:formatCode>General</c:formatCode>
                <c:ptCount val="7"/>
                <c:pt idx="0">
                  <c:v>0.28811637725709527</c:v>
                </c:pt>
                <c:pt idx="1">
                  <c:v>1.1448608527293729</c:v>
                </c:pt>
                <c:pt idx="2">
                  <c:v>2.0142665766076449</c:v>
                </c:pt>
                <c:pt idx="3">
                  <c:v>2.8288068907266082</c:v>
                </c:pt>
                <c:pt idx="4">
                  <c:v>3.7150942791462054</c:v>
                </c:pt>
                <c:pt idx="5">
                  <c:v>4.5802795868891462</c:v>
                </c:pt>
                <c:pt idx="6">
                  <c:v>5.4285832300907604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92F-45A1-B98E-8517C3767EEA}"/>
            </c:ext>
          </c:extLst>
        </c:ser>
        <c:ser>
          <c:idx val="1"/>
          <c:order val="1"/>
          <c:tx>
            <c:v>Green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Sheet3!$S$8:$S$14</c:f>
                <c:numCache>
                  <c:formatCode>General</c:formatCode>
                  <c:ptCount val="7"/>
                  <c:pt idx="0">
                    <c:v>0.85920000000000052</c:v>
                  </c:pt>
                  <c:pt idx="1">
                    <c:v>1.6183999999999941</c:v>
                  </c:pt>
                  <c:pt idx="2">
                    <c:v>0.76429999999997733</c:v>
                  </c:pt>
                  <c:pt idx="3">
                    <c:v>0.38470000000000937</c:v>
                  </c:pt>
                  <c:pt idx="4">
                    <c:v>5.1296999999999571</c:v>
                  </c:pt>
                  <c:pt idx="5">
                    <c:v>1.1439000000000306</c:v>
                  </c:pt>
                  <c:pt idx="6">
                    <c:v>1.3336999999999932</c:v>
                  </c:pt>
                </c:numCache>
              </c:numRef>
            </c:plus>
            <c:minus>
              <c:numRef>
                <c:f>Sheet3!$U$8:$U$14</c:f>
                <c:numCache>
                  <c:formatCode>General</c:formatCode>
                  <c:ptCount val="7"/>
                  <c:pt idx="0">
                    <c:v>1.7184000000000013</c:v>
                  </c:pt>
                  <c:pt idx="1">
                    <c:v>3.2367999999999952</c:v>
                  </c:pt>
                  <c:pt idx="2">
                    <c:v>1.5285999999999547</c:v>
                  </c:pt>
                  <c:pt idx="3">
                    <c:v>0.76940000000001874</c:v>
                  </c:pt>
                  <c:pt idx="4">
                    <c:v>10.259399999999971</c:v>
                  </c:pt>
                  <c:pt idx="5">
                    <c:v>2.2878000000000327</c:v>
                  </c:pt>
                  <c:pt idx="6">
                    <c:v>2.667399999999958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Sheet3!$P$8:$P$14</c:f>
              <c:numCache>
                <c:formatCode>General</c:formatCode>
                <c:ptCount val="7"/>
                <c:pt idx="0">
                  <c:v>-1.5592000000000006</c:v>
                </c:pt>
                <c:pt idx="1">
                  <c:v>36.970200000000006</c:v>
                </c:pt>
                <c:pt idx="2">
                  <c:v>76.069000000000017</c:v>
                </c:pt>
                <c:pt idx="3">
                  <c:v>112.70040000000002</c:v>
                </c:pt>
                <c:pt idx="4">
                  <c:v>152.55840000000001</c:v>
                </c:pt>
                <c:pt idx="5">
                  <c:v>191.4674</c:v>
                </c:pt>
                <c:pt idx="6">
                  <c:v>229.6172</c:v>
                </c:pt>
              </c:numCache>
            </c:numRef>
          </c:xVal>
          <c:yVal>
            <c:numRef>
              <c:f>Sheet3!$Q$8:$Q$14</c:f>
              <c:numCache>
                <c:formatCode>General</c:formatCode>
                <c:ptCount val="7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92F-45A1-B98E-8517C3767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95712"/>
        <c:axId val="1980896128"/>
      </c:scatterChart>
      <c:valAx>
        <c:axId val="198089571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i="1"/>
                  <a:t>B</a:t>
                </a:r>
                <a:r>
                  <a:rPr lang="en-GB" sz="1600" i="1" baseline="0"/>
                  <a:t> / mT</a:t>
                </a:r>
              </a:p>
            </c:rich>
          </c:tx>
          <c:layout>
            <c:manualLayout>
              <c:xMode val="edge"/>
              <c:yMode val="edge"/>
              <c:x val="0.77323334562343049"/>
              <c:y val="0.76086623577219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96128"/>
        <c:crosses val="autoZero"/>
        <c:crossBetween val="midCat"/>
      </c:valAx>
      <c:valAx>
        <c:axId val="1980896128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en-US" sz="1600">
                    <a:latin typeface="Calibri" panose="020F0502020204030204" pitchFamily="34" charset="0"/>
                    <a:cs typeface="Calibri" panose="020F0502020204030204" pitchFamily="34" charset="0"/>
                  </a:rPr>
                  <a:t> / °</a:t>
                </a:r>
                <a:r>
                  <a:rPr lang="en-US" sz="16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</a:t>
                </a:r>
                <a:endParaRPr lang="en-GB" sz="1600"/>
              </a:p>
            </c:rich>
          </c:tx>
          <c:layout>
            <c:manualLayout>
              <c:xMode val="edge"/>
              <c:yMode val="edge"/>
              <c:x val="8.1857697626881123E-2"/>
              <c:y val="5.95234324489997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95712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268773237575394E-2"/>
          <c:y val="2.251277630201886E-2"/>
          <c:w val="0.91581873368161948"/>
          <c:h val="0.90885860843288613"/>
        </c:manualLayout>
      </c:layout>
      <c:scatterChart>
        <c:scatterStyle val="lineMarker"/>
        <c:varyColors val="0"/>
        <c:ser>
          <c:idx val="0"/>
          <c:order val="0"/>
          <c:tx>
            <c:v>White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Sheet3!$S$18:$S$24</c:f>
                <c:numCache>
                  <c:formatCode>General</c:formatCode>
                  <c:ptCount val="7"/>
                  <c:pt idx="0">
                    <c:v>0.85920000000000052</c:v>
                  </c:pt>
                  <c:pt idx="1">
                    <c:v>1.9979999999999905</c:v>
                  </c:pt>
                  <c:pt idx="2">
                    <c:v>1.0489999999999924</c:v>
                  </c:pt>
                  <c:pt idx="3">
                    <c:v>1.9979999999999905</c:v>
                  </c:pt>
                  <c:pt idx="4">
                    <c:v>0.38470000000000937</c:v>
                  </c:pt>
                  <c:pt idx="5">
                    <c:v>0.76430000000001996</c:v>
                  </c:pt>
                  <c:pt idx="6">
                    <c:v>9.9999999999994316E-2</c:v>
                  </c:pt>
                </c:numCache>
              </c:numRef>
            </c:plus>
            <c:minus>
              <c:numRef>
                <c:f>Sheet3!$U$18:$U$24</c:f>
                <c:numCache>
                  <c:formatCode>General</c:formatCode>
                  <c:ptCount val="7"/>
                  <c:pt idx="0">
                    <c:v>1.7184000000000013</c:v>
                  </c:pt>
                  <c:pt idx="1">
                    <c:v>3.9959999999999951</c:v>
                  </c:pt>
                  <c:pt idx="2">
                    <c:v>2.0979999999999848</c:v>
                  </c:pt>
                  <c:pt idx="3">
                    <c:v>3.9959999999999809</c:v>
                  </c:pt>
                  <c:pt idx="4">
                    <c:v>0.76940000000001874</c:v>
                  </c:pt>
                  <c:pt idx="5">
                    <c:v>1.5286000000000115</c:v>
                  </c:pt>
                  <c:pt idx="6">
                    <c:v>0.19999999999998863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0.5</c:v>
                </c:pt>
              </c:numLit>
            </c:plus>
            <c:minus>
              <c:numLit>
                <c:formatCode>General</c:formatCode>
                <c:ptCount val="1"/>
                <c:pt idx="0">
                  <c:v>0.5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Sheet3!$P$18:$P$24</c:f>
              <c:numCache>
                <c:formatCode>General</c:formatCode>
                <c:ptCount val="7"/>
                <c:pt idx="0">
                  <c:v>-1.5592000000000006</c:v>
                </c:pt>
                <c:pt idx="1">
                  <c:v>38.488600000000012</c:v>
                </c:pt>
                <c:pt idx="2">
                  <c:v>66.199400000000011</c:v>
                </c:pt>
                <c:pt idx="3">
                  <c:v>113.2698</c:v>
                </c:pt>
                <c:pt idx="4">
                  <c:v>164.51580000000001</c:v>
                </c:pt>
                <c:pt idx="5">
                  <c:v>190.51839999999999</c:v>
                </c:pt>
                <c:pt idx="6">
                  <c:v>202.09620000000001</c:v>
                </c:pt>
              </c:numCache>
            </c:numRef>
          </c:xVal>
          <c:yVal>
            <c:numRef>
              <c:f>Sheet3!$Q$18:$Q$24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3.5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4C-45C0-A72E-76AF3265C07D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Sheet3!$P$18:$P$24</c:f>
              <c:numCache>
                <c:formatCode>General</c:formatCode>
                <c:ptCount val="7"/>
                <c:pt idx="0">
                  <c:v>-1.5592000000000006</c:v>
                </c:pt>
                <c:pt idx="1">
                  <c:v>38.488600000000012</c:v>
                </c:pt>
                <c:pt idx="2">
                  <c:v>66.199400000000011</c:v>
                </c:pt>
                <c:pt idx="3">
                  <c:v>113.2698</c:v>
                </c:pt>
                <c:pt idx="4">
                  <c:v>164.51580000000001</c:v>
                </c:pt>
                <c:pt idx="5">
                  <c:v>190.51839999999999</c:v>
                </c:pt>
                <c:pt idx="6">
                  <c:v>202.09620000000001</c:v>
                </c:pt>
              </c:numCache>
            </c:numRef>
          </c:xVal>
          <c:yVal>
            <c:numRef>
              <c:f>Sheet3!$Y$18:$Y$24</c:f>
              <c:numCache>
                <c:formatCode>General</c:formatCode>
                <c:ptCount val="7"/>
                <c:pt idx="0">
                  <c:v>-0.46598184855481051</c:v>
                </c:pt>
                <c:pt idx="1">
                  <c:v>0.97685820631849907</c:v>
                </c:pt>
                <c:pt idx="2">
                  <c:v>1.9752214670365236</c:v>
                </c:pt>
                <c:pt idx="3">
                  <c:v>3.6710713893520714</c:v>
                </c:pt>
                <c:pt idx="4">
                  <c:v>5.5173596112278691</c:v>
                </c:pt>
                <c:pt idx="5">
                  <c:v>6.4541799312166992</c:v>
                </c:pt>
                <c:pt idx="6">
                  <c:v>6.8713043072701216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4C-45C0-A72E-76AF3265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95712"/>
        <c:axId val="1980896128"/>
      </c:scatterChart>
      <c:valAx>
        <c:axId val="198089571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i="1"/>
                  <a:t>B</a:t>
                </a:r>
                <a:r>
                  <a:rPr lang="en-GB" sz="1600" i="1" baseline="0"/>
                  <a:t> / mT</a:t>
                </a:r>
              </a:p>
            </c:rich>
          </c:tx>
          <c:layout>
            <c:manualLayout>
              <c:xMode val="edge"/>
              <c:yMode val="edge"/>
              <c:x val="0.80679127259240235"/>
              <c:y val="0.83999857958888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96128"/>
        <c:crosses val="autoZero"/>
        <c:crossBetween val="midCat"/>
      </c:valAx>
      <c:valAx>
        <c:axId val="1980896128"/>
        <c:scaling>
          <c:orientation val="minMax"/>
          <c:max val="8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en-US" sz="1600">
                    <a:latin typeface="Calibri" panose="020F0502020204030204" pitchFamily="34" charset="0"/>
                    <a:cs typeface="Calibri" panose="020F0502020204030204" pitchFamily="34" charset="0"/>
                  </a:rPr>
                  <a:t> / °</a:t>
                </a:r>
                <a:r>
                  <a:rPr lang="en-US" sz="16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</a:t>
                </a:r>
                <a:endParaRPr lang="en-GB" sz="1600"/>
              </a:p>
            </c:rich>
          </c:tx>
          <c:layout>
            <c:manualLayout>
              <c:xMode val="edge"/>
              <c:yMode val="edge"/>
              <c:x val="6.1074540500654251E-2"/>
              <c:y val="5.3120662937429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95712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91573795432176E-2"/>
          <c:y val="2.1096861374975198E-2"/>
          <c:w val="0.92501059474673974"/>
          <c:h val="0.92428327228031804"/>
        </c:manualLayout>
      </c:layout>
      <c:scatterChart>
        <c:scatterStyle val="lineMarker"/>
        <c:varyColors val="0"/>
        <c:ser>
          <c:idx val="0"/>
          <c:order val="0"/>
          <c:tx>
            <c:v>Blue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Sheet3!$S$28:$S$33</c:f>
                <c:numCache>
                  <c:formatCode>General</c:formatCode>
                  <c:ptCount val="6"/>
                  <c:pt idx="0">
                    <c:v>0.85920000000000052</c:v>
                  </c:pt>
                  <c:pt idx="1">
                    <c:v>0.95410000000000394</c:v>
                  </c:pt>
                  <c:pt idx="2">
                    <c:v>1.5234999999999843</c:v>
                  </c:pt>
                  <c:pt idx="3">
                    <c:v>0.57450000000000045</c:v>
                  </c:pt>
                  <c:pt idx="4">
                    <c:v>9.9999999999994316E-2</c:v>
                  </c:pt>
                  <c:pt idx="5">
                    <c:v>2.092899999999986</c:v>
                  </c:pt>
                </c:numCache>
              </c:numRef>
            </c:plus>
            <c:minus>
              <c:numRef>
                <c:f>Sheet3!$U$28:$U$33</c:f>
                <c:numCache>
                  <c:formatCode>General</c:formatCode>
                  <c:ptCount val="6"/>
                  <c:pt idx="0">
                    <c:v>1.7184000000000013</c:v>
                  </c:pt>
                  <c:pt idx="1">
                    <c:v>1.9082000000000008</c:v>
                  </c:pt>
                  <c:pt idx="2">
                    <c:v>3.0469999999999828</c:v>
                  </c:pt>
                  <c:pt idx="3">
                    <c:v>1.1489999999999725</c:v>
                  </c:pt>
                  <c:pt idx="4">
                    <c:v>0.19999999999998863</c:v>
                  </c:pt>
                  <c:pt idx="5">
                    <c:v>4.1858000000000004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0.5</c:v>
                </c:pt>
              </c:numLit>
            </c:plus>
            <c:minus>
              <c:numLit>
                <c:formatCode>General</c:formatCode>
                <c:ptCount val="1"/>
                <c:pt idx="0">
                  <c:v>0.5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Sheet3!$R$28:$R$33</c:f>
              <c:numCache>
                <c:formatCode>General</c:formatCode>
                <c:ptCount val="6"/>
                <c:pt idx="0">
                  <c:v>-0.70000000000000007</c:v>
                </c:pt>
                <c:pt idx="1">
                  <c:v>36.975300000000004</c:v>
                </c:pt>
                <c:pt idx="2">
                  <c:v>88.221299999999985</c:v>
                </c:pt>
                <c:pt idx="3">
                  <c:v>134.15289999999999</c:v>
                </c:pt>
                <c:pt idx="4">
                  <c:v>165.56479999999999</c:v>
                </c:pt>
                <c:pt idx="5">
                  <c:v>204.56870000000001</c:v>
                </c:pt>
              </c:numCache>
            </c:numRef>
          </c:xVal>
          <c:yVal>
            <c:numRef>
              <c:f>Sheet3!$P$28:$P$33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3.5</c:v>
                </c:pt>
                <c:pt idx="3">
                  <c:v>4</c:v>
                </c:pt>
                <c:pt idx="4">
                  <c:v>6.5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21-4425-B01F-EC38D2324DA9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Sheet3!$Q$28:$Q$33</c:f>
              <c:numCache>
                <c:formatCode>General</c:formatCode>
                <c:ptCount val="6"/>
                <c:pt idx="0">
                  <c:v>-1.5592000000000006</c:v>
                </c:pt>
                <c:pt idx="1">
                  <c:v>36.0212</c:v>
                </c:pt>
                <c:pt idx="2">
                  <c:v>86.697800000000001</c:v>
                </c:pt>
                <c:pt idx="3">
                  <c:v>133.57839999999999</c:v>
                </c:pt>
                <c:pt idx="4">
                  <c:v>165.4648</c:v>
                </c:pt>
                <c:pt idx="5">
                  <c:v>202.47580000000002</c:v>
                </c:pt>
              </c:numCache>
            </c:numRef>
          </c:xVal>
          <c:yVal>
            <c:numRef>
              <c:f>Sheet3!$Y$28:$Y$33</c:f>
              <c:numCache>
                <c:formatCode>General</c:formatCode>
                <c:ptCount val="6"/>
                <c:pt idx="0">
                  <c:v>-0.29032071738239074</c:v>
                </c:pt>
                <c:pt idx="1">
                  <c:v>1.1771939026176093</c:v>
                </c:pt>
                <c:pt idx="2">
                  <c:v>3.1561151326176091</c:v>
                </c:pt>
                <c:pt idx="3">
                  <c:v>4.9868025626176093</c:v>
                </c:pt>
                <c:pt idx="4">
                  <c:v>6.2319664826176098</c:v>
                </c:pt>
                <c:pt idx="5">
                  <c:v>7.6772460326176102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21-4425-B01F-EC38D232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456960"/>
        <c:axId val="743456544"/>
      </c:scatterChart>
      <c:valAx>
        <c:axId val="74345696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/ mT</a:t>
                </a:r>
              </a:p>
            </c:rich>
          </c:tx>
          <c:layout>
            <c:manualLayout>
              <c:xMode val="edge"/>
              <c:yMode val="edge"/>
              <c:x val="0.83922235657831135"/>
              <c:y val="0.80196607775069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56544"/>
        <c:crosses val="autoZero"/>
        <c:crossBetween val="midCat"/>
      </c:valAx>
      <c:valAx>
        <c:axId val="743456544"/>
        <c:scaling>
          <c:orientation val="minMax"/>
          <c:max val="8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θ / °</a:t>
                </a:r>
              </a:p>
            </c:rich>
          </c:tx>
          <c:layout>
            <c:manualLayout>
              <c:xMode val="edge"/>
              <c:yMode val="edge"/>
              <c:x val="6.6573888804701567E-2"/>
              <c:y val="5.2813272575351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56960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27851018700854E-2"/>
          <c:y val="6.4710974776820709E-2"/>
          <c:w val="0.9223113701549045"/>
          <c:h val="0.85991139420753171"/>
        </c:manualLayout>
      </c:layout>
      <c:scatterChart>
        <c:scatterStyle val="lineMarker"/>
        <c:varyColors val="0"/>
        <c:ser>
          <c:idx val="0"/>
          <c:order val="0"/>
          <c:tx>
            <c:v>Yellow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Sheet3!$S$38:$S$43</c:f>
                <c:numCache>
                  <c:formatCode>General</c:formatCode>
                  <c:ptCount val="6"/>
                  <c:pt idx="0">
                    <c:v>0.85920000000000052</c:v>
                  </c:pt>
                  <c:pt idx="1">
                    <c:v>1.5234999999999914</c:v>
                  </c:pt>
                  <c:pt idx="2">
                    <c:v>8.6410000000000053</c:v>
                  </c:pt>
                  <c:pt idx="3">
                    <c:v>1.1439000000000021</c:v>
                  </c:pt>
                  <c:pt idx="4">
                    <c:v>1.0490000000000066</c:v>
                  </c:pt>
                  <c:pt idx="5">
                    <c:v>1.1438999999999737</c:v>
                  </c:pt>
                </c:numCache>
              </c:numRef>
            </c:plus>
            <c:minus>
              <c:numRef>
                <c:f>Sheet3!$U$38:$U$43</c:f>
                <c:numCache>
                  <c:formatCode>General</c:formatCode>
                  <c:ptCount val="6"/>
                  <c:pt idx="0">
                    <c:v>1.7184000000000013</c:v>
                  </c:pt>
                  <c:pt idx="1">
                    <c:v>3.046999999999997</c:v>
                  </c:pt>
                  <c:pt idx="2">
                    <c:v>17.281999999999996</c:v>
                  </c:pt>
                  <c:pt idx="3">
                    <c:v>2.2877999999999759</c:v>
                  </c:pt>
                  <c:pt idx="4">
                    <c:v>2.0980000000000132</c:v>
                  </c:pt>
                  <c:pt idx="5">
                    <c:v>2.2877999999999759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0.5</c:v>
                </c:pt>
              </c:numLit>
            </c:plus>
            <c:minus>
              <c:numLit>
                <c:formatCode>General</c:formatCode>
                <c:ptCount val="1"/>
                <c:pt idx="0">
                  <c:v>0.5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Sheet3!$Q$38:$Q$43</c:f>
              <c:numCache>
                <c:formatCode>General</c:formatCode>
                <c:ptCount val="6"/>
                <c:pt idx="0">
                  <c:v>-1.5592000000000006</c:v>
                </c:pt>
                <c:pt idx="1">
                  <c:v>38.298800000000007</c:v>
                </c:pt>
                <c:pt idx="2">
                  <c:v>94.2898</c:v>
                </c:pt>
                <c:pt idx="3">
                  <c:v>130.92119999999997</c:v>
                </c:pt>
                <c:pt idx="4">
                  <c:v>161.47900000000001</c:v>
                </c:pt>
                <c:pt idx="5">
                  <c:v>186.91220000000001</c:v>
                </c:pt>
              </c:numCache>
            </c:numRef>
          </c:xVal>
          <c:yVal>
            <c:numRef>
              <c:f>Sheet3!$P$38:$P$43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75-427C-8420-8C5C05C0B639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Sheet3!$Q$38:$Q$43</c:f>
              <c:numCache>
                <c:formatCode>General</c:formatCode>
                <c:ptCount val="6"/>
                <c:pt idx="0">
                  <c:v>-1.5592000000000006</c:v>
                </c:pt>
                <c:pt idx="1">
                  <c:v>38.298800000000007</c:v>
                </c:pt>
                <c:pt idx="2">
                  <c:v>94.2898</c:v>
                </c:pt>
                <c:pt idx="3">
                  <c:v>130.92119999999997</c:v>
                </c:pt>
                <c:pt idx="4">
                  <c:v>161.47900000000001</c:v>
                </c:pt>
                <c:pt idx="5">
                  <c:v>186.91220000000001</c:v>
                </c:pt>
              </c:numCache>
            </c:numRef>
          </c:xVal>
          <c:yVal>
            <c:numRef>
              <c:f>Sheet3!$Y$37:$Y$43</c:f>
              <c:numCache>
                <c:formatCode>General</c:formatCode>
                <c:ptCount val="7"/>
                <c:pt idx="0">
                  <c:v>-0.66525266428571417</c:v>
                </c:pt>
                <c:pt idx="1">
                  <c:v>0.66002583571428619</c:v>
                </c:pt>
                <c:pt idx="2">
                  <c:v>2.5217265857142861</c:v>
                </c:pt>
                <c:pt idx="3">
                  <c:v>3.7397206357142849</c:v>
                </c:pt>
                <c:pt idx="4">
                  <c:v>4.7557674857142871</c:v>
                </c:pt>
                <c:pt idx="5">
                  <c:v>5.6014213857142865</c:v>
                </c:pt>
                <c:pt idx="6">
                  <c:v>-0.61340926428571418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75-427C-8420-8C5C05C0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5856"/>
        <c:axId val="74101280"/>
      </c:scatterChart>
      <c:valAx>
        <c:axId val="74105856"/>
        <c:scaling>
          <c:orientation val="minMax"/>
          <c:max val="2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i="1"/>
                  <a:t>B</a:t>
                </a:r>
                <a:r>
                  <a:rPr lang="en-GB" sz="1400" i="1" baseline="0"/>
                  <a:t> / mT</a:t>
                </a:r>
                <a:endParaRPr lang="en-GB" sz="1400" i="1"/>
              </a:p>
            </c:rich>
          </c:tx>
          <c:layout>
            <c:manualLayout>
              <c:xMode val="edge"/>
              <c:yMode val="edge"/>
              <c:x val="0.80503717378764006"/>
              <c:y val="0.7235406921933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1280"/>
        <c:crosses val="autoZero"/>
        <c:crossBetween val="midCat"/>
      </c:valAx>
      <c:valAx>
        <c:axId val="74101280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en-GB" sz="1400">
                    <a:latin typeface="Calibri" panose="020F0502020204030204" pitchFamily="34" charset="0"/>
                    <a:cs typeface="Calibri" panose="020F0502020204030204" pitchFamily="34" charset="0"/>
                  </a:rPr>
                  <a:t> / °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6.3623596145349529E-2"/>
              <c:y val="0.11001701774616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5856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74015748031493E-2"/>
          <c:y val="7.0215137042295941E-2"/>
          <c:w val="0.87165740732790065"/>
          <c:h val="0.79895400370035718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Sheet1!$P$38:$P$41</c:f>
                <c:numCache>
                  <c:formatCode>General</c:formatCode>
                  <c:ptCount val="4"/>
                  <c:pt idx="0">
                    <c:v>0.53</c:v>
                  </c:pt>
                  <c:pt idx="1">
                    <c:v>0.56999999999999995</c:v>
                  </c:pt>
                  <c:pt idx="2">
                    <c:v>0.73</c:v>
                  </c:pt>
                  <c:pt idx="3">
                    <c:v>0.53</c:v>
                  </c:pt>
                </c:numCache>
              </c:numRef>
            </c:plus>
            <c:minus>
              <c:numRef>
                <c:f>Sheet1!$P$38:$P$41</c:f>
                <c:numCache>
                  <c:formatCode>General</c:formatCode>
                  <c:ptCount val="4"/>
                  <c:pt idx="0">
                    <c:v>0.53</c:v>
                  </c:pt>
                  <c:pt idx="1">
                    <c:v>0.56999999999999995</c:v>
                  </c:pt>
                  <c:pt idx="2">
                    <c:v>0.73</c:v>
                  </c:pt>
                  <c:pt idx="3">
                    <c:v>0.53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Sheet1!$K$3:$K$6</c:f>
              <c:numCache>
                <c:formatCode>General</c:formatCode>
                <c:ptCount val="4"/>
                <c:pt idx="0">
                  <c:v>570</c:v>
                </c:pt>
                <c:pt idx="1">
                  <c:v>450</c:v>
                </c:pt>
                <c:pt idx="2">
                  <c:v>440</c:v>
                </c:pt>
                <c:pt idx="3">
                  <c:v>515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1.1100000000000001</c:v>
                </c:pt>
                <c:pt idx="1">
                  <c:v>1.8</c:v>
                </c:pt>
                <c:pt idx="2">
                  <c:v>1.84</c:v>
                </c:pt>
                <c:pt idx="3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C7-4EDF-9E32-5B0B3CECB0A2}"/>
            </c:ext>
          </c:extLst>
        </c:ser>
        <c:ser>
          <c:idx val="1"/>
          <c:order val="1"/>
          <c:tx>
            <c:v>Experimental fit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Sheet1!$W$3:$W$23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Sheet1!$AA$3:$AA$23</c:f>
              <c:numCache>
                <c:formatCode>General</c:formatCode>
                <c:ptCount val="21"/>
                <c:pt idx="0">
                  <c:v>2.2501528062210094</c:v>
                </c:pt>
                <c:pt idx="1">
                  <c:v>2.1417278345946547</c:v>
                </c:pt>
                <c:pt idx="2">
                  <c:v>2.0409549262775593</c:v>
                </c:pt>
                <c:pt idx="3">
                  <c:v>1.9471306057077418</c:v>
                </c:pt>
                <c:pt idx="4">
                  <c:v>1.8596304183644705</c:v>
                </c:pt>
                <c:pt idx="5">
                  <c:v>1.7778985135573406</c:v>
                </c:pt>
                <c:pt idx="6">
                  <c:v>1.7014387948741088</c:v>
                </c:pt>
                <c:pt idx="7">
                  <c:v>1.6298073743565482</c:v>
                </c:pt>
                <c:pt idx="8">
                  <c:v>1.5626061154312563</c:v>
                </c:pt>
                <c:pt idx="9">
                  <c:v>1.499477088693717</c:v>
                </c:pt>
                <c:pt idx="10">
                  <c:v>1.4400977959814458</c:v>
                </c:pt>
                <c:pt idx="11">
                  <c:v>1.3841770434269958</c:v>
                </c:pt>
                <c:pt idx="12">
                  <c:v>1.3314513646278163</c:v>
                </c:pt>
                <c:pt idx="13">
                  <c:v>1.2816819116958404</c:v>
                </c:pt>
                <c:pt idx="14">
                  <c:v>1.2346517455259312</c:v>
                </c:pt>
                <c:pt idx="15">
                  <c:v>1.1901634677532613</c:v>
                </c:pt>
                <c:pt idx="16">
                  <c:v>1.1480371460311272</c:v>
                </c:pt>
                <c:pt idx="17">
                  <c:v>1.1081084918293671</c:v>
                </c:pt>
                <c:pt idx="18">
                  <c:v>1.0702272562287796</c:v>
                </c:pt>
                <c:pt idx="19">
                  <c:v>1.034255814407818</c:v>
                </c:pt>
                <c:pt idx="20">
                  <c:v>1.0000679138760042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C7-4EDF-9E32-5B0B3CECB0A2}"/>
            </c:ext>
          </c:extLst>
        </c:ser>
        <c:ser>
          <c:idx val="2"/>
          <c:order val="2"/>
          <c:tx>
            <c:v>Kim et. 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  <a:lumOff val="40000"/>
                    <a:alpha val="31000"/>
                  </a:schemeClr>
                </a:solidFill>
                <a:prstDash val="solid"/>
              </a:ln>
              <a:effectLst/>
            </c:spPr>
            <c:trendlineType val="power"/>
            <c:backward val="100"/>
            <c:dispRSqr val="0"/>
            <c:dispEq val="0"/>
          </c:trendline>
          <c:xVal>
            <c:numRef>
              <c:f>Sheet1!$B$12:$B$18</c:f>
              <c:numCache>
                <c:formatCode>General</c:formatCode>
                <c:ptCount val="7"/>
                <c:pt idx="0">
                  <c:v>454.5</c:v>
                </c:pt>
                <c:pt idx="1">
                  <c:v>465.8</c:v>
                </c:pt>
                <c:pt idx="2">
                  <c:v>476.5</c:v>
                </c:pt>
                <c:pt idx="3">
                  <c:v>488</c:v>
                </c:pt>
                <c:pt idx="4">
                  <c:v>501.7</c:v>
                </c:pt>
                <c:pt idx="5">
                  <c:v>514.5</c:v>
                </c:pt>
                <c:pt idx="6">
                  <c:v>632.79999999999995</c:v>
                </c:pt>
              </c:numCache>
            </c:numRef>
          </c:xVal>
          <c:yVal>
            <c:numRef>
              <c:f>Sheet1!$D$12:$D$18</c:f>
              <c:numCache>
                <c:formatCode>General</c:formatCode>
                <c:ptCount val="7"/>
                <c:pt idx="0">
                  <c:v>1.1802360000000001</c:v>
                </c:pt>
                <c:pt idx="1">
                  <c:v>1.135227</c:v>
                </c:pt>
                <c:pt idx="2">
                  <c:v>1.0468759999999999</c:v>
                </c:pt>
                <c:pt idx="3">
                  <c:v>0.96185900000000002</c:v>
                </c:pt>
                <c:pt idx="4">
                  <c:v>0.93518699999999999</c:v>
                </c:pt>
                <c:pt idx="5">
                  <c:v>0.89017800000000002</c:v>
                </c:pt>
                <c:pt idx="6">
                  <c:v>0.57178099999999998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F-464A-A667-8CFD7D6B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75552"/>
        <c:axId val="744975968"/>
      </c:scatterChart>
      <c:valAx>
        <c:axId val="744975552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λ</a:t>
                </a:r>
                <a:r>
                  <a:rPr lang="en-GB" sz="1400"/>
                  <a:t> /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75968"/>
        <c:crosses val="autoZero"/>
        <c:crossBetween val="midCat"/>
      </c:valAx>
      <c:valAx>
        <c:axId val="744975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V / (° / (mT) m) )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920500901242766E-2"/>
              <c:y val="0.47133815240308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75552"/>
        <c:crosses val="autoZero"/>
        <c:crossBetween val="midCat"/>
      </c:valAx>
      <c:spPr>
        <a:noFill/>
        <a:ln w="25400">
          <a:solidFill>
            <a:sysClr val="windowText" lastClr="000000"/>
          </a:solidFill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0519560375877288"/>
          <c:y val="0.20470686485044984"/>
          <c:w val="0.20557414277002281"/>
          <c:h val="0.1767690803355462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57433358575785"/>
          <c:y val="7.7579529532492655E-2"/>
          <c:w val="0.87338903226866993"/>
          <c:h val="0.789799242327718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Sheet1!$I$3:$I$6</c:f>
                <c:numCache>
                  <c:formatCode>General</c:formatCode>
                  <c:ptCount val="4"/>
                  <c:pt idx="0">
                    <c:v>8.1125544812368278E-2</c:v>
                  </c:pt>
                  <c:pt idx="1">
                    <c:v>0.11122563511022443</c:v>
                  </c:pt>
                  <c:pt idx="2">
                    <c:v>0.10880285984879923</c:v>
                  </c:pt>
                  <c:pt idx="3">
                    <c:v>0.19105523676270908</c:v>
                  </c:pt>
                </c:numCache>
              </c:numRef>
            </c:plus>
            <c:minus>
              <c:numRef>
                <c:f>Sheet1!$I$3:$I$6</c:f>
                <c:numCache>
                  <c:formatCode>General</c:formatCode>
                  <c:ptCount val="4"/>
                  <c:pt idx="0">
                    <c:v>8.1125544812368278E-2</c:v>
                  </c:pt>
                  <c:pt idx="1">
                    <c:v>0.11122563511022443</c:v>
                  </c:pt>
                  <c:pt idx="2">
                    <c:v>0.10880285984879923</c:v>
                  </c:pt>
                  <c:pt idx="3">
                    <c:v>0.19105523676270908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Sheet1!$L$3:$L$6</c:f>
              <c:numCache>
                <c:formatCode>General</c:formatCode>
                <c:ptCount val="4"/>
                <c:pt idx="0">
                  <c:v>6.3456363608285962</c:v>
                </c:pt>
                <c:pt idx="1">
                  <c:v>6.1092475827643655</c:v>
                </c:pt>
                <c:pt idx="2">
                  <c:v>6.0867747269123065</c:v>
                </c:pt>
                <c:pt idx="3">
                  <c:v>6.2441669006637364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0.10436001532424286</c:v>
                </c:pt>
                <c:pt idx="1">
                  <c:v>0.58778666490211906</c:v>
                </c:pt>
                <c:pt idx="2">
                  <c:v>0.60976557162089429</c:v>
                </c:pt>
                <c:pt idx="3">
                  <c:v>0.38526240079064489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D-4799-94F0-B3826FD46D1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Sheet1!$L$3:$L$6</c:f>
              <c:numCache>
                <c:formatCode>General</c:formatCode>
                <c:ptCount val="4"/>
                <c:pt idx="0">
                  <c:v>6.3456363608285962</c:v>
                </c:pt>
                <c:pt idx="1">
                  <c:v>6.1092475827643655</c:v>
                </c:pt>
                <c:pt idx="2">
                  <c:v>6.0867747269123065</c:v>
                </c:pt>
                <c:pt idx="3">
                  <c:v>6.2441669006637364</c:v>
                </c:pt>
              </c:numCache>
            </c:numRef>
          </c:xVal>
          <c:yVal>
            <c:numRef>
              <c:f>Sheet1!$Q$3:$Q$6</c:f>
              <c:numCache>
                <c:formatCode>General</c:formatCode>
                <c:ptCount val="4"/>
                <c:pt idx="0">
                  <c:v>0.12134914247581108</c:v>
                </c:pt>
                <c:pt idx="1">
                  <c:v>0.52611057644660875</c:v>
                </c:pt>
                <c:pt idx="2">
                  <c:v>0.56459017532852762</c:v>
                </c:pt>
                <c:pt idx="3">
                  <c:v>0.29509226402708677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0D-4799-94F0-B3826FD46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3408"/>
        <c:axId val="71760912"/>
      </c:scatterChart>
      <c:valAx>
        <c:axId val="7176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ln(</a:t>
                </a:r>
                <a:r>
                  <a:rPr lang="el-GR" sz="1400"/>
                  <a:t>λ</a:t>
                </a:r>
                <a:r>
                  <a:rPr lang="en-US" sz="1400"/>
                  <a:t> / nm)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46779935475098577"/>
              <c:y val="0.93081955922865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0912"/>
        <c:crosses val="autoZero"/>
        <c:crossBetween val="midCat"/>
      </c:valAx>
      <c:valAx>
        <c:axId val="7176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ln(V</a:t>
                </a:r>
                <a:r>
                  <a:rPr lang="en-GB" sz="1400" baseline="0"/>
                  <a:t> / (</a:t>
                </a:r>
                <a:r>
                  <a:rPr lang="en-GB" sz="14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 / (mT) m) )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1.7962338041078201E-2"/>
              <c:y val="0.33563480621260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340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17283844210639"/>
                  <c:y val="0.23471370143149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Sheet2!$C$2:$C$11</c:f>
              <c:numCache>
                <c:formatCode>General</c:formatCode>
                <c:ptCount val="10"/>
                <c:pt idx="0">
                  <c:v>26</c:v>
                </c:pt>
                <c:pt idx="1">
                  <c:v>52</c:v>
                </c:pt>
                <c:pt idx="2">
                  <c:v>78</c:v>
                </c:pt>
                <c:pt idx="3">
                  <c:v>107</c:v>
                </c:pt>
                <c:pt idx="4">
                  <c:v>136</c:v>
                </c:pt>
                <c:pt idx="5">
                  <c:v>159</c:v>
                </c:pt>
                <c:pt idx="6">
                  <c:v>182</c:v>
                </c:pt>
                <c:pt idx="7">
                  <c:v>202</c:v>
                </c:pt>
                <c:pt idx="8">
                  <c:v>221</c:v>
                </c:pt>
                <c:pt idx="9">
                  <c:v>240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5E-4BAE-8E74-A590DCD7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455296"/>
        <c:axId val="743455712"/>
      </c:scatterChart>
      <c:valAx>
        <c:axId val="7434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55712"/>
        <c:crosses val="autoZero"/>
        <c:crossBetween val="midCat"/>
      </c:valAx>
      <c:valAx>
        <c:axId val="74345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5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784860</xdr:colOff>
      <xdr:row>9</xdr:row>
      <xdr:rowOff>129540</xdr:rowOff>
    </xdr:from>
    <xdr:to>
      <xdr:col>16</xdr:col>
      <xdr:colOff>175260</xdr:colOff>
      <xdr:row>37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167640</xdr:colOff>
      <xdr:row>2</xdr:row>
      <xdr:rowOff>30480</xdr:rowOff>
    </xdr:from>
    <xdr:to>
      <xdr:col>15</xdr:col>
      <xdr:colOff>45720</xdr:colOff>
      <xdr:row>10</xdr:row>
      <xdr:rowOff>106680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1E19604-F0DA-40AF-90D2-5AE8F4B8DCB4}"/>
            </a:ext>
          </a:extLst>
        </xdr:cNvPr>
        <xdr:cNvSpPr txBox="1"/>
      </xdr:nvSpPr>
      <xdr:spPr>
        <a:xfrm>
          <a:off x="12100560" y="396240"/>
          <a:ext cx="1097280" cy="153924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Zero graph - despite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were we moved hall probe (close to computers etc...) - same background. Earths B field (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 to 65 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μ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T).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Must be a systematic zer error. Lets correct for this.</a:t>
          </a:r>
          <a:endParaRPr lang="en-GB">
            <a:effectLst/>
          </a:endParaRPr>
        </a:p>
        <a:p>
          <a:endParaRPr lang="en-GB" sz="1100"/>
        </a:p>
        <a:p>
          <a:r>
            <a:rPr lang="en-GB" sz="1100" b="1"/>
            <a:t>2) </a:t>
          </a:r>
          <a:r>
            <a:rPr lang="en-GB" sz="1100"/>
            <a:t>Chi square to estimate functional dependence -</a:t>
          </a:r>
        </a:p>
        <a:p>
          <a:r>
            <a:rPr lang="en-GB" sz="1100"/>
            <a:t>B = 18.98I</a:t>
          </a:r>
          <a:r>
            <a:rPr lang="en-GB" sz="1100" baseline="0"/>
            <a:t> - 0.8 +- 0.1</a:t>
          </a:r>
        </a:p>
        <a:p>
          <a:endParaRPr lang="en-GB" sz="1100" baseline="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0</xdr:row>
      <xdr:rowOff>7620</xdr:rowOff>
    </xdr:from>
    <xdr:to>
      <xdr:col>6</xdr:col>
      <xdr:colOff>350520</xdr:colOff>
      <xdr:row>4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CF8D49-16B5-4144-A8DC-3438D3AC2C40}"/>
            </a:ext>
          </a:extLst>
        </xdr:cNvPr>
        <xdr:cNvSpPr txBox="1"/>
      </xdr:nvSpPr>
      <xdr:spPr>
        <a:xfrm>
          <a:off x="2407920" y="7620"/>
          <a:ext cx="185928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B = 18.98I</a:t>
          </a:r>
          <a:r>
            <a:rPr lang="en-GB" sz="1100" baseline="0"/>
            <a:t> -0.8 +- 0.1 mT</a:t>
          </a:r>
        </a:p>
        <a:p>
          <a:endParaRPr lang="en-GB" sz="1100" baseline="0"/>
        </a:p>
        <a:p>
          <a:r>
            <a:rPr lang="en-GB" sz="1100" baseline="0"/>
            <a:t>L = 2.0cm +- 0.1</a:t>
          </a:r>
        </a:p>
        <a:p>
          <a:endParaRPr lang="en-GB" sz="1100" baseline="0"/>
        </a:p>
        <a:p>
          <a:endParaRPr lang="en-GB" sz="1100" baseline="0"/>
        </a:p>
        <a:p>
          <a:endParaRPr lang="en-GB" sz="1100"/>
        </a:p>
      </xdr:txBody>
    </xdr:sp>
    <xdr:clientData/>
  </xdr:twoCellAnchor>
  <xdr:twoCellAnchor>
    <xdr:from>
      <xdr:col>6</xdr:col>
      <xdr:colOff>145772</xdr:colOff>
      <xdr:row>20</xdr:row>
      <xdr:rowOff>125895</xdr:rowOff>
    </xdr:from>
    <xdr:to>
      <xdr:col>11</xdr:col>
      <xdr:colOff>125894</xdr:colOff>
      <xdr:row>40</xdr:row>
      <xdr:rowOff>72887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0096DE-AE06-44A4-8537-3CD0658A6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271670</xdr:colOff>
      <xdr:row>22</xdr:row>
      <xdr:rowOff>39756</xdr:rowOff>
    </xdr:from>
    <xdr:to>
      <xdr:col>9</xdr:col>
      <xdr:colOff>907773</xdr:colOff>
      <xdr:row>41</xdr:row>
      <xdr:rowOff>46383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40428-BDDC-4ACB-A8DB-181CF9576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735497</xdr:colOff>
      <xdr:row>20</xdr:row>
      <xdr:rowOff>165653</xdr:rowOff>
    </xdr:from>
    <xdr:to>
      <xdr:col>14</xdr:col>
      <xdr:colOff>510209</xdr:colOff>
      <xdr:row>40</xdr:row>
      <xdr:rowOff>59635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70EDF0-3561-4BE1-A8FA-C7EF98EA1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536715</xdr:colOff>
      <xdr:row>37</xdr:row>
      <xdr:rowOff>6626</xdr:rowOff>
    </xdr:from>
    <xdr:to>
      <xdr:col>18</xdr:col>
      <xdr:colOff>53008</xdr:colOff>
      <xdr:row>47</xdr:row>
      <xdr:rowOff>139148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994EFD-BD43-4411-9951-57E525C2C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34</xdr:row>
      <xdr:rowOff>167640</xdr:rowOff>
    </xdr:from>
    <xdr:to>
      <xdr:col>12</xdr:col>
      <xdr:colOff>297180</xdr:colOff>
      <xdr:row>58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BFA27-8A4D-474B-A0D8-1DE525031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</xdr:colOff>
      <xdr:row>10</xdr:row>
      <xdr:rowOff>53340</xdr:rowOff>
    </xdr:from>
    <xdr:to>
      <xdr:col>16</xdr:col>
      <xdr:colOff>464820</xdr:colOff>
      <xdr:row>32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2CF0E-AF64-432E-9610-5EE86F08C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11</xdr:row>
      <xdr:rowOff>60960</xdr:rowOff>
    </xdr:from>
    <xdr:to>
      <xdr:col>19</xdr:col>
      <xdr:colOff>754380</xdr:colOff>
      <xdr:row>19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62A57CB-F16E-4C7B-A9C6-403DF06BBCBF}"/>
            </a:ext>
          </a:extLst>
        </xdr:cNvPr>
        <xdr:cNvSpPr txBox="1"/>
      </xdr:nvSpPr>
      <xdr:spPr>
        <a:xfrm>
          <a:off x="11643360" y="2072640"/>
          <a:ext cx="1226820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 = -1.71</a:t>
          </a:r>
        </a:p>
        <a:p>
          <a:endParaRPr lang="en-GB" sz="1100"/>
        </a:p>
        <a:p>
          <a:r>
            <a:rPr lang="en-GB" sz="1100"/>
            <a:t>chi^2 = 0.8655...</a:t>
          </a:r>
        </a:p>
        <a:p>
          <a:endParaRPr lang="en-GB" sz="1100"/>
        </a:p>
        <a:p>
          <a:r>
            <a:rPr lang="en-GB" sz="1100"/>
            <a:t>max = -3.5</a:t>
          </a:r>
        </a:p>
        <a:p>
          <a:r>
            <a:rPr lang="en-GB" sz="1100"/>
            <a:t>error = +- 1.79/2</a:t>
          </a:r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125730</xdr:colOff>
      <xdr:row>12</xdr:row>
      <xdr:rowOff>76200</xdr:rowOff>
    </xdr:from>
    <xdr:to>
      <xdr:col>9</xdr:col>
      <xdr:colOff>121920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3A19E-A1DF-41A3-BD2F-96AAFEE27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4"/>
  <sheetViews>
    <sheetView topLeftCell="F14" workbookViewId="0">
      <selection activeCell="R20" sqref="R20"/>
    </sheetView>
  </sheetViews>
  <sheetFormatPr defaultRowHeight="14.4" x14ac:dyDescent="0.3"/>
  <cols>
    <col min="4" max="4" width="20.109375" customWidth="1"/>
    <col min="5" max="5" width="16.88671875" customWidth="1"/>
    <col min="7" max="7" width="11.5546875" customWidth="1"/>
    <col min="8" max="8" width="12.88671875" customWidth="1"/>
    <col min="9" max="9" width="12.21875" customWidth="1"/>
    <col min="10" max="10" width="13.44140625" customWidth="1"/>
    <col min="11" max="11" width="10.88671875" customWidth="1"/>
    <col min="12" max="12" width="20" customWidth="1"/>
    <col min="13" max="13" width="20.44140625" customWidth="1"/>
  </cols>
  <sheetData>
    <row r="2" spans="2:13" x14ac:dyDescent="0.3">
      <c r="B2" s="1" t="s">
        <v>0</v>
      </c>
      <c r="C2" s="1" t="s">
        <v>1</v>
      </c>
      <c r="D2" s="1" t="s">
        <v>13</v>
      </c>
      <c r="E2" s="1" t="s">
        <v>15</v>
      </c>
      <c r="G2" s="1" t="s">
        <v>16</v>
      </c>
      <c r="H2">
        <v>18.989498116876184</v>
      </c>
      <c r="J2" s="1" t="s">
        <v>14</v>
      </c>
      <c r="K2" s="3" t="s">
        <v>18</v>
      </c>
      <c r="L2" s="1" t="s">
        <v>19</v>
      </c>
      <c r="M2" s="3" t="s">
        <v>20</v>
      </c>
    </row>
    <row r="3" spans="2:13" x14ac:dyDescent="0.3">
      <c r="B3">
        <v>-1.56</v>
      </c>
      <c r="C3">
        <v>-9</v>
      </c>
      <c r="D3">
        <f>B3+1.56</f>
        <v>0</v>
      </c>
      <c r="E3">
        <f t="shared" ref="E3:E17" si="0">C3+9</f>
        <v>0</v>
      </c>
      <c r="G3" s="1" t="s">
        <v>17</v>
      </c>
      <c r="H3">
        <v>-0.9</v>
      </c>
      <c r="J3">
        <f t="shared" ref="J3:J32" si="1">$H$2*D3+$H$3</f>
        <v>-0.9</v>
      </c>
      <c r="K3">
        <f t="shared" ref="K3:K32" si="2">E3-J3</f>
        <v>0.9</v>
      </c>
      <c r="L3">
        <f>K3^2</f>
        <v>0.81</v>
      </c>
      <c r="M3">
        <f>L3^2</f>
        <v>0.65610000000000013</v>
      </c>
    </row>
    <row r="4" spans="2:13" x14ac:dyDescent="0.3">
      <c r="B4">
        <v>-1.45</v>
      </c>
      <c r="C4">
        <v>-7</v>
      </c>
      <c r="D4">
        <f t="shared" ref="D4:D17" si="3">B4+1.56</f>
        <v>0.1100000000000001</v>
      </c>
      <c r="E4">
        <f t="shared" si="0"/>
        <v>2</v>
      </c>
      <c r="J4">
        <f t="shared" si="1"/>
        <v>1.1888447928563823</v>
      </c>
      <c r="K4">
        <f t="shared" si="2"/>
        <v>0.81115520714361766</v>
      </c>
      <c r="L4">
        <f t="shared" ref="L4:M32" si="4">K4^2</f>
        <v>0.65797277007620525</v>
      </c>
      <c r="M4">
        <f t="shared" si="4"/>
        <v>0.43292816616175483</v>
      </c>
    </row>
    <row r="5" spans="2:13" x14ac:dyDescent="0.3">
      <c r="B5">
        <v>-1.04</v>
      </c>
      <c r="C5">
        <v>1</v>
      </c>
      <c r="D5">
        <f t="shared" si="3"/>
        <v>0.52</v>
      </c>
      <c r="E5">
        <f t="shared" si="0"/>
        <v>10</v>
      </c>
      <c r="J5">
        <f t="shared" si="1"/>
        <v>8.9745390207756159</v>
      </c>
      <c r="K5">
        <f t="shared" si="2"/>
        <v>1.0254609792243841</v>
      </c>
      <c r="L5">
        <f t="shared" si="4"/>
        <v>1.0515702199118326</v>
      </c>
      <c r="M5">
        <f t="shared" si="4"/>
        <v>1.10579992740542</v>
      </c>
    </row>
    <row r="6" spans="2:13" x14ac:dyDescent="0.3">
      <c r="B6">
        <v>-0.35</v>
      </c>
      <c r="C6">
        <v>14</v>
      </c>
      <c r="D6">
        <f t="shared" si="3"/>
        <v>1.21</v>
      </c>
      <c r="E6">
        <f t="shared" si="0"/>
        <v>23</v>
      </c>
      <c r="J6">
        <f t="shared" si="1"/>
        <v>22.077292721420186</v>
      </c>
      <c r="K6">
        <f t="shared" si="2"/>
        <v>0.92270727857981427</v>
      </c>
      <c r="L6">
        <f t="shared" si="4"/>
        <v>0.85138872194416693</v>
      </c>
      <c r="M6">
        <f t="shared" si="4"/>
        <v>0.72486275585372195</v>
      </c>
    </row>
    <row r="7" spans="2:13" x14ac:dyDescent="0.3">
      <c r="B7">
        <v>0.51</v>
      </c>
      <c r="C7">
        <v>30</v>
      </c>
      <c r="D7">
        <f t="shared" si="3"/>
        <v>2.0700000000000003</v>
      </c>
      <c r="E7">
        <f t="shared" si="0"/>
        <v>39</v>
      </c>
      <c r="G7" t="s">
        <v>22</v>
      </c>
      <c r="H7">
        <f>54.6-L34</f>
        <v>-1.1469075855393456</v>
      </c>
      <c r="J7">
        <f t="shared" si="1"/>
        <v>38.408261101933711</v>
      </c>
      <c r="K7">
        <f t="shared" si="2"/>
        <v>0.59173889806628921</v>
      </c>
      <c r="L7">
        <f t="shared" si="4"/>
        <v>0.35015492348470623</v>
      </c>
      <c r="M7">
        <f t="shared" si="4"/>
        <v>0.12260847044058047</v>
      </c>
    </row>
    <row r="8" spans="2:13" x14ac:dyDescent="0.3">
      <c r="B8">
        <v>1.71</v>
      </c>
      <c r="C8">
        <v>53</v>
      </c>
      <c r="D8">
        <f t="shared" si="3"/>
        <v>3.27</v>
      </c>
      <c r="E8">
        <f t="shared" si="0"/>
        <v>62</v>
      </c>
      <c r="J8">
        <f t="shared" si="1"/>
        <v>61.195658842185125</v>
      </c>
      <c r="K8">
        <f t="shared" si="2"/>
        <v>0.80434115781487492</v>
      </c>
      <c r="L8">
        <f t="shared" si="4"/>
        <v>0.64696469815497348</v>
      </c>
      <c r="M8">
        <f t="shared" si="4"/>
        <v>0.41856332065875596</v>
      </c>
    </row>
    <row r="9" spans="2:13" x14ac:dyDescent="0.3">
      <c r="B9">
        <v>2.4900000000000002</v>
      </c>
      <c r="C9">
        <v>68</v>
      </c>
      <c r="D9">
        <f t="shared" si="3"/>
        <v>4.0500000000000007</v>
      </c>
      <c r="E9">
        <f t="shared" si="0"/>
        <v>77</v>
      </c>
      <c r="J9">
        <f t="shared" si="1"/>
        <v>76.007467373348561</v>
      </c>
      <c r="K9">
        <f t="shared" si="2"/>
        <v>0.99253262665143893</v>
      </c>
      <c r="L9">
        <f t="shared" si="4"/>
        <v>0.98512101496760462</v>
      </c>
      <c r="M9">
        <f t="shared" si="4"/>
        <v>0.9704634141308035</v>
      </c>
    </row>
    <row r="10" spans="2:13" x14ac:dyDescent="0.3">
      <c r="B10">
        <v>3.21</v>
      </c>
      <c r="C10">
        <v>82</v>
      </c>
      <c r="D10">
        <f t="shared" si="3"/>
        <v>4.7699999999999996</v>
      </c>
      <c r="E10">
        <f t="shared" si="0"/>
        <v>91</v>
      </c>
      <c r="J10">
        <f t="shared" si="1"/>
        <v>89.679906017499391</v>
      </c>
      <c r="K10">
        <f t="shared" si="2"/>
        <v>1.3200939825006088</v>
      </c>
      <c r="L10">
        <f t="shared" si="4"/>
        <v>1.7426481226343178</v>
      </c>
      <c r="M10">
        <f t="shared" si="4"/>
        <v>3.0368224793209122</v>
      </c>
    </row>
    <row r="11" spans="2:13" x14ac:dyDescent="0.3">
      <c r="B11">
        <v>3.93</v>
      </c>
      <c r="C11">
        <v>96</v>
      </c>
      <c r="D11">
        <f t="shared" si="3"/>
        <v>5.49</v>
      </c>
      <c r="E11">
        <f t="shared" si="0"/>
        <v>105</v>
      </c>
      <c r="J11">
        <f t="shared" si="1"/>
        <v>103.35234466165025</v>
      </c>
      <c r="K11">
        <f t="shared" si="2"/>
        <v>1.6476553383497503</v>
      </c>
      <c r="L11">
        <f t="shared" si="4"/>
        <v>2.71476811399243</v>
      </c>
      <c r="M11">
        <f t="shared" si="4"/>
        <v>7.3699659127500157</v>
      </c>
    </row>
    <row r="12" spans="2:13" x14ac:dyDescent="0.3">
      <c r="B12">
        <v>4.82</v>
      </c>
      <c r="C12">
        <v>112</v>
      </c>
      <c r="D12">
        <f t="shared" si="3"/>
        <v>6.3800000000000008</v>
      </c>
      <c r="E12">
        <f t="shared" si="0"/>
        <v>121</v>
      </c>
      <c r="J12">
        <f t="shared" si="1"/>
        <v>120.25299798567006</v>
      </c>
      <c r="K12">
        <f t="shared" si="2"/>
        <v>0.74700201432993651</v>
      </c>
      <c r="L12">
        <f t="shared" si="4"/>
        <v>0.55801200941298268</v>
      </c>
      <c r="M12">
        <f t="shared" si="4"/>
        <v>0.31137740264911468</v>
      </c>
    </row>
    <row r="13" spans="2:13" x14ac:dyDescent="0.3">
      <c r="B13">
        <v>5.37</v>
      </c>
      <c r="C13">
        <v>123</v>
      </c>
      <c r="D13">
        <f t="shared" si="3"/>
        <v>6.93</v>
      </c>
      <c r="E13">
        <f t="shared" si="0"/>
        <v>132</v>
      </c>
      <c r="J13">
        <f t="shared" si="1"/>
        <v>130.69722194995194</v>
      </c>
      <c r="K13">
        <f t="shared" si="2"/>
        <v>1.3027780500480617</v>
      </c>
      <c r="L13">
        <f t="shared" si="4"/>
        <v>1.69723064768703</v>
      </c>
      <c r="M13">
        <f t="shared" si="4"/>
        <v>2.8805918714481353</v>
      </c>
    </row>
    <row r="14" spans="2:13" x14ac:dyDescent="0.3">
      <c r="B14">
        <v>6.15</v>
      </c>
      <c r="C14">
        <v>138</v>
      </c>
      <c r="D14">
        <f t="shared" si="3"/>
        <v>7.7100000000000009</v>
      </c>
      <c r="E14">
        <f t="shared" si="0"/>
        <v>147</v>
      </c>
      <c r="J14">
        <f t="shared" si="1"/>
        <v>145.50903048111539</v>
      </c>
      <c r="K14">
        <f t="shared" si="2"/>
        <v>1.4909695188846115</v>
      </c>
      <c r="L14">
        <f t="shared" si="4"/>
        <v>2.2229901062430097</v>
      </c>
      <c r="M14">
        <f t="shared" si="4"/>
        <v>4.9416850124543075</v>
      </c>
    </row>
    <row r="15" spans="2:13" x14ac:dyDescent="0.3">
      <c r="B15">
        <v>6.73</v>
      </c>
      <c r="C15">
        <v>148</v>
      </c>
      <c r="D15">
        <f t="shared" si="3"/>
        <v>8.2900000000000009</v>
      </c>
      <c r="E15">
        <f t="shared" si="0"/>
        <v>157</v>
      </c>
      <c r="J15">
        <f t="shared" si="1"/>
        <v>156.52293938890358</v>
      </c>
      <c r="K15">
        <f t="shared" si="2"/>
        <v>0.47706061109641951</v>
      </c>
      <c r="L15">
        <f t="shared" si="4"/>
        <v>0.22758682665968921</v>
      </c>
      <c r="M15">
        <f t="shared" si="4"/>
        <v>5.1795763669027425E-2</v>
      </c>
    </row>
    <row r="16" spans="2:13" x14ac:dyDescent="0.3">
      <c r="B16">
        <v>7.59</v>
      </c>
      <c r="C16">
        <v>163</v>
      </c>
      <c r="D16">
        <f t="shared" si="3"/>
        <v>9.15</v>
      </c>
      <c r="E16">
        <f t="shared" si="0"/>
        <v>172</v>
      </c>
      <c r="J16">
        <f t="shared" si="1"/>
        <v>172.85390776941708</v>
      </c>
      <c r="K16">
        <f t="shared" si="2"/>
        <v>-0.85390776941707713</v>
      </c>
      <c r="L16">
        <f t="shared" si="4"/>
        <v>0.72915847867084815</v>
      </c>
      <c r="M16">
        <f t="shared" si="4"/>
        <v>0.53167208701758573</v>
      </c>
    </row>
    <row r="17" spans="2:13" x14ac:dyDescent="0.3">
      <c r="B17">
        <v>8.0299999999999994</v>
      </c>
      <c r="C17">
        <v>170</v>
      </c>
      <c r="D17">
        <f t="shared" si="3"/>
        <v>9.59</v>
      </c>
      <c r="E17">
        <f t="shared" si="0"/>
        <v>179</v>
      </c>
      <c r="J17">
        <f t="shared" si="1"/>
        <v>181.20928694084259</v>
      </c>
      <c r="K17">
        <f t="shared" si="2"/>
        <v>-2.2092869408425884</v>
      </c>
      <c r="L17">
        <f t="shared" si="4"/>
        <v>4.8809487869776023</v>
      </c>
      <c r="M17">
        <f t="shared" si="4"/>
        <v>23.823661061098125</v>
      </c>
    </row>
    <row r="18" spans="2:13" x14ac:dyDescent="0.3">
      <c r="B18">
        <v>-1.57</v>
      </c>
      <c r="C18">
        <v>-8</v>
      </c>
      <c r="D18">
        <f>B18+1.57</f>
        <v>0</v>
      </c>
      <c r="E18">
        <f t="shared" ref="E18:E32" si="5">C18+8</f>
        <v>0</v>
      </c>
      <c r="J18">
        <f t="shared" si="1"/>
        <v>-0.9</v>
      </c>
      <c r="K18">
        <f t="shared" si="2"/>
        <v>0.9</v>
      </c>
      <c r="L18">
        <f t="shared" si="4"/>
        <v>0.81</v>
      </c>
      <c r="M18">
        <f t="shared" si="4"/>
        <v>0.65610000000000013</v>
      </c>
    </row>
    <row r="19" spans="2:13" x14ac:dyDescent="0.3">
      <c r="B19">
        <v>-1.65</v>
      </c>
      <c r="C19">
        <v>-10</v>
      </c>
      <c r="D19">
        <f t="shared" ref="D19:D32" si="6">B19+1.57</f>
        <v>-7.9999999999999849E-2</v>
      </c>
      <c r="E19">
        <f t="shared" si="5"/>
        <v>-2</v>
      </c>
      <c r="J19">
        <f t="shared" si="1"/>
        <v>-2.4191598493500921</v>
      </c>
      <c r="K19">
        <f t="shared" si="2"/>
        <v>0.4191598493500921</v>
      </c>
      <c r="L19">
        <f t="shared" si="4"/>
        <v>0.17569497930719191</v>
      </c>
      <c r="M19">
        <f t="shared" si="4"/>
        <v>3.0868725753754593E-2</v>
      </c>
    </row>
    <row r="20" spans="2:13" x14ac:dyDescent="0.3">
      <c r="B20">
        <v>-2.12</v>
      </c>
      <c r="C20">
        <v>-18</v>
      </c>
      <c r="D20">
        <f t="shared" si="6"/>
        <v>-0.55000000000000004</v>
      </c>
      <c r="E20">
        <f t="shared" si="5"/>
        <v>-10</v>
      </c>
      <c r="J20">
        <f t="shared" si="1"/>
        <v>-11.344223964281902</v>
      </c>
      <c r="K20">
        <f t="shared" si="2"/>
        <v>1.3442239642819018</v>
      </c>
      <c r="L20">
        <f t="shared" si="4"/>
        <v>1.8069380661497516</v>
      </c>
      <c r="M20">
        <f t="shared" si="4"/>
        <v>3.265025174901004</v>
      </c>
    </row>
    <row r="21" spans="2:13" x14ac:dyDescent="0.3">
      <c r="B21">
        <v>-2.92</v>
      </c>
      <c r="C21">
        <v>-34</v>
      </c>
      <c r="D21">
        <f t="shared" si="6"/>
        <v>-1.3499999999999999</v>
      </c>
      <c r="E21">
        <f t="shared" si="5"/>
        <v>-26</v>
      </c>
      <c r="J21">
        <f t="shared" si="1"/>
        <v>-26.535822457782846</v>
      </c>
      <c r="K21">
        <f t="shared" si="2"/>
        <v>0.53582245778284587</v>
      </c>
      <c r="L21">
        <f t="shared" si="4"/>
        <v>0.28710570626444964</v>
      </c>
      <c r="M21">
        <f t="shared" si="4"/>
        <v>8.2429686569608446E-2</v>
      </c>
    </row>
    <row r="22" spans="2:13" x14ac:dyDescent="0.3">
      <c r="B22">
        <v>-3.54</v>
      </c>
      <c r="C22">
        <v>-46</v>
      </c>
      <c r="D22">
        <f t="shared" si="6"/>
        <v>-1.97</v>
      </c>
      <c r="E22">
        <f t="shared" si="5"/>
        <v>-38</v>
      </c>
      <c r="J22">
        <f t="shared" si="1"/>
        <v>-38.309311290246079</v>
      </c>
      <c r="K22">
        <f t="shared" si="2"/>
        <v>0.30931129024607884</v>
      </c>
      <c r="L22">
        <f t="shared" si="4"/>
        <v>9.5673474273694034E-2</v>
      </c>
      <c r="M22">
        <f t="shared" si="4"/>
        <v>9.1534136795991938E-3</v>
      </c>
    </row>
    <row r="23" spans="2:13" x14ac:dyDescent="0.3">
      <c r="B23">
        <v>-4.3499999999999996</v>
      </c>
      <c r="C23">
        <v>-62</v>
      </c>
      <c r="D23">
        <f t="shared" si="6"/>
        <v>-2.7799999999999994</v>
      </c>
      <c r="E23">
        <f t="shared" si="5"/>
        <v>-54</v>
      </c>
      <c r="J23">
        <f t="shared" si="1"/>
        <v>-53.690804764915782</v>
      </c>
      <c r="K23">
        <f t="shared" si="2"/>
        <v>-0.30919523508421776</v>
      </c>
      <c r="L23">
        <f t="shared" si="4"/>
        <v>9.5601693398784687E-2</v>
      </c>
      <c r="M23">
        <f t="shared" si="4"/>
        <v>9.1396837807152312E-3</v>
      </c>
    </row>
    <row r="24" spans="2:13" x14ac:dyDescent="0.3">
      <c r="B24">
        <v>-5.1100000000000003</v>
      </c>
      <c r="C24">
        <v>-77</v>
      </c>
      <c r="D24">
        <f t="shared" si="6"/>
        <v>-3.54</v>
      </c>
      <c r="E24">
        <f t="shared" si="5"/>
        <v>-69</v>
      </c>
      <c r="J24">
        <f t="shared" si="1"/>
        <v>-68.122823333741692</v>
      </c>
      <c r="K24">
        <f t="shared" si="2"/>
        <v>-0.87717666625830759</v>
      </c>
      <c r="L24">
        <f t="shared" si="4"/>
        <v>0.76943890382803837</v>
      </c>
      <c r="M24">
        <f t="shared" si="4"/>
        <v>0.59203622672409328</v>
      </c>
    </row>
    <row r="25" spans="2:13" x14ac:dyDescent="0.3">
      <c r="B25">
        <v>-5.72</v>
      </c>
      <c r="C25">
        <v>-88</v>
      </c>
      <c r="D25">
        <f t="shared" si="6"/>
        <v>-4.1499999999999995</v>
      </c>
      <c r="E25">
        <f t="shared" si="5"/>
        <v>-80</v>
      </c>
      <c r="J25">
        <f t="shared" si="1"/>
        <v>-79.706417185036159</v>
      </c>
      <c r="K25">
        <f t="shared" si="2"/>
        <v>-0.29358281496384109</v>
      </c>
      <c r="L25">
        <f t="shared" si="4"/>
        <v>8.619086924209296E-2</v>
      </c>
      <c r="M25">
        <f t="shared" si="4"/>
        <v>7.4288659407075663E-3</v>
      </c>
    </row>
    <row r="26" spans="2:13" x14ac:dyDescent="0.3">
      <c r="B26">
        <v>-6.32</v>
      </c>
      <c r="C26">
        <v>-100</v>
      </c>
      <c r="D26">
        <f t="shared" si="6"/>
        <v>-4.75</v>
      </c>
      <c r="E26">
        <f t="shared" si="5"/>
        <v>-92</v>
      </c>
      <c r="J26">
        <f t="shared" si="1"/>
        <v>-91.100116055161877</v>
      </c>
      <c r="K26">
        <f t="shared" si="2"/>
        <v>-0.89988394483812328</v>
      </c>
      <c r="L26">
        <f t="shared" si="4"/>
        <v>0.80979111417742256</v>
      </c>
      <c r="M26">
        <f t="shared" si="4"/>
        <v>0.6557616486007114</v>
      </c>
    </row>
    <row r="27" spans="2:13" x14ac:dyDescent="0.3">
      <c r="B27">
        <v>-6.99</v>
      </c>
      <c r="C27">
        <v>-112</v>
      </c>
      <c r="D27">
        <f t="shared" si="6"/>
        <v>-5.42</v>
      </c>
      <c r="E27">
        <f t="shared" si="5"/>
        <v>-104</v>
      </c>
      <c r="J27">
        <f t="shared" si="1"/>
        <v>-103.82307979346892</v>
      </c>
      <c r="K27">
        <f t="shared" si="2"/>
        <v>-0.17692020653107932</v>
      </c>
      <c r="L27">
        <f t="shared" si="4"/>
        <v>3.1300759478999761E-2</v>
      </c>
      <c r="M27">
        <f t="shared" si="4"/>
        <v>9.7973754396219349E-4</v>
      </c>
    </row>
    <row r="28" spans="2:13" x14ac:dyDescent="0.3">
      <c r="B28">
        <v>-7.71</v>
      </c>
      <c r="C28">
        <v>-126</v>
      </c>
      <c r="D28">
        <f t="shared" si="6"/>
        <v>-6.14</v>
      </c>
      <c r="E28">
        <f t="shared" si="5"/>
        <v>-118</v>
      </c>
      <c r="J28">
        <f t="shared" si="1"/>
        <v>-117.49551843761978</v>
      </c>
      <c r="K28">
        <f t="shared" si="2"/>
        <v>-0.50448156238022079</v>
      </c>
      <c r="L28">
        <f t="shared" si="4"/>
        <v>0.2545016467815886</v>
      </c>
      <c r="M28">
        <f t="shared" si="4"/>
        <v>6.4771088214540487E-2</v>
      </c>
    </row>
    <row r="29" spans="2:13" x14ac:dyDescent="0.3">
      <c r="B29">
        <v>-8.51</v>
      </c>
      <c r="C29">
        <v>-142</v>
      </c>
      <c r="D29">
        <f t="shared" si="6"/>
        <v>-6.9399999999999995</v>
      </c>
      <c r="E29">
        <f t="shared" si="5"/>
        <v>-134</v>
      </c>
      <c r="J29">
        <f t="shared" si="1"/>
        <v>-132.68711693112073</v>
      </c>
      <c r="K29">
        <f t="shared" si="2"/>
        <v>-1.3128830688792732</v>
      </c>
      <c r="L29">
        <f t="shared" si="4"/>
        <v>1.7236619525498584</v>
      </c>
      <c r="M29">
        <f t="shared" si="4"/>
        <v>2.9710105266679903</v>
      </c>
    </row>
    <row r="30" spans="2:13" x14ac:dyDescent="0.3">
      <c r="B30">
        <v>-9.15</v>
      </c>
      <c r="C30">
        <v>-153</v>
      </c>
      <c r="D30">
        <f t="shared" si="6"/>
        <v>-7.58</v>
      </c>
      <c r="E30">
        <f t="shared" si="5"/>
        <v>-145</v>
      </c>
      <c r="J30">
        <f t="shared" si="1"/>
        <v>-144.8403957259215</v>
      </c>
      <c r="K30">
        <f t="shared" si="2"/>
        <v>-0.15960427407850375</v>
      </c>
      <c r="L30">
        <f t="shared" si="4"/>
        <v>2.5473524304126145E-2</v>
      </c>
      <c r="M30">
        <f t="shared" si="4"/>
        <v>6.4890044047290543E-4</v>
      </c>
    </row>
    <row r="31" spans="2:13" x14ac:dyDescent="0.3">
      <c r="B31">
        <v>-9.77</v>
      </c>
      <c r="C31">
        <v>-165</v>
      </c>
      <c r="D31">
        <f t="shared" si="6"/>
        <v>-8.1999999999999993</v>
      </c>
      <c r="E31">
        <f t="shared" si="5"/>
        <v>-157</v>
      </c>
      <c r="J31">
        <f t="shared" si="1"/>
        <v>-156.61388455838471</v>
      </c>
      <c r="K31">
        <f t="shared" si="2"/>
        <v>-0.38611544161528855</v>
      </c>
      <c r="L31">
        <f t="shared" si="4"/>
        <v>0.14908513425376929</v>
      </c>
      <c r="M31">
        <f t="shared" si="4"/>
        <v>2.2226377255464412E-2</v>
      </c>
    </row>
    <row r="32" spans="2:13" x14ac:dyDescent="0.3">
      <c r="B32">
        <v>-10.52</v>
      </c>
      <c r="C32">
        <v>-179</v>
      </c>
      <c r="D32">
        <f t="shared" si="6"/>
        <v>-8.9499999999999993</v>
      </c>
      <c r="E32">
        <f t="shared" si="5"/>
        <v>-171</v>
      </c>
      <c r="J32">
        <f t="shared" si="1"/>
        <v>-170.85600814604183</v>
      </c>
      <c r="K32">
        <f t="shared" si="2"/>
        <v>-0.14399185395816971</v>
      </c>
      <c r="L32">
        <f t="shared" si="4"/>
        <v>2.0733654006310876E-2</v>
      </c>
      <c r="M32">
        <f t="shared" si="4"/>
        <v>4.2988440845341102E-4</v>
      </c>
    </row>
    <row r="34" spans="11:12" x14ac:dyDescent="0.3">
      <c r="K34" s="2" t="s">
        <v>21</v>
      </c>
      <c r="L34">
        <f>SUM(M3:M32)</f>
        <v>55.746907585539347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6:AE45"/>
  <sheetViews>
    <sheetView tabSelected="1" topLeftCell="T31" zoomScale="115" zoomScaleNormal="115" workbookViewId="0">
      <selection activeCell="V44" sqref="V44"/>
    </sheetView>
  </sheetViews>
  <sheetFormatPr defaultRowHeight="14.4" x14ac:dyDescent="0.3"/>
  <cols>
    <col min="6" max="6" width="12.6640625" customWidth="1"/>
    <col min="7" max="7" width="18.6640625" customWidth="1"/>
    <col min="8" max="8" width="15.109375" customWidth="1"/>
    <col min="9" max="9" width="13.44140625" customWidth="1"/>
    <col min="10" max="10" width="14.109375" customWidth="1"/>
    <col min="11" max="11" width="12.44140625" customWidth="1"/>
    <col min="12" max="12" width="17.44140625" customWidth="1"/>
    <col min="15" max="15" width="15.109375" customWidth="1"/>
    <col min="16" max="16" width="25.77734375" customWidth="1"/>
    <col min="17" max="17" width="13.109375" customWidth="1"/>
    <col min="18" max="18" width="12.88671875" customWidth="1"/>
    <col min="19" max="19" width="17.109375" customWidth="1"/>
    <col min="20" max="20" width="11.44140625" customWidth="1"/>
    <col min="21" max="21" width="16.6640625" customWidth="1"/>
    <col min="22" max="22" width="15" customWidth="1"/>
    <col min="23" max="23" width="13" customWidth="1"/>
    <col min="25" max="25" width="15.88671875" customWidth="1"/>
    <col min="26" max="26" width="12.33203125" customWidth="1"/>
    <col min="28" max="28" width="13" customWidth="1"/>
  </cols>
  <sheetData>
    <row r="6" spans="4:31" x14ac:dyDescent="0.3">
      <c r="E6" s="4" t="s">
        <v>8</v>
      </c>
    </row>
    <row r="7" spans="4:31" x14ac:dyDescent="0.3">
      <c r="E7" t="s">
        <v>3</v>
      </c>
      <c r="F7" t="s">
        <v>2</v>
      </c>
      <c r="G7" t="s">
        <v>13</v>
      </c>
      <c r="H7" t="s">
        <v>26</v>
      </c>
      <c r="I7" t="s">
        <v>28</v>
      </c>
      <c r="J7" t="s">
        <v>27</v>
      </c>
      <c r="K7" t="s">
        <v>6</v>
      </c>
      <c r="L7" t="s">
        <v>7</v>
      </c>
      <c r="M7" t="s">
        <v>5</v>
      </c>
      <c r="N7" t="s">
        <v>4</v>
      </c>
      <c r="O7" t="s">
        <v>12</v>
      </c>
      <c r="P7" t="s">
        <v>25</v>
      </c>
      <c r="Q7" t="s">
        <v>23</v>
      </c>
      <c r="R7" t="s">
        <v>30</v>
      </c>
      <c r="S7" t="s">
        <v>32</v>
      </c>
      <c r="T7" t="s">
        <v>31</v>
      </c>
      <c r="U7" t="s">
        <v>33</v>
      </c>
      <c r="W7" s="2" t="s">
        <v>16</v>
      </c>
      <c r="X7" s="2">
        <v>2.2236122946951615E-2</v>
      </c>
      <c r="Y7" t="s">
        <v>29</v>
      </c>
      <c r="Z7" s="5" t="s">
        <v>18</v>
      </c>
      <c r="AA7" t="s">
        <v>19</v>
      </c>
      <c r="AB7" t="s">
        <v>34</v>
      </c>
      <c r="AD7" t="s">
        <v>42</v>
      </c>
      <c r="AE7">
        <f>AB15-0.59</f>
        <v>2.9123853108825593E-3</v>
      </c>
    </row>
    <row r="8" spans="4:31" x14ac:dyDescent="0.3">
      <c r="D8">
        <v>1</v>
      </c>
      <c r="E8">
        <v>-1.6</v>
      </c>
      <c r="F8">
        <v>-1.6</v>
      </c>
      <c r="G8">
        <f>E8+1.56</f>
        <v>-4.0000000000000036E-2</v>
      </c>
      <c r="H8">
        <f>F8+1.56</f>
        <v>-4.0000000000000036E-2</v>
      </c>
      <c r="I8">
        <f>ABS(H8)</f>
        <v>4.0000000000000036E-2</v>
      </c>
      <c r="J8">
        <f t="shared" ref="J8:J43" si="0">_xlfn.STDEV.P(G8,I8)</f>
        <v>4.0000000000000036E-2</v>
      </c>
      <c r="K8">
        <f t="shared" ref="K8:L14" si="1">E8+1.6</f>
        <v>0</v>
      </c>
      <c r="L8">
        <f t="shared" si="1"/>
        <v>0</v>
      </c>
      <c r="M8">
        <v>1</v>
      </c>
      <c r="N8">
        <v>1</v>
      </c>
      <c r="O8">
        <v>0</v>
      </c>
      <c r="P8">
        <f>(18.98*G8-0.8)</f>
        <v>-1.5592000000000006</v>
      </c>
      <c r="Q8">
        <f t="shared" ref="Q8:Q14" si="2">O8/2</f>
        <v>0</v>
      </c>
      <c r="R8">
        <f>18.98*(G8+J8)-0.8+0.1</f>
        <v>-0.70000000000000007</v>
      </c>
      <c r="S8">
        <f t="shared" ref="S8:S14" si="3">ABS(P8-R8)</f>
        <v>0.85920000000000052</v>
      </c>
      <c r="T8">
        <f t="shared" ref="T8:T14" si="4">18.98*(G8-J8)-0.8-0.1</f>
        <v>-2.4184000000000014</v>
      </c>
      <c r="U8">
        <f>R8-T8</f>
        <v>1.7184000000000013</v>
      </c>
      <c r="V8">
        <f>Q8/(R8*0.02)</f>
        <v>0</v>
      </c>
      <c r="W8" s="2" t="s">
        <v>17</v>
      </c>
      <c r="X8" s="2">
        <v>0.32278694015598225</v>
      </c>
      <c r="Y8">
        <f t="shared" ref="Y8:Y14" si="5">$X$7*P8+$X$8</f>
        <v>0.28811637725709527</v>
      </c>
      <c r="Z8">
        <f t="shared" ref="Z8:Z14" si="6">Y8-Q8</f>
        <v>0.28811637725709527</v>
      </c>
      <c r="AA8">
        <f t="shared" ref="AA8:AA14" si="7">Z8^2</f>
        <v>8.301104684375285E-2</v>
      </c>
      <c r="AB8">
        <f t="shared" ref="AB8:AB14" si="8">AA8/0.5</f>
        <v>0.1660220936875057</v>
      </c>
    </row>
    <row r="9" spans="4:31" x14ac:dyDescent="0.3">
      <c r="D9">
        <v>2</v>
      </c>
      <c r="E9">
        <v>0.43</v>
      </c>
      <c r="F9">
        <v>-3.71</v>
      </c>
      <c r="G9">
        <f t="shared" ref="G9:G43" si="9">E9+1.56</f>
        <v>1.99</v>
      </c>
      <c r="H9">
        <f t="shared" ref="H9:H43" si="10">F9+1.56</f>
        <v>-2.15</v>
      </c>
      <c r="I9">
        <f t="shared" ref="I9:I43" si="11">ABS(H9)</f>
        <v>2.15</v>
      </c>
      <c r="J9">
        <f t="shared" si="0"/>
        <v>7.999999999999996E-2</v>
      </c>
      <c r="K9">
        <f t="shared" si="1"/>
        <v>2.0300000000000002</v>
      </c>
      <c r="L9">
        <f t="shared" si="1"/>
        <v>-2.11</v>
      </c>
      <c r="M9">
        <v>1</v>
      </c>
      <c r="N9">
        <v>1</v>
      </c>
      <c r="O9">
        <v>3</v>
      </c>
      <c r="P9">
        <f t="shared" ref="P9:P14" si="12">(18.98*G9-0.8)</f>
        <v>36.970200000000006</v>
      </c>
      <c r="Q9">
        <f t="shared" si="2"/>
        <v>1.5</v>
      </c>
      <c r="R9">
        <f t="shared" ref="R9:R42" si="13">18.98*(G9+J9)-0.8+0.1</f>
        <v>38.5886</v>
      </c>
      <c r="S9">
        <f t="shared" si="3"/>
        <v>1.6183999999999941</v>
      </c>
      <c r="T9">
        <f t="shared" si="4"/>
        <v>35.351800000000004</v>
      </c>
      <c r="U9">
        <f t="shared" ref="U9:U43" si="14">R9-T9</f>
        <v>3.2367999999999952</v>
      </c>
      <c r="V9">
        <f t="shared" ref="V9:V24" si="15">Q9/(R9*0.02)</f>
        <v>1.9435791917820289</v>
      </c>
      <c r="Y9">
        <f t="shared" si="5"/>
        <v>1.1448608527293729</v>
      </c>
      <c r="Z9">
        <f t="shared" si="6"/>
        <v>-0.35513914727062712</v>
      </c>
      <c r="AA9">
        <f t="shared" si="7"/>
        <v>0.12612381392410818</v>
      </c>
      <c r="AB9">
        <f t="shared" si="8"/>
        <v>0.25224762784821636</v>
      </c>
    </row>
    <row r="10" spans="4:31" x14ac:dyDescent="0.3">
      <c r="D10">
        <v>3</v>
      </c>
      <c r="E10">
        <v>2.4900000000000002</v>
      </c>
      <c r="F10">
        <v>-5.68</v>
      </c>
      <c r="G10">
        <f t="shared" si="9"/>
        <v>4.0500000000000007</v>
      </c>
      <c r="H10">
        <f t="shared" si="10"/>
        <v>-4.1199999999999992</v>
      </c>
      <c r="I10">
        <f t="shared" si="11"/>
        <v>4.1199999999999992</v>
      </c>
      <c r="J10">
        <f t="shared" si="0"/>
        <v>3.4999999999999254E-2</v>
      </c>
      <c r="K10">
        <f t="shared" si="1"/>
        <v>4.09</v>
      </c>
      <c r="L10">
        <f t="shared" si="1"/>
        <v>-4.08</v>
      </c>
      <c r="M10">
        <v>1</v>
      </c>
      <c r="N10">
        <v>1</v>
      </c>
      <c r="O10">
        <v>4</v>
      </c>
      <c r="P10">
        <f t="shared" si="12"/>
        <v>76.069000000000017</v>
      </c>
      <c r="Q10">
        <f t="shared" si="2"/>
        <v>2</v>
      </c>
      <c r="R10">
        <f t="shared" si="13"/>
        <v>76.833299999999994</v>
      </c>
      <c r="S10">
        <f t="shared" si="3"/>
        <v>0.76429999999997733</v>
      </c>
      <c r="T10">
        <f t="shared" si="4"/>
        <v>75.304700000000039</v>
      </c>
      <c r="U10">
        <f t="shared" si="14"/>
        <v>1.5285999999999547</v>
      </c>
      <c r="V10">
        <f t="shared" si="15"/>
        <v>1.3015190028282009</v>
      </c>
      <c r="Y10">
        <f t="shared" si="5"/>
        <v>2.0142665766076449</v>
      </c>
      <c r="Z10">
        <f t="shared" si="6"/>
        <v>1.4266576607644854E-2</v>
      </c>
      <c r="AA10">
        <f t="shared" si="7"/>
        <v>2.0353520810179935E-4</v>
      </c>
      <c r="AB10">
        <f t="shared" si="8"/>
        <v>4.070704162035987E-4</v>
      </c>
    </row>
    <row r="11" spans="4:31" x14ac:dyDescent="0.3">
      <c r="D11">
        <v>4</v>
      </c>
      <c r="E11">
        <v>4.42</v>
      </c>
      <c r="F11">
        <v>-7.51</v>
      </c>
      <c r="G11">
        <f t="shared" si="9"/>
        <v>5.98</v>
      </c>
      <c r="H11">
        <f t="shared" si="10"/>
        <v>-5.9499999999999993</v>
      </c>
      <c r="I11">
        <f t="shared" si="11"/>
        <v>5.9499999999999993</v>
      </c>
      <c r="J11">
        <f t="shared" si="0"/>
        <v>1.5000000000000568E-2</v>
      </c>
      <c r="K11">
        <f t="shared" si="1"/>
        <v>6.02</v>
      </c>
      <c r="L11">
        <f t="shared" si="1"/>
        <v>-5.91</v>
      </c>
      <c r="M11">
        <v>1</v>
      </c>
      <c r="N11">
        <v>1</v>
      </c>
      <c r="O11">
        <v>6</v>
      </c>
      <c r="P11">
        <f t="shared" si="12"/>
        <v>112.70040000000002</v>
      </c>
      <c r="Q11">
        <f t="shared" si="2"/>
        <v>3</v>
      </c>
      <c r="R11">
        <f t="shared" si="13"/>
        <v>113.08510000000003</v>
      </c>
      <c r="S11">
        <f t="shared" si="3"/>
        <v>0.38470000000000937</v>
      </c>
      <c r="T11">
        <f t="shared" si="4"/>
        <v>112.31570000000001</v>
      </c>
      <c r="U11">
        <f t="shared" si="14"/>
        <v>0.76940000000001874</v>
      </c>
      <c r="V11">
        <f t="shared" si="15"/>
        <v>1.3264346938721367</v>
      </c>
      <c r="Y11">
        <f t="shared" si="5"/>
        <v>2.8288068907266082</v>
      </c>
      <c r="Z11">
        <f t="shared" si="6"/>
        <v>-0.17119310927339182</v>
      </c>
      <c r="AA11">
        <f t="shared" si="7"/>
        <v>2.930708066269147E-2</v>
      </c>
      <c r="AB11">
        <f t="shared" si="8"/>
        <v>5.8614161325382941E-2</v>
      </c>
    </row>
    <row r="12" spans="4:31" x14ac:dyDescent="0.3">
      <c r="D12">
        <v>5</v>
      </c>
      <c r="E12">
        <v>6.52</v>
      </c>
      <c r="F12">
        <v>-10.17</v>
      </c>
      <c r="G12">
        <f t="shared" si="9"/>
        <v>8.08</v>
      </c>
      <c r="H12">
        <f t="shared" si="10"/>
        <v>-8.61</v>
      </c>
      <c r="I12">
        <f t="shared" si="11"/>
        <v>8.61</v>
      </c>
      <c r="J12">
        <f t="shared" si="0"/>
        <v>0.26499999999999968</v>
      </c>
      <c r="K12">
        <f t="shared" si="1"/>
        <v>8.1199999999999992</v>
      </c>
      <c r="L12">
        <f t="shared" si="1"/>
        <v>-8.57</v>
      </c>
      <c r="M12">
        <v>1</v>
      </c>
      <c r="N12">
        <v>1</v>
      </c>
      <c r="O12">
        <v>7</v>
      </c>
      <c r="P12">
        <f t="shared" si="12"/>
        <v>152.55840000000001</v>
      </c>
      <c r="Q12">
        <f t="shared" si="2"/>
        <v>3.5</v>
      </c>
      <c r="R12">
        <f t="shared" si="13"/>
        <v>157.68809999999996</v>
      </c>
      <c r="S12">
        <f t="shared" si="3"/>
        <v>5.1296999999999571</v>
      </c>
      <c r="T12">
        <f t="shared" si="4"/>
        <v>147.42869999999999</v>
      </c>
      <c r="U12">
        <f t="shared" si="14"/>
        <v>10.259399999999971</v>
      </c>
      <c r="V12">
        <f t="shared" si="15"/>
        <v>1.1097857098918691</v>
      </c>
      <c r="Y12">
        <f t="shared" si="5"/>
        <v>3.7150942791462054</v>
      </c>
      <c r="Z12">
        <f t="shared" si="6"/>
        <v>0.21509427914620538</v>
      </c>
      <c r="AA12">
        <f t="shared" si="7"/>
        <v>4.6265548921425724E-2</v>
      </c>
      <c r="AB12">
        <f t="shared" si="8"/>
        <v>9.2531097842851448E-2</v>
      </c>
    </row>
    <row r="13" spans="4:31" x14ac:dyDescent="0.3">
      <c r="D13">
        <v>6</v>
      </c>
      <c r="E13">
        <v>8.57</v>
      </c>
      <c r="F13">
        <v>-11.58</v>
      </c>
      <c r="G13">
        <f t="shared" si="9"/>
        <v>10.130000000000001</v>
      </c>
      <c r="H13">
        <f t="shared" si="10"/>
        <v>-10.02</v>
      </c>
      <c r="I13">
        <f t="shared" si="11"/>
        <v>10.02</v>
      </c>
      <c r="J13">
        <f t="shared" si="0"/>
        <v>5.5000000000000604E-2</v>
      </c>
      <c r="K13">
        <f t="shared" si="1"/>
        <v>10.17</v>
      </c>
      <c r="L13">
        <f t="shared" si="1"/>
        <v>-9.98</v>
      </c>
      <c r="M13">
        <v>1</v>
      </c>
      <c r="N13">
        <v>1</v>
      </c>
      <c r="O13">
        <v>9</v>
      </c>
      <c r="P13">
        <f t="shared" si="12"/>
        <v>191.4674</v>
      </c>
      <c r="Q13">
        <f t="shared" si="2"/>
        <v>4.5</v>
      </c>
      <c r="R13">
        <f t="shared" si="13"/>
        <v>192.61130000000003</v>
      </c>
      <c r="S13">
        <f t="shared" si="3"/>
        <v>1.1439000000000306</v>
      </c>
      <c r="T13">
        <f t="shared" si="4"/>
        <v>190.3235</v>
      </c>
      <c r="U13">
        <f t="shared" si="14"/>
        <v>2.2878000000000327</v>
      </c>
      <c r="V13">
        <f t="shared" si="15"/>
        <v>1.1681557624085397</v>
      </c>
      <c r="Y13">
        <f t="shared" si="5"/>
        <v>4.5802795868891462</v>
      </c>
      <c r="Z13">
        <f t="shared" si="6"/>
        <v>8.0279586889146159E-2</v>
      </c>
      <c r="AA13">
        <f t="shared" si="7"/>
        <v>6.4448120710919677E-3</v>
      </c>
      <c r="AB13">
        <f t="shared" si="8"/>
        <v>1.2889624142183935E-2</v>
      </c>
    </row>
    <row r="14" spans="4:31" x14ac:dyDescent="0.3">
      <c r="D14">
        <v>7</v>
      </c>
      <c r="E14">
        <v>10.58</v>
      </c>
      <c r="F14">
        <v>-13.83</v>
      </c>
      <c r="G14">
        <f t="shared" si="9"/>
        <v>12.14</v>
      </c>
      <c r="H14">
        <f t="shared" si="10"/>
        <v>-12.27</v>
      </c>
      <c r="I14">
        <f t="shared" si="11"/>
        <v>12.27</v>
      </c>
      <c r="J14">
        <f t="shared" si="0"/>
        <v>6.4999999999999503E-2</v>
      </c>
      <c r="K14">
        <f t="shared" si="1"/>
        <v>12.18</v>
      </c>
      <c r="L14">
        <f t="shared" si="1"/>
        <v>-12.23</v>
      </c>
      <c r="M14">
        <v>1</v>
      </c>
      <c r="N14">
        <v>1</v>
      </c>
      <c r="O14">
        <v>11</v>
      </c>
      <c r="P14">
        <f t="shared" si="12"/>
        <v>229.6172</v>
      </c>
      <c r="Q14">
        <f t="shared" si="2"/>
        <v>5.5</v>
      </c>
      <c r="R14">
        <f t="shared" si="13"/>
        <v>230.95089999999999</v>
      </c>
      <c r="S14">
        <f t="shared" si="3"/>
        <v>1.3336999999999932</v>
      </c>
      <c r="T14">
        <f t="shared" si="4"/>
        <v>228.28350000000003</v>
      </c>
      <c r="U14">
        <f t="shared" si="14"/>
        <v>2.667399999999958</v>
      </c>
      <c r="V14">
        <f t="shared" si="15"/>
        <v>1.190729284882631</v>
      </c>
      <c r="Y14">
        <f t="shared" si="5"/>
        <v>5.4285832300907604</v>
      </c>
      <c r="Z14">
        <f t="shared" si="6"/>
        <v>-7.1416769909239619E-2</v>
      </c>
      <c r="AA14">
        <f t="shared" si="7"/>
        <v>5.1003550242692732E-3</v>
      </c>
      <c r="AB14">
        <f t="shared" si="8"/>
        <v>1.0200710048538546E-2</v>
      </c>
    </row>
    <row r="15" spans="4:31" x14ac:dyDescent="0.3">
      <c r="V15">
        <f>_xlfn.STDEV.P(V8:V14)</f>
        <v>0.53585007614600821</v>
      </c>
      <c r="AA15" s="2" t="s">
        <v>35</v>
      </c>
      <c r="AB15" s="2">
        <f>SUM(AB8:AB14)</f>
        <v>0.59291238531088253</v>
      </c>
      <c r="AC15" t="s">
        <v>43</v>
      </c>
      <c r="AD15">
        <v>1.2675000000000001</v>
      </c>
    </row>
    <row r="16" spans="4:31" x14ac:dyDescent="0.3">
      <c r="E16" t="s">
        <v>9</v>
      </c>
      <c r="AA16" s="2" t="s">
        <v>40</v>
      </c>
      <c r="AB16" s="2">
        <f>X7/0.02</f>
        <v>1.1118061473475807</v>
      </c>
      <c r="AC16" t="s">
        <v>41</v>
      </c>
      <c r="AD16">
        <f>1.2675-1.17</f>
        <v>9.7500000000000142E-2</v>
      </c>
    </row>
    <row r="17" spans="4:31" x14ac:dyDescent="0.3">
      <c r="E17" t="s">
        <v>3</v>
      </c>
      <c r="F17" t="s">
        <v>2</v>
      </c>
      <c r="K17" t="s">
        <v>6</v>
      </c>
      <c r="L17" t="s">
        <v>7</v>
      </c>
      <c r="M17" t="s">
        <v>5</v>
      </c>
      <c r="N17" t="s">
        <v>4</v>
      </c>
      <c r="O17" t="s">
        <v>12</v>
      </c>
      <c r="Q17" t="s">
        <v>24</v>
      </c>
      <c r="W17" s="2" t="s">
        <v>16</v>
      </c>
      <c r="X17" s="2">
        <v>3.6027947974003792E-2</v>
      </c>
      <c r="AA17" t="s">
        <v>19</v>
      </c>
      <c r="AB17" t="s">
        <v>36</v>
      </c>
    </row>
    <row r="18" spans="4:31" x14ac:dyDescent="0.3">
      <c r="D18">
        <v>1</v>
      </c>
      <c r="E18">
        <v>-1.6</v>
      </c>
      <c r="F18">
        <v>-1.6</v>
      </c>
      <c r="G18">
        <f t="shared" si="9"/>
        <v>-4.0000000000000036E-2</v>
      </c>
      <c r="H18">
        <f t="shared" si="10"/>
        <v>-4.0000000000000036E-2</v>
      </c>
      <c r="I18">
        <f t="shared" si="11"/>
        <v>4.0000000000000036E-2</v>
      </c>
      <c r="J18">
        <f t="shared" si="0"/>
        <v>4.0000000000000036E-2</v>
      </c>
      <c r="K18">
        <f t="shared" ref="K18:L24" si="16">E18+1.6</f>
        <v>0</v>
      </c>
      <c r="L18">
        <f t="shared" si="16"/>
        <v>0</v>
      </c>
      <c r="M18">
        <v>1</v>
      </c>
      <c r="N18">
        <v>1</v>
      </c>
      <c r="O18">
        <v>0</v>
      </c>
      <c r="P18">
        <f>18.98*G18-0.8</f>
        <v>-1.5592000000000006</v>
      </c>
      <c r="Q18">
        <f t="shared" ref="Q18:Q24" si="17">O18/2</f>
        <v>0</v>
      </c>
      <c r="R18">
        <f t="shared" si="13"/>
        <v>-0.70000000000000007</v>
      </c>
      <c r="S18">
        <f t="shared" ref="S18:S24" si="18">ABS(P18-R18)</f>
        <v>0.85920000000000052</v>
      </c>
      <c r="T18">
        <f t="shared" ref="T18:T24" si="19">18.98*(G18-J18)-0.8-0.1</f>
        <v>-2.4184000000000014</v>
      </c>
      <c r="U18">
        <f t="shared" si="14"/>
        <v>1.7184000000000013</v>
      </c>
      <c r="V18">
        <f t="shared" si="15"/>
        <v>0</v>
      </c>
      <c r="W18" s="2" t="s">
        <v>17</v>
      </c>
      <c r="X18" s="2">
        <v>-0.40980707207374378</v>
      </c>
      <c r="Y18">
        <f>$X$17*P18+$X$18</f>
        <v>-0.46598184855481051</v>
      </c>
      <c r="Z18">
        <f>Q18-Y18</f>
        <v>0.46598184855481051</v>
      </c>
      <c r="AA18">
        <f>Z18^2</f>
        <v>0.21713908318255837</v>
      </c>
      <c r="AB18">
        <f>AA18/0.5</f>
        <v>0.43427816636511674</v>
      </c>
      <c r="AD18" t="s">
        <v>42</v>
      </c>
      <c r="AE18">
        <f>AB25-2.28</f>
        <v>-4.4115822503814073E-3</v>
      </c>
    </row>
    <row r="19" spans="4:31" x14ac:dyDescent="0.3">
      <c r="D19">
        <v>2</v>
      </c>
      <c r="E19">
        <v>0.51</v>
      </c>
      <c r="F19">
        <v>-3.83</v>
      </c>
      <c r="G19">
        <f t="shared" si="9"/>
        <v>2.0700000000000003</v>
      </c>
      <c r="H19">
        <f t="shared" si="10"/>
        <v>-2.27</v>
      </c>
      <c r="I19">
        <f t="shared" si="11"/>
        <v>2.27</v>
      </c>
      <c r="J19">
        <f t="shared" si="0"/>
        <v>9.9999999999999867E-2</v>
      </c>
      <c r="K19">
        <f t="shared" si="16"/>
        <v>2.1100000000000003</v>
      </c>
      <c r="L19">
        <f t="shared" si="16"/>
        <v>-2.23</v>
      </c>
      <c r="M19">
        <v>1</v>
      </c>
      <c r="N19">
        <v>1</v>
      </c>
      <c r="O19">
        <v>2</v>
      </c>
      <c r="P19">
        <f t="shared" ref="P19:P24" si="20">18.98*G19-0.8</f>
        <v>38.488600000000012</v>
      </c>
      <c r="Q19">
        <f t="shared" si="17"/>
        <v>1</v>
      </c>
      <c r="R19">
        <f t="shared" si="13"/>
        <v>40.486600000000003</v>
      </c>
      <c r="S19">
        <f t="shared" si="18"/>
        <v>1.9979999999999905</v>
      </c>
      <c r="T19">
        <f t="shared" si="19"/>
        <v>36.490600000000008</v>
      </c>
      <c r="U19">
        <f t="shared" si="14"/>
        <v>3.9959999999999951</v>
      </c>
      <c r="V19">
        <f t="shared" si="15"/>
        <v>1.2349765107467654</v>
      </c>
      <c r="Y19">
        <f t="shared" ref="Y19:Y24" si="21">$X$17*P19+$X$18</f>
        <v>0.97685820631849907</v>
      </c>
      <c r="Z19">
        <f t="shared" ref="Z19:Z24" si="22">Q19-Y19</f>
        <v>2.3141793681500933E-2</v>
      </c>
      <c r="AA19">
        <f t="shared" ref="AA19:AA24" si="23">Z19^2</f>
        <v>5.3554261479715651E-4</v>
      </c>
      <c r="AB19">
        <f t="shared" ref="AB19:AB24" si="24">AA19/0.5</f>
        <v>1.071085229594313E-3</v>
      </c>
    </row>
    <row r="20" spans="4:31" x14ac:dyDescent="0.3">
      <c r="D20">
        <v>3</v>
      </c>
      <c r="E20">
        <v>1.97</v>
      </c>
      <c r="F20">
        <v>-5.19</v>
      </c>
      <c r="G20">
        <f t="shared" si="9"/>
        <v>3.5300000000000002</v>
      </c>
      <c r="H20">
        <f t="shared" si="10"/>
        <v>-3.6300000000000003</v>
      </c>
      <c r="I20">
        <f t="shared" si="11"/>
        <v>3.6300000000000003</v>
      </c>
      <c r="J20">
        <f t="shared" si="0"/>
        <v>5.0000000000000044E-2</v>
      </c>
      <c r="K20">
        <f t="shared" si="16"/>
        <v>3.5700000000000003</v>
      </c>
      <c r="L20">
        <f t="shared" si="16"/>
        <v>-3.5900000000000003</v>
      </c>
      <c r="M20">
        <v>1</v>
      </c>
      <c r="N20">
        <v>1</v>
      </c>
      <c r="O20">
        <v>3</v>
      </c>
      <c r="P20">
        <f t="shared" si="20"/>
        <v>66.199400000000011</v>
      </c>
      <c r="Q20">
        <f t="shared" si="17"/>
        <v>1.5</v>
      </c>
      <c r="R20">
        <f t="shared" si="13"/>
        <v>67.248400000000004</v>
      </c>
      <c r="S20">
        <f t="shared" si="18"/>
        <v>1.0489999999999924</v>
      </c>
      <c r="T20">
        <f t="shared" si="19"/>
        <v>65.150400000000019</v>
      </c>
      <c r="U20">
        <f t="shared" si="14"/>
        <v>2.0979999999999848</v>
      </c>
      <c r="V20">
        <f t="shared" si="15"/>
        <v>1.1152681699490248</v>
      </c>
      <c r="Y20">
        <f t="shared" si="21"/>
        <v>1.9752214670365236</v>
      </c>
      <c r="Z20">
        <f t="shared" si="22"/>
        <v>-0.47522146703652357</v>
      </c>
      <c r="AA20">
        <f t="shared" si="23"/>
        <v>0.22583544273234565</v>
      </c>
      <c r="AB20">
        <f t="shared" si="24"/>
        <v>0.45167088546469131</v>
      </c>
    </row>
    <row r="21" spans="4:31" x14ac:dyDescent="0.3">
      <c r="D21">
        <v>4</v>
      </c>
      <c r="E21">
        <v>4.45</v>
      </c>
      <c r="F21">
        <v>-7.77</v>
      </c>
      <c r="G21">
        <f t="shared" si="9"/>
        <v>6.01</v>
      </c>
      <c r="H21">
        <f t="shared" si="10"/>
        <v>-6.2099999999999991</v>
      </c>
      <c r="I21">
        <f t="shared" si="11"/>
        <v>6.2099999999999991</v>
      </c>
      <c r="J21">
        <f t="shared" si="0"/>
        <v>9.9999999999999645E-2</v>
      </c>
      <c r="K21">
        <f t="shared" si="16"/>
        <v>6.0500000000000007</v>
      </c>
      <c r="L21">
        <f t="shared" si="16"/>
        <v>-6.17</v>
      </c>
      <c r="M21">
        <v>1</v>
      </c>
      <c r="N21">
        <v>1</v>
      </c>
      <c r="O21">
        <v>7</v>
      </c>
      <c r="P21">
        <f t="shared" si="20"/>
        <v>113.2698</v>
      </c>
      <c r="Q21">
        <f t="shared" si="17"/>
        <v>3.5</v>
      </c>
      <c r="R21">
        <f t="shared" si="13"/>
        <v>115.26779999999999</v>
      </c>
      <c r="S21">
        <f t="shared" si="18"/>
        <v>1.9979999999999905</v>
      </c>
      <c r="T21">
        <f t="shared" si="19"/>
        <v>111.27180000000001</v>
      </c>
      <c r="U21">
        <f t="shared" si="14"/>
        <v>3.9959999999999809</v>
      </c>
      <c r="V21">
        <f t="shared" si="15"/>
        <v>1.518203696088587</v>
      </c>
      <c r="Y21">
        <f t="shared" si="21"/>
        <v>3.6710713893520714</v>
      </c>
      <c r="Z21">
        <f t="shared" si="22"/>
        <v>-0.17107138935207145</v>
      </c>
      <c r="AA21">
        <f t="shared" si="23"/>
        <v>2.9265420254848025E-2</v>
      </c>
      <c r="AB21">
        <f t="shared" si="24"/>
        <v>5.853084050969605E-2</v>
      </c>
    </row>
    <row r="22" spans="4:31" x14ac:dyDescent="0.3">
      <c r="D22">
        <v>5</v>
      </c>
      <c r="E22">
        <v>7.15</v>
      </c>
      <c r="F22">
        <v>-10.3</v>
      </c>
      <c r="G22">
        <f t="shared" si="9"/>
        <v>8.7100000000000009</v>
      </c>
      <c r="H22">
        <f t="shared" si="10"/>
        <v>-8.74</v>
      </c>
      <c r="I22">
        <f t="shared" si="11"/>
        <v>8.74</v>
      </c>
      <c r="J22">
        <f t="shared" si="0"/>
        <v>1.499999999999968E-2</v>
      </c>
      <c r="K22">
        <f t="shared" si="16"/>
        <v>8.75</v>
      </c>
      <c r="L22">
        <f t="shared" si="16"/>
        <v>-8.7000000000000011</v>
      </c>
      <c r="M22">
        <v>1</v>
      </c>
      <c r="N22">
        <v>1</v>
      </c>
      <c r="O22">
        <v>10</v>
      </c>
      <c r="P22">
        <f t="shared" si="20"/>
        <v>164.51580000000001</v>
      </c>
      <c r="Q22">
        <f t="shared" si="17"/>
        <v>5</v>
      </c>
      <c r="R22">
        <f t="shared" si="13"/>
        <v>164.90050000000002</v>
      </c>
      <c r="S22">
        <f t="shared" si="18"/>
        <v>0.38470000000000937</v>
      </c>
      <c r="T22">
        <f t="shared" si="19"/>
        <v>164.1311</v>
      </c>
      <c r="U22">
        <f t="shared" si="14"/>
        <v>0.76940000000001874</v>
      </c>
      <c r="V22">
        <f t="shared" si="15"/>
        <v>1.5160657487393912</v>
      </c>
      <c r="Y22">
        <f t="shared" si="21"/>
        <v>5.5173596112278691</v>
      </c>
      <c r="Z22">
        <f t="shared" si="22"/>
        <v>-0.51735961122786911</v>
      </c>
      <c r="AA22">
        <f t="shared" si="23"/>
        <v>0.2676609673298519</v>
      </c>
      <c r="AB22">
        <f t="shared" si="24"/>
        <v>0.53532193465970379</v>
      </c>
    </row>
    <row r="23" spans="4:31" x14ac:dyDescent="0.3">
      <c r="D23">
        <v>6</v>
      </c>
      <c r="E23">
        <v>8.52</v>
      </c>
      <c r="F23">
        <v>-11.57</v>
      </c>
      <c r="G23">
        <f t="shared" si="9"/>
        <v>10.08</v>
      </c>
      <c r="H23">
        <f t="shared" si="10"/>
        <v>-10.01</v>
      </c>
      <c r="I23">
        <f t="shared" si="11"/>
        <v>10.01</v>
      </c>
      <c r="J23">
        <f>_xlfn.STDEV.P(G23,I23)</f>
        <v>3.5000000000000142E-2</v>
      </c>
      <c r="K23">
        <f t="shared" si="16"/>
        <v>10.119999999999999</v>
      </c>
      <c r="L23">
        <f t="shared" si="16"/>
        <v>-9.9700000000000006</v>
      </c>
      <c r="M23">
        <v>1</v>
      </c>
      <c r="N23">
        <v>1</v>
      </c>
      <c r="O23">
        <v>13</v>
      </c>
      <c r="P23">
        <f t="shared" si="20"/>
        <v>190.51839999999999</v>
      </c>
      <c r="Q23">
        <f t="shared" si="17"/>
        <v>6.5</v>
      </c>
      <c r="R23">
        <f t="shared" si="13"/>
        <v>191.28270000000001</v>
      </c>
      <c r="S23">
        <f t="shared" si="18"/>
        <v>0.76430000000001996</v>
      </c>
      <c r="T23">
        <f t="shared" si="19"/>
        <v>189.75409999999999</v>
      </c>
      <c r="U23">
        <f t="shared" si="14"/>
        <v>1.5286000000000115</v>
      </c>
      <c r="V23">
        <f t="shared" si="15"/>
        <v>1.6990558999846823</v>
      </c>
      <c r="Y23">
        <f t="shared" si="21"/>
        <v>6.4541799312166992</v>
      </c>
      <c r="Z23">
        <f t="shared" si="22"/>
        <v>4.5820068783300805E-2</v>
      </c>
      <c r="AA23">
        <f t="shared" si="23"/>
        <v>2.0994787033064167E-3</v>
      </c>
      <c r="AB23">
        <f t="shared" si="24"/>
        <v>4.1989574066128334E-3</v>
      </c>
    </row>
    <row r="24" spans="4:31" x14ac:dyDescent="0.3">
      <c r="D24">
        <v>7</v>
      </c>
      <c r="E24">
        <v>9.1300000000000008</v>
      </c>
      <c r="F24">
        <v>-12.25</v>
      </c>
      <c r="G24">
        <f t="shared" si="9"/>
        <v>10.690000000000001</v>
      </c>
      <c r="H24">
        <f t="shared" si="10"/>
        <v>-10.69</v>
      </c>
      <c r="I24">
        <f t="shared" si="11"/>
        <v>10.69</v>
      </c>
      <c r="J24">
        <v>0</v>
      </c>
      <c r="K24">
        <f t="shared" si="16"/>
        <v>10.73</v>
      </c>
      <c r="L24">
        <f t="shared" si="16"/>
        <v>-10.65</v>
      </c>
      <c r="M24">
        <v>1</v>
      </c>
      <c r="N24">
        <v>1</v>
      </c>
      <c r="O24">
        <v>15</v>
      </c>
      <c r="P24">
        <f t="shared" si="20"/>
        <v>202.09620000000001</v>
      </c>
      <c r="Q24">
        <f t="shared" si="17"/>
        <v>7.5</v>
      </c>
      <c r="R24">
        <f t="shared" si="13"/>
        <v>202.1962</v>
      </c>
      <c r="S24">
        <f t="shared" si="18"/>
        <v>9.9999999999994316E-2</v>
      </c>
      <c r="T24">
        <f t="shared" si="19"/>
        <v>201.99620000000002</v>
      </c>
      <c r="U24">
        <f t="shared" si="14"/>
        <v>0.19999999999998863</v>
      </c>
      <c r="V24">
        <f t="shared" si="15"/>
        <v>1.854634261178004</v>
      </c>
      <c r="Y24">
        <f t="shared" si="21"/>
        <v>6.8713043072701216</v>
      </c>
      <c r="Z24">
        <f t="shared" si="22"/>
        <v>0.62869569272987835</v>
      </c>
      <c r="AA24">
        <f t="shared" si="23"/>
        <v>0.39525827405710162</v>
      </c>
      <c r="AB24">
        <f t="shared" si="24"/>
        <v>0.79051654811420324</v>
      </c>
    </row>
    <row r="25" spans="4:31" x14ac:dyDescent="0.3">
      <c r="V25">
        <f>_xlfn.STDEV.P(V18:V24)</f>
        <v>0.57143631637116588</v>
      </c>
      <c r="AA25" s="2" t="s">
        <v>37</v>
      </c>
      <c r="AB25" s="2">
        <f>SUM(AB18:AB24)</f>
        <v>2.2755884177496184</v>
      </c>
      <c r="AC25" t="s">
        <v>43</v>
      </c>
      <c r="AD25">
        <f>1.775</f>
        <v>1.7749999999999999</v>
      </c>
    </row>
    <row r="26" spans="4:31" x14ac:dyDescent="0.3">
      <c r="E26" s="1" t="s">
        <v>10</v>
      </c>
      <c r="AA26" s="2" t="s">
        <v>40</v>
      </c>
      <c r="AB26" s="2">
        <f>X17/0.02</f>
        <v>1.8013973987001897</v>
      </c>
      <c r="AC26" t="s">
        <v>41</v>
      </c>
      <c r="AD26">
        <f>AB26-1.8</f>
        <v>1.3973987001896226E-3</v>
      </c>
    </row>
    <row r="27" spans="4:31" x14ac:dyDescent="0.3">
      <c r="E27" t="s">
        <v>3</v>
      </c>
      <c r="F27" t="s">
        <v>2</v>
      </c>
      <c r="K27" t="s">
        <v>6</v>
      </c>
      <c r="L27" t="s">
        <v>7</v>
      </c>
      <c r="M27" t="s">
        <v>5</v>
      </c>
      <c r="N27" t="s">
        <v>4</v>
      </c>
      <c r="O27" t="s">
        <v>12</v>
      </c>
      <c r="P27" t="s">
        <v>24</v>
      </c>
      <c r="W27" s="2" t="s">
        <v>16</v>
      </c>
      <c r="X27" s="2">
        <v>3.9050000000000001E-2</v>
      </c>
      <c r="AA27" t="s">
        <v>19</v>
      </c>
      <c r="AB27" t="s">
        <v>38</v>
      </c>
    </row>
    <row r="28" spans="4:31" x14ac:dyDescent="0.3">
      <c r="D28">
        <v>1</v>
      </c>
      <c r="E28">
        <v>-1.6</v>
      </c>
      <c r="F28">
        <v>-1.6</v>
      </c>
      <c r="G28">
        <f t="shared" si="9"/>
        <v>-4.0000000000000036E-2</v>
      </c>
      <c r="H28">
        <f t="shared" si="10"/>
        <v>-4.0000000000000036E-2</v>
      </c>
      <c r="I28">
        <f t="shared" si="11"/>
        <v>4.0000000000000036E-2</v>
      </c>
      <c r="J28">
        <f t="shared" si="0"/>
        <v>4.0000000000000036E-2</v>
      </c>
      <c r="K28">
        <f t="shared" ref="K28:L33" si="25">E28+1.6</f>
        <v>0</v>
      </c>
      <c r="L28">
        <f t="shared" si="25"/>
        <v>0</v>
      </c>
      <c r="M28">
        <v>1</v>
      </c>
      <c r="N28">
        <v>1</v>
      </c>
      <c r="O28">
        <v>0</v>
      </c>
      <c r="P28">
        <f t="shared" ref="P28:P33" si="26">O28/2</f>
        <v>0</v>
      </c>
      <c r="Q28">
        <f t="shared" ref="Q28:Q43" si="27">18.98*G28-0.8</f>
        <v>-1.5592000000000006</v>
      </c>
      <c r="R28">
        <f t="shared" si="13"/>
        <v>-0.70000000000000007</v>
      </c>
      <c r="S28">
        <f t="shared" ref="S28:S43" si="28">ABS(Q28-R28)</f>
        <v>0.85920000000000052</v>
      </c>
      <c r="T28">
        <f t="shared" ref="T28:T33" si="29">18.98*(G28-J28)-0.8-0.1</f>
        <v>-2.4184000000000014</v>
      </c>
      <c r="U28">
        <f t="shared" si="14"/>
        <v>1.7184000000000013</v>
      </c>
      <c r="V28">
        <f>P28/(Q28*0.02)</f>
        <v>0</v>
      </c>
      <c r="W28" s="2" t="s">
        <v>17</v>
      </c>
      <c r="X28" s="2">
        <v>-0.2294339573823907</v>
      </c>
      <c r="Y28">
        <f t="shared" ref="Y28:Y33" si="30">$X$27*Q28+$X$28</f>
        <v>-0.29032071738239074</v>
      </c>
      <c r="Z28">
        <f t="shared" ref="Z28:Z33" si="31">Y28-P28</f>
        <v>-0.29032071738239074</v>
      </c>
      <c r="AA28">
        <f t="shared" ref="AA28:AA33" si="32">Z28^2</f>
        <v>8.4286118941426E-2</v>
      </c>
      <c r="AB28">
        <f t="shared" ref="AB28:AB33" si="33">AA28/0.5</f>
        <v>0.168572237882852</v>
      </c>
      <c r="AD28" t="s">
        <v>42</v>
      </c>
      <c r="AE28">
        <f>3.32-AB34</f>
        <v>-1.0108359108476974</v>
      </c>
    </row>
    <row r="29" spans="4:31" x14ac:dyDescent="0.3">
      <c r="D29">
        <v>2</v>
      </c>
      <c r="E29">
        <v>0.38</v>
      </c>
      <c r="F29">
        <v>-3.59</v>
      </c>
      <c r="G29">
        <f t="shared" si="9"/>
        <v>1.94</v>
      </c>
      <c r="H29">
        <f t="shared" si="10"/>
        <v>-2.0299999999999998</v>
      </c>
      <c r="I29">
        <f t="shared" si="11"/>
        <v>2.0299999999999998</v>
      </c>
      <c r="J29">
        <f t="shared" si="0"/>
        <v>4.4999999999999929E-2</v>
      </c>
      <c r="K29">
        <f t="shared" si="25"/>
        <v>1.98</v>
      </c>
      <c r="L29">
        <f t="shared" si="25"/>
        <v>-1.9899999999999998</v>
      </c>
      <c r="M29">
        <v>1</v>
      </c>
      <c r="N29">
        <v>1</v>
      </c>
      <c r="O29">
        <v>1</v>
      </c>
      <c r="P29">
        <f t="shared" si="26"/>
        <v>0.5</v>
      </c>
      <c r="Q29">
        <f t="shared" si="27"/>
        <v>36.0212</v>
      </c>
      <c r="R29">
        <f t="shared" si="13"/>
        <v>36.975300000000004</v>
      </c>
      <c r="S29">
        <f t="shared" si="28"/>
        <v>0.95410000000000394</v>
      </c>
      <c r="T29">
        <f t="shared" si="29"/>
        <v>35.067100000000003</v>
      </c>
      <c r="U29">
        <f t="shared" si="14"/>
        <v>1.9082000000000008</v>
      </c>
      <c r="V29">
        <f t="shared" ref="V29:V43" si="34">P29/(Q29*0.02)</f>
        <v>0.69403573451189848</v>
      </c>
      <c r="Y29">
        <f t="shared" si="30"/>
        <v>1.1771939026176093</v>
      </c>
      <c r="Z29">
        <f t="shared" si="31"/>
        <v>0.67719390261760926</v>
      </c>
      <c r="AA29">
        <f t="shared" si="32"/>
        <v>0.45859158174246806</v>
      </c>
      <c r="AB29">
        <f t="shared" si="33"/>
        <v>0.91718316348493611</v>
      </c>
    </row>
    <row r="30" spans="4:31" x14ac:dyDescent="0.3">
      <c r="D30">
        <v>3</v>
      </c>
      <c r="E30">
        <v>3.05</v>
      </c>
      <c r="F30">
        <v>-6.32</v>
      </c>
      <c r="G30">
        <f t="shared" si="9"/>
        <v>4.6099999999999994</v>
      </c>
      <c r="H30">
        <f t="shared" si="10"/>
        <v>-4.76</v>
      </c>
      <c r="I30">
        <f t="shared" si="11"/>
        <v>4.76</v>
      </c>
      <c r="J30">
        <f t="shared" si="0"/>
        <v>7.5000000000000178E-2</v>
      </c>
      <c r="K30">
        <f t="shared" si="25"/>
        <v>4.6500000000000004</v>
      </c>
      <c r="L30">
        <f t="shared" si="25"/>
        <v>-4.7200000000000006</v>
      </c>
      <c r="M30">
        <v>1</v>
      </c>
      <c r="N30">
        <v>1</v>
      </c>
      <c r="O30">
        <v>7</v>
      </c>
      <c r="P30">
        <f t="shared" si="26"/>
        <v>3.5</v>
      </c>
      <c r="Q30">
        <f t="shared" si="27"/>
        <v>86.697800000000001</v>
      </c>
      <c r="R30">
        <f t="shared" si="13"/>
        <v>88.221299999999985</v>
      </c>
      <c r="S30">
        <f t="shared" si="28"/>
        <v>1.5234999999999843</v>
      </c>
      <c r="T30">
        <f t="shared" si="29"/>
        <v>85.174300000000002</v>
      </c>
      <c r="U30">
        <f t="shared" si="14"/>
        <v>3.0469999999999828</v>
      </c>
      <c r="V30">
        <f t="shared" si="34"/>
        <v>2.0185056598898701</v>
      </c>
      <c r="Y30">
        <f t="shared" si="30"/>
        <v>3.1561151326176091</v>
      </c>
      <c r="Z30">
        <f t="shared" si="31"/>
        <v>-0.34388486738239088</v>
      </c>
      <c r="AA30">
        <f t="shared" si="32"/>
        <v>0.11825680201460456</v>
      </c>
      <c r="AB30">
        <f t="shared" si="33"/>
        <v>0.23651360402920912</v>
      </c>
    </row>
    <row r="31" spans="4:31" x14ac:dyDescent="0.3">
      <c r="D31">
        <v>4</v>
      </c>
      <c r="E31">
        <v>5.52</v>
      </c>
      <c r="F31">
        <v>-8.69</v>
      </c>
      <c r="G31">
        <f t="shared" si="9"/>
        <v>7.08</v>
      </c>
      <c r="H31">
        <f t="shared" si="10"/>
        <v>-7.129999999999999</v>
      </c>
      <c r="I31">
        <f t="shared" si="11"/>
        <v>7.129999999999999</v>
      </c>
      <c r="J31">
        <f t="shared" si="0"/>
        <v>2.4999999999999467E-2</v>
      </c>
      <c r="K31">
        <f t="shared" si="25"/>
        <v>7.1199999999999992</v>
      </c>
      <c r="L31">
        <f t="shared" si="25"/>
        <v>-7.09</v>
      </c>
      <c r="M31">
        <v>1</v>
      </c>
      <c r="N31">
        <v>1</v>
      </c>
      <c r="O31">
        <v>8</v>
      </c>
      <c r="P31">
        <f t="shared" si="26"/>
        <v>4</v>
      </c>
      <c r="Q31">
        <f t="shared" si="27"/>
        <v>133.57839999999999</v>
      </c>
      <c r="R31">
        <f t="shared" si="13"/>
        <v>134.15289999999999</v>
      </c>
      <c r="S31">
        <f t="shared" si="28"/>
        <v>0.57450000000000045</v>
      </c>
      <c r="T31">
        <f t="shared" si="29"/>
        <v>133.00390000000002</v>
      </c>
      <c r="U31">
        <f t="shared" si="14"/>
        <v>1.1489999999999725</v>
      </c>
      <c r="V31">
        <f t="shared" si="34"/>
        <v>1.4972480580692689</v>
      </c>
      <c r="Y31">
        <f t="shared" si="30"/>
        <v>4.9868025626176093</v>
      </c>
      <c r="Z31">
        <f t="shared" si="31"/>
        <v>0.98680256261760935</v>
      </c>
      <c r="AA31">
        <f t="shared" si="32"/>
        <v>0.97377929758868087</v>
      </c>
      <c r="AB31">
        <f t="shared" si="33"/>
        <v>1.9475585951773617</v>
      </c>
    </row>
    <row r="32" spans="4:31" x14ac:dyDescent="0.3">
      <c r="D32">
        <v>5</v>
      </c>
      <c r="E32">
        <v>7.2</v>
      </c>
      <c r="F32">
        <v>-10.32</v>
      </c>
      <c r="G32">
        <f t="shared" si="9"/>
        <v>8.76</v>
      </c>
      <c r="H32">
        <f t="shared" si="10"/>
        <v>-8.76</v>
      </c>
      <c r="I32">
        <f t="shared" si="11"/>
        <v>8.76</v>
      </c>
      <c r="J32">
        <f t="shared" si="0"/>
        <v>0</v>
      </c>
      <c r="K32">
        <f t="shared" si="25"/>
        <v>8.8000000000000007</v>
      </c>
      <c r="L32">
        <f t="shared" si="25"/>
        <v>-8.7200000000000006</v>
      </c>
      <c r="M32">
        <v>1</v>
      </c>
      <c r="N32">
        <v>1</v>
      </c>
      <c r="O32">
        <v>13</v>
      </c>
      <c r="P32">
        <f t="shared" si="26"/>
        <v>6.5</v>
      </c>
      <c r="Q32">
        <f t="shared" si="27"/>
        <v>165.4648</v>
      </c>
      <c r="R32">
        <f t="shared" si="13"/>
        <v>165.56479999999999</v>
      </c>
      <c r="S32">
        <f t="shared" si="28"/>
        <v>9.9999999999994316E-2</v>
      </c>
      <c r="T32">
        <f t="shared" si="29"/>
        <v>165.3648</v>
      </c>
      <c r="U32">
        <f t="shared" si="14"/>
        <v>0.19999999999998863</v>
      </c>
      <c r="V32">
        <f t="shared" si="34"/>
        <v>1.9641639792874377</v>
      </c>
      <c r="Y32">
        <f t="shared" si="30"/>
        <v>6.2319664826176098</v>
      </c>
      <c r="Z32">
        <f t="shared" si="31"/>
        <v>-0.26803351738239023</v>
      </c>
      <c r="AA32">
        <f t="shared" si="32"/>
        <v>7.184196644037609E-2</v>
      </c>
      <c r="AB32">
        <f t="shared" si="33"/>
        <v>0.14368393288075218</v>
      </c>
    </row>
    <row r="33" spans="4:31" x14ac:dyDescent="0.3">
      <c r="D33">
        <v>6</v>
      </c>
      <c r="E33">
        <v>9.15</v>
      </c>
      <c r="F33">
        <v>-12.06</v>
      </c>
      <c r="G33">
        <f t="shared" si="9"/>
        <v>10.71</v>
      </c>
      <c r="H33">
        <f t="shared" si="10"/>
        <v>-10.5</v>
      </c>
      <c r="I33">
        <f t="shared" si="11"/>
        <v>10.5</v>
      </c>
      <c r="J33">
        <f t="shared" si="0"/>
        <v>0.10500000000000043</v>
      </c>
      <c r="K33">
        <f t="shared" si="25"/>
        <v>10.75</v>
      </c>
      <c r="L33">
        <f t="shared" si="25"/>
        <v>-10.46</v>
      </c>
      <c r="M33">
        <v>1</v>
      </c>
      <c r="N33">
        <v>1</v>
      </c>
      <c r="O33">
        <v>14</v>
      </c>
      <c r="P33">
        <f t="shared" si="26"/>
        <v>7</v>
      </c>
      <c r="Q33">
        <f t="shared" si="27"/>
        <v>202.47580000000002</v>
      </c>
      <c r="R33">
        <f t="shared" si="13"/>
        <v>204.56870000000001</v>
      </c>
      <c r="S33">
        <f t="shared" si="28"/>
        <v>2.092899999999986</v>
      </c>
      <c r="T33">
        <f t="shared" si="29"/>
        <v>200.38290000000001</v>
      </c>
      <c r="U33">
        <f t="shared" si="14"/>
        <v>4.1858000000000004</v>
      </c>
      <c r="V33">
        <f t="shared" si="34"/>
        <v>1.7286016402947906</v>
      </c>
      <c r="Y33">
        <f t="shared" si="30"/>
        <v>7.6772460326176102</v>
      </c>
      <c r="Z33">
        <f t="shared" si="31"/>
        <v>0.67724603261761018</v>
      </c>
      <c r="AA33">
        <f t="shared" si="32"/>
        <v>0.4586621886962931</v>
      </c>
      <c r="AB33">
        <f t="shared" si="33"/>
        <v>0.91732437739258621</v>
      </c>
    </row>
    <row r="34" spans="4:31" x14ac:dyDescent="0.3">
      <c r="V34">
        <f>_xlfn.STDEV.P(V28:V33)</f>
        <v>0.73432623363190064</v>
      </c>
      <c r="AA34" s="2" t="s">
        <v>39</v>
      </c>
      <c r="AB34" s="2">
        <f>SUM(AB28:AB33)</f>
        <v>4.3308359108476973</v>
      </c>
      <c r="AC34" t="s">
        <v>43</v>
      </c>
      <c r="AD34">
        <v>2.0375000000000001</v>
      </c>
    </row>
    <row r="35" spans="4:31" x14ac:dyDescent="0.3">
      <c r="AA35" s="2" t="s">
        <v>40</v>
      </c>
      <c r="AB35" s="2">
        <f>X27/0.02</f>
        <v>1.9525000000000001</v>
      </c>
      <c r="AC35" t="s">
        <v>41</v>
      </c>
      <c r="AD35">
        <f>2.0375-1.84</f>
        <v>0.19750000000000001</v>
      </c>
    </row>
    <row r="36" spans="4:31" x14ac:dyDescent="0.3">
      <c r="E36" s="2" t="s">
        <v>11</v>
      </c>
    </row>
    <row r="37" spans="4:31" x14ac:dyDescent="0.3">
      <c r="E37" t="s">
        <v>3</v>
      </c>
      <c r="F37" t="s">
        <v>2</v>
      </c>
      <c r="K37" t="s">
        <v>6</v>
      </c>
      <c r="L37" t="s">
        <v>7</v>
      </c>
      <c r="M37" t="s">
        <v>5</v>
      </c>
      <c r="N37" t="s">
        <v>4</v>
      </c>
      <c r="O37" t="s">
        <v>12</v>
      </c>
      <c r="P37" t="s">
        <v>24</v>
      </c>
      <c r="W37" s="2" t="s">
        <v>16</v>
      </c>
      <c r="X37" s="2">
        <v>3.3250000000000002E-2</v>
      </c>
      <c r="Y37">
        <f>$X$37*Q38+$X$38</f>
        <v>-0.66525266428571417</v>
      </c>
      <c r="Z37">
        <f>Y37-P38</f>
        <v>-0.66525266428571417</v>
      </c>
      <c r="AA37">
        <f>Z37^2</f>
        <v>0.44256110733924114</v>
      </c>
      <c r="AB37">
        <f>AA37/0.5</f>
        <v>0.88512221467848229</v>
      </c>
      <c r="AD37" t="s">
        <v>42</v>
      </c>
      <c r="AE37">
        <f>2.47-AB44</f>
        <v>-0.99752273720799378</v>
      </c>
    </row>
    <row r="38" spans="4:31" x14ac:dyDescent="0.3">
      <c r="D38">
        <v>1</v>
      </c>
      <c r="E38">
        <v>-1.6</v>
      </c>
      <c r="F38">
        <v>-1.6</v>
      </c>
      <c r="G38">
        <f t="shared" si="9"/>
        <v>-4.0000000000000036E-2</v>
      </c>
      <c r="H38">
        <f t="shared" si="10"/>
        <v>-4.0000000000000036E-2</v>
      </c>
      <c r="I38">
        <f t="shared" si="11"/>
        <v>4.0000000000000036E-2</v>
      </c>
      <c r="J38">
        <f t="shared" si="0"/>
        <v>4.0000000000000036E-2</v>
      </c>
      <c r="K38">
        <f t="shared" ref="K38:L43" si="35">E38+1.6</f>
        <v>0</v>
      </c>
      <c r="L38">
        <f t="shared" si="35"/>
        <v>0</v>
      </c>
      <c r="M38">
        <v>1</v>
      </c>
      <c r="N38">
        <v>1</v>
      </c>
      <c r="O38">
        <v>0</v>
      </c>
      <c r="P38">
        <f t="shared" ref="P38:P43" si="36">O38/2</f>
        <v>0</v>
      </c>
      <c r="Q38">
        <f t="shared" si="27"/>
        <v>-1.5592000000000006</v>
      </c>
      <c r="R38">
        <f t="shared" si="13"/>
        <v>-0.70000000000000007</v>
      </c>
      <c r="S38">
        <f t="shared" si="28"/>
        <v>0.85920000000000052</v>
      </c>
      <c r="T38">
        <f t="shared" ref="T38:T43" si="37">18.98*(G38-J38)-0.8-0.1</f>
        <v>-2.4184000000000014</v>
      </c>
      <c r="U38">
        <f t="shared" si="14"/>
        <v>1.7184000000000013</v>
      </c>
      <c r="V38">
        <f t="shared" si="34"/>
        <v>0</v>
      </c>
      <c r="W38" s="2" t="s">
        <v>17</v>
      </c>
      <c r="X38" s="2">
        <v>-0.61340926428571418</v>
      </c>
      <c r="Y38">
        <f t="shared" ref="Y38:Y43" si="38">$X$37*Q39+$X$38</f>
        <v>0.66002583571428619</v>
      </c>
      <c r="Z38">
        <f t="shared" ref="Z38:Z43" si="39">Y38-P39</f>
        <v>0.16002583571428619</v>
      </c>
      <c r="AA38">
        <f t="shared" ref="AA38:AA43" si="40">Z38^2</f>
        <v>2.5608268096055715E-2</v>
      </c>
      <c r="AB38">
        <f t="shared" ref="AB38:AB43" si="41">AA38/0.5</f>
        <v>5.1216536192111431E-2</v>
      </c>
    </row>
    <row r="39" spans="4:31" x14ac:dyDescent="0.3">
      <c r="D39">
        <v>2</v>
      </c>
      <c r="E39">
        <v>0.5</v>
      </c>
      <c r="F39">
        <v>-3.47</v>
      </c>
      <c r="G39">
        <f t="shared" si="9"/>
        <v>2.06</v>
      </c>
      <c r="H39">
        <f t="shared" si="10"/>
        <v>-1.9100000000000001</v>
      </c>
      <c r="I39">
        <f t="shared" si="11"/>
        <v>1.9100000000000001</v>
      </c>
      <c r="J39">
        <f t="shared" si="0"/>
        <v>7.4999999999999956E-2</v>
      </c>
      <c r="K39">
        <f t="shared" si="35"/>
        <v>2.1</v>
      </c>
      <c r="L39">
        <f t="shared" si="35"/>
        <v>-1.87</v>
      </c>
      <c r="M39">
        <v>1</v>
      </c>
      <c r="N39">
        <v>1</v>
      </c>
      <c r="O39">
        <v>1</v>
      </c>
      <c r="P39">
        <f t="shared" si="36"/>
        <v>0.5</v>
      </c>
      <c r="Q39">
        <f t="shared" si="27"/>
        <v>38.298800000000007</v>
      </c>
      <c r="R39">
        <f t="shared" si="13"/>
        <v>39.822299999999998</v>
      </c>
      <c r="S39">
        <f t="shared" si="28"/>
        <v>1.5234999999999914</v>
      </c>
      <c r="T39">
        <f t="shared" si="37"/>
        <v>36.775300000000001</v>
      </c>
      <c r="U39">
        <f t="shared" si="14"/>
        <v>3.046999999999997</v>
      </c>
      <c r="V39">
        <f t="shared" si="34"/>
        <v>0.6527619664323685</v>
      </c>
      <c r="Y39">
        <f t="shared" si="38"/>
        <v>2.5217265857142861</v>
      </c>
      <c r="Z39">
        <f t="shared" si="39"/>
        <v>0.5217265857142861</v>
      </c>
      <c r="AA39">
        <f t="shared" si="40"/>
        <v>0.27219863024108631</v>
      </c>
      <c r="AB39">
        <f t="shared" si="41"/>
        <v>0.54439726048217263</v>
      </c>
    </row>
    <row r="40" spans="4:31" x14ac:dyDescent="0.3">
      <c r="D40">
        <v>3</v>
      </c>
      <c r="E40">
        <v>3.45</v>
      </c>
      <c r="F40">
        <v>-5.67</v>
      </c>
      <c r="G40">
        <f t="shared" si="9"/>
        <v>5.01</v>
      </c>
      <c r="H40">
        <f t="shared" si="10"/>
        <v>-4.1099999999999994</v>
      </c>
      <c r="I40">
        <f t="shared" si="11"/>
        <v>4.1099999999999994</v>
      </c>
      <c r="J40">
        <f t="shared" si="0"/>
        <v>0.45000000000000018</v>
      </c>
      <c r="K40">
        <f t="shared" si="35"/>
        <v>5.0500000000000007</v>
      </c>
      <c r="L40">
        <f t="shared" si="35"/>
        <v>-4.07</v>
      </c>
      <c r="M40">
        <v>1</v>
      </c>
      <c r="N40">
        <v>1</v>
      </c>
      <c r="O40">
        <v>4</v>
      </c>
      <c r="P40">
        <f t="shared" si="36"/>
        <v>2</v>
      </c>
      <c r="Q40">
        <f t="shared" si="27"/>
        <v>94.2898</v>
      </c>
      <c r="R40">
        <f t="shared" si="13"/>
        <v>102.9308</v>
      </c>
      <c r="S40">
        <f t="shared" si="28"/>
        <v>8.6410000000000053</v>
      </c>
      <c r="T40">
        <f t="shared" si="37"/>
        <v>85.648800000000008</v>
      </c>
      <c r="U40">
        <f t="shared" si="14"/>
        <v>17.281999999999996</v>
      </c>
      <c r="V40">
        <f t="shared" si="34"/>
        <v>1.0605601030015972</v>
      </c>
      <c r="Y40">
        <f t="shared" si="38"/>
        <v>3.7397206357142849</v>
      </c>
      <c r="Z40">
        <f t="shared" si="39"/>
        <v>0.73972063571428492</v>
      </c>
      <c r="AA40">
        <f t="shared" si="40"/>
        <v>0.54718661890154585</v>
      </c>
      <c r="AB40">
        <f t="shared" si="41"/>
        <v>1.0943732378030917</v>
      </c>
    </row>
    <row r="41" spans="4:31" x14ac:dyDescent="0.3">
      <c r="D41">
        <v>4</v>
      </c>
      <c r="E41">
        <v>5.38</v>
      </c>
      <c r="F41">
        <v>-8.39</v>
      </c>
      <c r="G41">
        <f t="shared" si="9"/>
        <v>6.9399999999999995</v>
      </c>
      <c r="H41">
        <f t="shared" si="10"/>
        <v>-6.83</v>
      </c>
      <c r="I41">
        <f t="shared" si="11"/>
        <v>6.83</v>
      </c>
      <c r="J41">
        <f t="shared" si="0"/>
        <v>5.4999999999999716E-2</v>
      </c>
      <c r="K41">
        <f t="shared" si="35"/>
        <v>6.98</v>
      </c>
      <c r="L41">
        <f t="shared" si="35"/>
        <v>-6.7900000000000009</v>
      </c>
      <c r="M41">
        <v>1</v>
      </c>
      <c r="N41">
        <v>1</v>
      </c>
      <c r="O41">
        <v>6</v>
      </c>
      <c r="P41">
        <f t="shared" si="36"/>
        <v>3</v>
      </c>
      <c r="Q41">
        <f t="shared" si="27"/>
        <v>130.92119999999997</v>
      </c>
      <c r="R41">
        <f t="shared" si="13"/>
        <v>132.06509999999997</v>
      </c>
      <c r="S41">
        <f t="shared" si="28"/>
        <v>1.1439000000000021</v>
      </c>
      <c r="T41">
        <f t="shared" si="37"/>
        <v>129.7773</v>
      </c>
      <c r="U41">
        <f t="shared" si="14"/>
        <v>2.2877999999999759</v>
      </c>
      <c r="V41">
        <f t="shared" si="34"/>
        <v>1.1457273535531298</v>
      </c>
      <c r="Y41">
        <f t="shared" si="38"/>
        <v>4.7557674857142871</v>
      </c>
      <c r="Z41">
        <f t="shared" si="39"/>
        <v>-0.24423251428571291</v>
      </c>
      <c r="AA41">
        <f t="shared" si="40"/>
        <v>5.964952103432096E-2</v>
      </c>
      <c r="AB41">
        <f t="shared" si="41"/>
        <v>0.11929904206864192</v>
      </c>
    </row>
    <row r="42" spans="4:31" x14ac:dyDescent="0.3">
      <c r="D42">
        <v>5</v>
      </c>
      <c r="E42">
        <v>6.99</v>
      </c>
      <c r="F42">
        <v>-10.01</v>
      </c>
      <c r="G42">
        <f t="shared" si="9"/>
        <v>8.5500000000000007</v>
      </c>
      <c r="H42">
        <f t="shared" si="10"/>
        <v>-8.4499999999999993</v>
      </c>
      <c r="I42">
        <f t="shared" si="11"/>
        <v>8.4499999999999993</v>
      </c>
      <c r="J42">
        <f t="shared" si="0"/>
        <v>5.0000000000000711E-2</v>
      </c>
      <c r="K42">
        <f t="shared" si="35"/>
        <v>8.59</v>
      </c>
      <c r="L42">
        <f t="shared" si="35"/>
        <v>-8.41</v>
      </c>
      <c r="M42">
        <v>1</v>
      </c>
      <c r="N42">
        <v>1</v>
      </c>
      <c r="O42">
        <v>10</v>
      </c>
      <c r="P42">
        <f t="shared" si="36"/>
        <v>5</v>
      </c>
      <c r="Q42">
        <f t="shared" si="27"/>
        <v>161.47900000000001</v>
      </c>
      <c r="R42">
        <f t="shared" si="13"/>
        <v>162.52800000000002</v>
      </c>
      <c r="S42">
        <f t="shared" si="28"/>
        <v>1.0490000000000066</v>
      </c>
      <c r="T42">
        <f t="shared" si="37"/>
        <v>160.43</v>
      </c>
      <c r="U42">
        <f t="shared" si="14"/>
        <v>2.0980000000000132</v>
      </c>
      <c r="V42">
        <f t="shared" si="34"/>
        <v>1.5481889285913337</v>
      </c>
      <c r="Y42">
        <f t="shared" si="38"/>
        <v>5.6014213857142865</v>
      </c>
      <c r="Z42">
        <f t="shared" si="39"/>
        <v>0.10142138571428649</v>
      </c>
      <c r="AA42">
        <f t="shared" si="40"/>
        <v>1.0286297480206076E-2</v>
      </c>
      <c r="AB42">
        <f t="shared" si="41"/>
        <v>2.0572594960412152E-2</v>
      </c>
    </row>
    <row r="43" spans="4:31" x14ac:dyDescent="0.3">
      <c r="D43">
        <v>6</v>
      </c>
      <c r="E43">
        <v>8.33</v>
      </c>
      <c r="F43">
        <v>-11.34</v>
      </c>
      <c r="G43">
        <f t="shared" si="9"/>
        <v>9.89</v>
      </c>
      <c r="H43">
        <f t="shared" si="10"/>
        <v>-9.7799999999999994</v>
      </c>
      <c r="I43">
        <f t="shared" si="11"/>
        <v>9.7799999999999994</v>
      </c>
      <c r="J43">
        <f t="shared" si="0"/>
        <v>5.5000000000000604E-2</v>
      </c>
      <c r="K43">
        <f t="shared" si="35"/>
        <v>9.93</v>
      </c>
      <c r="L43">
        <f t="shared" si="35"/>
        <v>-9.74</v>
      </c>
      <c r="M43">
        <v>1</v>
      </c>
      <c r="N43">
        <v>1</v>
      </c>
      <c r="O43">
        <v>11</v>
      </c>
      <c r="P43">
        <f t="shared" si="36"/>
        <v>5.5</v>
      </c>
      <c r="Q43">
        <f t="shared" si="27"/>
        <v>186.91220000000001</v>
      </c>
      <c r="R43">
        <f>18.98*(G43+J43)-0.8+0.1</f>
        <v>188.05609999999999</v>
      </c>
      <c r="S43">
        <f t="shared" si="28"/>
        <v>1.1438999999999737</v>
      </c>
      <c r="T43">
        <f t="shared" si="37"/>
        <v>185.76830000000001</v>
      </c>
      <c r="U43">
        <f t="shared" si="14"/>
        <v>2.2877999999999759</v>
      </c>
      <c r="V43">
        <f t="shared" si="34"/>
        <v>1.4712790283352288</v>
      </c>
      <c r="Y43">
        <f t="shared" si="38"/>
        <v>-0.61340926428571418</v>
      </c>
      <c r="Z43">
        <f t="shared" si="39"/>
        <v>-0.61340926428571418</v>
      </c>
      <c r="AA43">
        <f t="shared" si="40"/>
        <v>0.37627092551154118</v>
      </c>
      <c r="AB43">
        <f t="shared" si="41"/>
        <v>0.75254185102308235</v>
      </c>
      <c r="AC43" t="s">
        <v>40</v>
      </c>
      <c r="AD43">
        <v>1.47</v>
      </c>
    </row>
    <row r="44" spans="4:31" x14ac:dyDescent="0.3">
      <c r="V44">
        <f>_xlfn.STDEV.P(V38:V43)</f>
        <v>0.52688290799442172</v>
      </c>
      <c r="AA44" s="2" t="s">
        <v>37</v>
      </c>
      <c r="AB44" s="2">
        <f>SUM(AB37:AB43)</f>
        <v>3.467522737207994</v>
      </c>
      <c r="AC44" t="s">
        <v>43</v>
      </c>
      <c r="AD44">
        <v>1.6625000000000001</v>
      </c>
    </row>
    <row r="45" spans="4:31" x14ac:dyDescent="0.3">
      <c r="AA45" s="2" t="s">
        <v>40</v>
      </c>
      <c r="AB45" s="2">
        <f>X37/0.02</f>
        <v>1.6625000000000001</v>
      </c>
      <c r="AC45" t="s">
        <v>41</v>
      </c>
      <c r="AD45">
        <f>1.6625-1.38</f>
        <v>0.2825000000000002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DBBF-DB50-4809-8ADA-D12B28E022C2}">
  <dimension ref="B2:AI41"/>
  <sheetViews>
    <sheetView workbookViewId="0">
      <selection activeCell="P50" sqref="P50"/>
    </sheetView>
  </sheetViews>
  <sheetFormatPr defaultRowHeight="14.4" x14ac:dyDescent="0.3"/>
  <cols>
    <col min="3" max="3" width="13.21875" customWidth="1"/>
    <col min="8" max="8" width="12.109375" customWidth="1"/>
    <col min="9" max="9" width="10.44140625" customWidth="1"/>
    <col min="19" max="19" width="11.88671875" customWidth="1"/>
    <col min="20" max="20" width="12" bestFit="1" customWidth="1"/>
    <col min="25" max="25" width="18" customWidth="1"/>
  </cols>
  <sheetData>
    <row r="2" spans="2:27" x14ac:dyDescent="0.3">
      <c r="B2" t="s">
        <v>44</v>
      </c>
      <c r="C2" t="s">
        <v>40</v>
      </c>
      <c r="D2" t="s">
        <v>50</v>
      </c>
      <c r="E2" t="s">
        <v>41</v>
      </c>
      <c r="G2" t="s">
        <v>52</v>
      </c>
      <c r="H2" t="s">
        <v>53</v>
      </c>
      <c r="I2" t="s">
        <v>54</v>
      </c>
      <c r="K2" s="6" t="s">
        <v>45</v>
      </c>
      <c r="L2" s="6" t="s">
        <v>46</v>
      </c>
      <c r="N2" t="s">
        <v>16</v>
      </c>
      <c r="O2">
        <v>-1.7122700886453155</v>
      </c>
      <c r="Q2" t="s">
        <v>51</v>
      </c>
      <c r="R2" t="s">
        <v>18</v>
      </c>
      <c r="S2" t="s">
        <v>47</v>
      </c>
      <c r="T2" t="s">
        <v>48</v>
      </c>
      <c r="W2" t="s">
        <v>56</v>
      </c>
      <c r="X2" t="s">
        <v>57</v>
      </c>
      <c r="Y2" t="s">
        <v>40</v>
      </c>
    </row>
    <row r="3" spans="2:27" x14ac:dyDescent="0.3">
      <c r="B3" t="s">
        <v>8</v>
      </c>
      <c r="C3">
        <v>1.1100000000000001</v>
      </c>
      <c r="D3">
        <f>LN(C3)</f>
        <v>0.10436001532424286</v>
      </c>
      <c r="E3">
        <v>0.09</v>
      </c>
      <c r="F3">
        <f>E3/2</f>
        <v>4.4999999999999998E-2</v>
      </c>
      <c r="G3">
        <f>LN(C3+F3)</f>
        <v>0.14410034397375687</v>
      </c>
      <c r="H3">
        <f>LN(C3-F3)</f>
        <v>6.2974799161388595E-2</v>
      </c>
      <c r="I3">
        <f>G3-H3</f>
        <v>8.1125544812368278E-2</v>
      </c>
      <c r="K3">
        <v>570</v>
      </c>
      <c r="L3">
        <f>LN(K3)</f>
        <v>6.3456363608285962</v>
      </c>
      <c r="N3" t="s">
        <v>17</v>
      </c>
      <c r="O3">
        <v>10.986792476542728</v>
      </c>
      <c r="Q3">
        <f>$O$2*L3+$O$3</f>
        <v>0.12134914247581108</v>
      </c>
      <c r="R3">
        <f>Q3-D3</f>
        <v>1.6989127151568223E-2</v>
      </c>
      <c r="S3">
        <f>R3^2</f>
        <v>2.8863044137215259E-4</v>
      </c>
      <c r="T3">
        <f>S3/I3</f>
        <v>3.557824382439752E-3</v>
      </c>
      <c r="W3">
        <v>400</v>
      </c>
      <c r="X3">
        <f>LN(W3)</f>
        <v>5.9914645471079817</v>
      </c>
      <c r="Y3">
        <f>(1.6E-19)*0.000000000000018/(2*9.11E-31*(300000000)^2*(W3*0.000000001)^2)</f>
        <v>1.0976948408342478E-7</v>
      </c>
      <c r="Z3">
        <f>360*Y3*1000/2*PI()</f>
        <v>6.2073180861269228E-2</v>
      </c>
      <c r="AA3">
        <f>(Z3/0.02)*0.725</f>
        <v>2.2501528062210094</v>
      </c>
    </row>
    <row r="4" spans="2:27" x14ac:dyDescent="0.3">
      <c r="B4" t="s">
        <v>9</v>
      </c>
      <c r="C4">
        <v>1.8</v>
      </c>
      <c r="D4">
        <f>LN(C4)</f>
        <v>0.58778666490211906</v>
      </c>
      <c r="E4">
        <v>0.2</v>
      </c>
      <c r="F4">
        <f>E4/2</f>
        <v>0.1</v>
      </c>
      <c r="G4">
        <f>LN(C4+F4)</f>
        <v>0.64185388617239481</v>
      </c>
      <c r="H4">
        <f>LN(C4-F4)</f>
        <v>0.53062825106217038</v>
      </c>
      <c r="I4">
        <f>G4-H4</f>
        <v>0.11122563511022443</v>
      </c>
      <c r="K4">
        <v>450</v>
      </c>
      <c r="L4">
        <f>LN(K4)</f>
        <v>6.1092475827643655</v>
      </c>
      <c r="Q4">
        <f>$O$2*L4+$O$3</f>
        <v>0.52611057644660875</v>
      </c>
      <c r="R4">
        <f>Q4-D4</f>
        <v>-6.1676088455510314E-2</v>
      </c>
      <c r="S4">
        <f>R4^2</f>
        <v>3.8039398871719328E-3</v>
      </c>
      <c r="T4">
        <f>S4/I4</f>
        <v>3.4200208282939758E-2</v>
      </c>
      <c r="W4">
        <v>410</v>
      </c>
      <c r="X4">
        <f t="shared" ref="X4:X23" si="0">LN(W4)</f>
        <v>6.0161571596983539</v>
      </c>
      <c r="Y4">
        <f t="shared" ref="Y4:Y23" si="1">(1.6E-19)*0.000000000000018/(2*9.11E-31*(300000000)^2*(W4*0.000000001)^2)</f>
        <v>1.0448017521325381E-7</v>
      </c>
      <c r="Z4">
        <f t="shared" ref="Z4:Z23" si="2">360*Y4*1000/2*PI()</f>
        <v>5.9082147161231863E-2</v>
      </c>
      <c r="AA4">
        <f t="shared" ref="AA4:AA23" si="3">(Z4/0.02)*0.725</f>
        <v>2.1417278345946547</v>
      </c>
    </row>
    <row r="5" spans="2:27" x14ac:dyDescent="0.3">
      <c r="B5" t="s">
        <v>10</v>
      </c>
      <c r="C5">
        <v>1.84</v>
      </c>
      <c r="D5">
        <f>LN(C5)</f>
        <v>0.60976557162089429</v>
      </c>
      <c r="E5">
        <v>0.2</v>
      </c>
      <c r="F5">
        <f>E5/2</f>
        <v>0.1</v>
      </c>
      <c r="G5">
        <f>LN(C5+F5)</f>
        <v>0.66268797307523686</v>
      </c>
      <c r="H5">
        <f>LN(C5-F5)</f>
        <v>0.55388511322643763</v>
      </c>
      <c r="I5">
        <f>G5-H5</f>
        <v>0.10880285984879923</v>
      </c>
      <c r="K5">
        <v>440</v>
      </c>
      <c r="L5">
        <f>LN(K5)</f>
        <v>6.0867747269123065</v>
      </c>
      <c r="Q5">
        <f>$O$2*L5+$O$3</f>
        <v>0.56459017532852762</v>
      </c>
      <c r="R5">
        <f>Q5-D5</f>
        <v>-4.5175396292366665E-2</v>
      </c>
      <c r="S5">
        <f>R5^2</f>
        <v>2.040816430172376E-3</v>
      </c>
      <c r="T5">
        <f>S5/I5</f>
        <v>1.8757010918724476E-2</v>
      </c>
      <c r="W5">
        <v>420</v>
      </c>
      <c r="X5">
        <f t="shared" si="0"/>
        <v>6.0402547112774139</v>
      </c>
      <c r="Y5">
        <f t="shared" si="1"/>
        <v>9.9564157898798007E-8</v>
      </c>
      <c r="Z5">
        <f t="shared" si="2"/>
        <v>5.6302204862829226E-2</v>
      </c>
      <c r="AA5">
        <f t="shared" si="3"/>
        <v>2.0409549262775593</v>
      </c>
    </row>
    <row r="6" spans="2:27" x14ac:dyDescent="0.3">
      <c r="B6" t="s">
        <v>11</v>
      </c>
      <c r="C6">
        <v>1.47</v>
      </c>
      <c r="D6">
        <f>LN(C6)</f>
        <v>0.38526240079064489</v>
      </c>
      <c r="E6">
        <v>0.28000000000000003</v>
      </c>
      <c r="F6">
        <f>E6/2</f>
        <v>0.14000000000000001</v>
      </c>
      <c r="G6">
        <f>LN(C6+F6)</f>
        <v>0.47623417899637155</v>
      </c>
      <c r="H6">
        <f>LN(C6-F6)</f>
        <v>0.28517894223366247</v>
      </c>
      <c r="I6">
        <f>G6-H6</f>
        <v>0.19105523676270908</v>
      </c>
      <c r="K6">
        <v>515</v>
      </c>
      <c r="L6">
        <f>LN(K6)</f>
        <v>6.2441669006637364</v>
      </c>
      <c r="Q6">
        <f>$O$2*L6+$O$3</f>
        <v>0.29509226402708677</v>
      </c>
      <c r="R6">
        <f>Q6-D6</f>
        <v>-9.0170136763558117E-2</v>
      </c>
      <c r="S6">
        <f>R6^2</f>
        <v>8.1306535639587754E-3</v>
      </c>
      <c r="T6">
        <f>S6/I6</f>
        <v>4.2556559567414845E-2</v>
      </c>
      <c r="W6">
        <v>430</v>
      </c>
      <c r="X6">
        <f t="shared" si="0"/>
        <v>6.0637852086876078</v>
      </c>
      <c r="Y6">
        <f t="shared" si="1"/>
        <v>9.498711440426158E-8</v>
      </c>
      <c r="Z6">
        <f t="shared" si="2"/>
        <v>5.3713947743661845E-2</v>
      </c>
      <c r="AA6">
        <f t="shared" si="3"/>
        <v>1.9471306057077418</v>
      </c>
    </row>
    <row r="7" spans="2:27" x14ac:dyDescent="0.3">
      <c r="S7" s="2" t="s">
        <v>49</v>
      </c>
      <c r="T7" s="2">
        <f>SUM(T3:T6)</f>
        <v>9.9071603151518833E-2</v>
      </c>
      <c r="W7">
        <v>440</v>
      </c>
      <c r="X7">
        <f t="shared" si="0"/>
        <v>6.0867747269123065</v>
      </c>
      <c r="Y7">
        <f t="shared" si="1"/>
        <v>9.0718581887127922E-8</v>
      </c>
      <c r="Z7">
        <f t="shared" si="2"/>
        <v>5.130014947212333E-2</v>
      </c>
      <c r="AA7">
        <f t="shared" si="3"/>
        <v>1.8596304183644705</v>
      </c>
    </row>
    <row r="8" spans="2:27" x14ac:dyDescent="0.3">
      <c r="W8">
        <v>450</v>
      </c>
      <c r="X8">
        <f t="shared" si="0"/>
        <v>6.1092475827643655</v>
      </c>
      <c r="Y8">
        <f t="shared" si="1"/>
        <v>8.6731444214064026E-8</v>
      </c>
      <c r="Z8">
        <f t="shared" si="2"/>
        <v>4.9045476236064575E-2</v>
      </c>
      <c r="AA8">
        <f t="shared" si="3"/>
        <v>1.7778985135573406</v>
      </c>
    </row>
    <row r="9" spans="2:27" x14ac:dyDescent="0.3">
      <c r="S9" t="s">
        <v>55</v>
      </c>
      <c r="T9">
        <f>T7-0.87</f>
        <v>-0.77092839684848113</v>
      </c>
      <c r="W9">
        <v>460</v>
      </c>
      <c r="X9">
        <f t="shared" si="0"/>
        <v>6.131226489483141</v>
      </c>
      <c r="Y9">
        <f t="shared" si="1"/>
        <v>8.3001500252117031E-8</v>
      </c>
      <c r="Z9">
        <f t="shared" si="2"/>
        <v>4.6936242617216802E-2</v>
      </c>
      <c r="AA9">
        <f t="shared" si="3"/>
        <v>1.7014387948741088</v>
      </c>
    </row>
    <row r="10" spans="2:27" x14ac:dyDescent="0.3">
      <c r="B10" t="s">
        <v>58</v>
      </c>
      <c r="W10">
        <v>470</v>
      </c>
      <c r="X10">
        <f t="shared" si="0"/>
        <v>6.1527326947041043</v>
      </c>
      <c r="Y10">
        <f t="shared" si="1"/>
        <v>7.9507095759836873E-8</v>
      </c>
      <c r="Z10">
        <f t="shared" si="2"/>
        <v>4.4960203430525467E-2</v>
      </c>
      <c r="AA10">
        <f t="shared" si="3"/>
        <v>1.6298073743565482</v>
      </c>
    </row>
    <row r="11" spans="2:27" x14ac:dyDescent="0.3">
      <c r="B11" s="6" t="s">
        <v>45</v>
      </c>
      <c r="C11" t="s">
        <v>59</v>
      </c>
      <c r="D11" t="s">
        <v>60</v>
      </c>
      <c r="W11">
        <v>480</v>
      </c>
      <c r="X11">
        <f t="shared" si="0"/>
        <v>6.1737861039019366</v>
      </c>
      <c r="Y11">
        <f t="shared" si="1"/>
        <v>7.6228808391267208E-8</v>
      </c>
      <c r="Z11">
        <f t="shared" si="2"/>
        <v>4.3106375598103625E-2</v>
      </c>
      <c r="AA11">
        <f t="shared" si="3"/>
        <v>1.5626061154312563</v>
      </c>
    </row>
    <row r="12" spans="2:27" x14ac:dyDescent="0.3">
      <c r="B12">
        <v>454.5</v>
      </c>
      <c r="C12">
        <v>7.0800000000000002E-2</v>
      </c>
      <c r="D12">
        <f>C12*0.01667*10^3</f>
        <v>1.1802360000000001</v>
      </c>
      <c r="W12">
        <v>490</v>
      </c>
      <c r="X12">
        <f t="shared" si="0"/>
        <v>6.1944053911046719</v>
      </c>
      <c r="Y12">
        <f t="shared" si="1"/>
        <v>7.3149177231769942E-8</v>
      </c>
      <c r="Z12">
        <f t="shared" si="2"/>
        <v>4.1364885205343913E-2</v>
      </c>
      <c r="AA12">
        <f t="shared" si="3"/>
        <v>1.499477088693717</v>
      </c>
    </row>
    <row r="13" spans="2:27" x14ac:dyDescent="0.3">
      <c r="B13">
        <v>465.8</v>
      </c>
      <c r="C13">
        <v>6.8099999999999994E-2</v>
      </c>
      <c r="D13">
        <f t="shared" ref="D13:D18" si="4">C13*0.01667*10^3</f>
        <v>1.135227</v>
      </c>
      <c r="W13">
        <v>500</v>
      </c>
      <c r="X13">
        <f t="shared" si="0"/>
        <v>6.2146080984221914</v>
      </c>
      <c r="Y13">
        <f t="shared" si="1"/>
        <v>7.0252469813391849E-8</v>
      </c>
      <c r="Z13">
        <f t="shared" si="2"/>
        <v>3.9726835751212296E-2</v>
      </c>
      <c r="AA13">
        <f t="shared" si="3"/>
        <v>1.4400977959814458</v>
      </c>
    </row>
    <row r="14" spans="2:27" x14ac:dyDescent="0.3">
      <c r="B14">
        <v>476.5</v>
      </c>
      <c r="C14">
        <v>6.2799999999999995E-2</v>
      </c>
      <c r="D14">
        <f t="shared" si="4"/>
        <v>1.0468759999999999</v>
      </c>
      <c r="W14">
        <v>510</v>
      </c>
      <c r="X14">
        <f t="shared" si="0"/>
        <v>6.2344107257183712</v>
      </c>
      <c r="Y14">
        <f t="shared" si="1"/>
        <v>6.7524480789496233E-8</v>
      </c>
      <c r="Z14">
        <f t="shared" si="2"/>
        <v>3.8184194301434368E-2</v>
      </c>
      <c r="AA14">
        <f t="shared" si="3"/>
        <v>1.3841770434269958</v>
      </c>
    </row>
    <row r="15" spans="2:27" x14ac:dyDescent="0.3">
      <c r="B15">
        <v>488</v>
      </c>
      <c r="C15">
        <v>5.7700000000000001E-2</v>
      </c>
      <c r="D15">
        <f t="shared" si="4"/>
        <v>0.96185900000000002</v>
      </c>
      <c r="W15">
        <v>520</v>
      </c>
      <c r="X15">
        <f t="shared" si="0"/>
        <v>6.253828811575473</v>
      </c>
      <c r="Y15">
        <f t="shared" si="1"/>
        <v>6.4952357445813487E-8</v>
      </c>
      <c r="Z15">
        <f t="shared" si="2"/>
        <v>3.6729692817319075E-2</v>
      </c>
      <c r="AA15">
        <f t="shared" si="3"/>
        <v>1.3314513646278163</v>
      </c>
    </row>
    <row r="16" spans="2:27" x14ac:dyDescent="0.3">
      <c r="B16">
        <v>501.7</v>
      </c>
      <c r="C16">
        <v>5.6099999999999997E-2</v>
      </c>
      <c r="D16">
        <f t="shared" si="4"/>
        <v>0.93518699999999999</v>
      </c>
      <c r="W16">
        <v>530</v>
      </c>
      <c r="X16">
        <f t="shared" si="0"/>
        <v>6.2728770065461674</v>
      </c>
      <c r="Y16">
        <f t="shared" si="1"/>
        <v>6.2524448036126625E-8</v>
      </c>
      <c r="Z16">
        <f t="shared" si="2"/>
        <v>3.5356742391609394E-2</v>
      </c>
      <c r="AA16">
        <f t="shared" si="3"/>
        <v>1.2816819116958404</v>
      </c>
    </row>
    <row r="17" spans="2:35" x14ac:dyDescent="0.3">
      <c r="B17">
        <v>514.5</v>
      </c>
      <c r="C17">
        <v>5.3400000000000003E-2</v>
      </c>
      <c r="D17">
        <f t="shared" si="4"/>
        <v>0.89017800000000002</v>
      </c>
      <c r="W17">
        <v>540</v>
      </c>
      <c r="X17">
        <f t="shared" si="0"/>
        <v>6.2915691395583204</v>
      </c>
      <c r="Y17">
        <f t="shared" si="1"/>
        <v>6.0230169593100022E-8</v>
      </c>
      <c r="Z17">
        <f t="shared" si="2"/>
        <v>3.4059358497267066E-2</v>
      </c>
      <c r="AA17">
        <f t="shared" si="3"/>
        <v>1.2346517455259312</v>
      </c>
    </row>
    <row r="18" spans="2:35" x14ac:dyDescent="0.3">
      <c r="B18">
        <v>632.79999999999995</v>
      </c>
      <c r="C18">
        <v>3.4299999999999997E-2</v>
      </c>
      <c r="D18">
        <f t="shared" si="4"/>
        <v>0.57178099999999998</v>
      </c>
      <c r="W18">
        <v>550</v>
      </c>
      <c r="X18">
        <f t="shared" si="0"/>
        <v>6.3099182782265162</v>
      </c>
      <c r="Y18">
        <f t="shared" si="1"/>
        <v>5.805989240776187E-8</v>
      </c>
      <c r="Z18">
        <f t="shared" si="2"/>
        <v>3.283209566215893E-2</v>
      </c>
      <c r="AA18">
        <f t="shared" si="3"/>
        <v>1.1901634677532613</v>
      </c>
    </row>
    <row r="19" spans="2:35" x14ac:dyDescent="0.3">
      <c r="W19">
        <v>560</v>
      </c>
      <c r="X19">
        <f t="shared" si="0"/>
        <v>6.3279367837291947</v>
      </c>
      <c r="Y19">
        <f t="shared" si="1"/>
        <v>5.6004838818073869E-8</v>
      </c>
      <c r="Z19">
        <f t="shared" si="2"/>
        <v>3.1669990235341443E-2</v>
      </c>
      <c r="AA19">
        <f t="shared" si="3"/>
        <v>1.1480371460311272</v>
      </c>
    </row>
    <row r="20" spans="2:35" x14ac:dyDescent="0.3">
      <c r="W20">
        <v>570</v>
      </c>
      <c r="X20">
        <f t="shared" si="0"/>
        <v>6.3456363608285962</v>
      </c>
      <c r="Y20">
        <f t="shared" si="1"/>
        <v>5.4056994316244883E-8</v>
      </c>
      <c r="Z20">
        <f t="shared" si="2"/>
        <v>3.056851011943082E-2</v>
      </c>
      <c r="AA20">
        <f t="shared" si="3"/>
        <v>1.1081084918293671</v>
      </c>
    </row>
    <row r="21" spans="2:35" x14ac:dyDescent="0.3">
      <c r="W21">
        <v>580</v>
      </c>
      <c r="X21">
        <f t="shared" si="0"/>
        <v>6.363028103540465</v>
      </c>
      <c r="Y21">
        <f t="shared" si="1"/>
        <v>5.2209029290570643E-8</v>
      </c>
      <c r="Z21">
        <f t="shared" si="2"/>
        <v>2.9523510516655988E-2</v>
      </c>
      <c r="AA21">
        <f t="shared" si="3"/>
        <v>1.0702272562287796</v>
      </c>
    </row>
    <row r="22" spans="2:35" x14ac:dyDescent="0.3">
      <c r="W22">
        <v>590</v>
      </c>
      <c r="X22">
        <f t="shared" si="0"/>
        <v>6.3801225368997647</v>
      </c>
      <c r="Y22">
        <f t="shared" si="1"/>
        <v>5.0454229972272228E-8</v>
      </c>
      <c r="Z22">
        <f t="shared" si="2"/>
        <v>2.8531194880215667E-2</v>
      </c>
      <c r="AA22">
        <f t="shared" si="3"/>
        <v>1.034255814407818</v>
      </c>
    </row>
    <row r="23" spans="2:35" x14ac:dyDescent="0.3">
      <c r="W23">
        <v>600</v>
      </c>
      <c r="X23">
        <f t="shared" si="0"/>
        <v>6.3969296552161463</v>
      </c>
      <c r="Y23">
        <f t="shared" si="1"/>
        <v>4.8786437370411016E-8</v>
      </c>
      <c r="Z23">
        <f t="shared" si="2"/>
        <v>2.7588080382786324E-2</v>
      </c>
      <c r="AA23">
        <f t="shared" si="3"/>
        <v>1.0000679138760042</v>
      </c>
    </row>
    <row r="24" spans="2:35" x14ac:dyDescent="0.3">
      <c r="AF24">
        <f>$O$2*L5+$O$3</f>
        <v>0.56459017532852762</v>
      </c>
      <c r="AG24">
        <f>AF24-D5</f>
        <v>-4.5175396292366665E-2</v>
      </c>
      <c r="AH24">
        <f>AG24^2</f>
        <v>2.040816430172376E-3</v>
      </c>
      <c r="AI24">
        <f>AH24/I5</f>
        <v>1.8757010918724476E-2</v>
      </c>
    </row>
    <row r="25" spans="2:35" x14ac:dyDescent="0.3">
      <c r="AF25">
        <f>$O$2*L6+$O$3</f>
        <v>0.29509226402708677</v>
      </c>
      <c r="AG25">
        <f>AF25-D6</f>
        <v>-9.0170136763558117E-2</v>
      </c>
      <c r="AH25">
        <f>AG25^2</f>
        <v>8.1306535639587754E-3</v>
      </c>
      <c r="AI25">
        <f>AH25/I6</f>
        <v>4.2556559567414845E-2</v>
      </c>
    </row>
    <row r="38" spans="15:16" x14ac:dyDescent="0.3">
      <c r="O38" t="s">
        <v>61</v>
      </c>
      <c r="P38">
        <v>0.53</v>
      </c>
    </row>
    <row r="39" spans="15:16" x14ac:dyDescent="0.3">
      <c r="O39" t="s">
        <v>62</v>
      </c>
      <c r="P39">
        <v>0.56999999999999995</v>
      </c>
    </row>
    <row r="40" spans="15:16" x14ac:dyDescent="0.3">
      <c r="O40" t="s">
        <v>63</v>
      </c>
      <c r="P40">
        <v>0.73</v>
      </c>
    </row>
    <row r="41" spans="15:16" x14ac:dyDescent="0.3">
      <c r="O41" t="s">
        <v>64</v>
      </c>
      <c r="P41">
        <v>0.53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D614-6DDB-4269-84F9-38517D1C41C5}">
  <dimension ref="B2:J11"/>
  <sheetViews>
    <sheetView workbookViewId="0">
      <selection activeCell="J3" sqref="J3"/>
    </sheetView>
  </sheetViews>
  <sheetFormatPr defaultRowHeight="14.4" x14ac:dyDescent="0.3"/>
  <sheetData>
    <row r="2" spans="2:10" x14ac:dyDescent="0.3">
      <c r="B2">
        <v>1</v>
      </c>
      <c r="C2">
        <v>26</v>
      </c>
      <c r="D2">
        <v>2</v>
      </c>
      <c r="E2">
        <f>D2/2</f>
        <v>1</v>
      </c>
    </row>
    <row r="3" spans="2:10" x14ac:dyDescent="0.3">
      <c r="B3">
        <v>2</v>
      </c>
      <c r="C3">
        <v>52</v>
      </c>
      <c r="D3">
        <v>3</v>
      </c>
      <c r="E3">
        <f t="shared" ref="E3:E11" si="0">D3/2</f>
        <v>1.5</v>
      </c>
      <c r="I3" t="s">
        <v>40</v>
      </c>
      <c r="J3">
        <f>0.0265/0.02</f>
        <v>1.325</v>
      </c>
    </row>
    <row r="4" spans="2:10" x14ac:dyDescent="0.3">
      <c r="B4">
        <v>3</v>
      </c>
      <c r="C4">
        <v>78</v>
      </c>
      <c r="D4">
        <v>4</v>
      </c>
      <c r="E4">
        <f t="shared" si="0"/>
        <v>2</v>
      </c>
    </row>
    <row r="5" spans="2:10" x14ac:dyDescent="0.3">
      <c r="B5">
        <v>4</v>
      </c>
      <c r="C5">
        <v>107</v>
      </c>
      <c r="D5">
        <v>6</v>
      </c>
      <c r="E5">
        <f t="shared" si="0"/>
        <v>3</v>
      </c>
    </row>
    <row r="6" spans="2:10" x14ac:dyDescent="0.3">
      <c r="B6">
        <v>5</v>
      </c>
      <c r="C6">
        <v>136</v>
      </c>
      <c r="D6">
        <v>8</v>
      </c>
      <c r="E6">
        <f t="shared" si="0"/>
        <v>4</v>
      </c>
    </row>
    <row r="7" spans="2:10" x14ac:dyDescent="0.3">
      <c r="B7">
        <v>6</v>
      </c>
      <c r="C7">
        <v>159</v>
      </c>
      <c r="D7">
        <v>9</v>
      </c>
      <c r="E7">
        <f t="shared" si="0"/>
        <v>4.5</v>
      </c>
    </row>
    <row r="8" spans="2:10" x14ac:dyDescent="0.3">
      <c r="B8">
        <v>7</v>
      </c>
      <c r="C8">
        <v>182</v>
      </c>
      <c r="D8">
        <v>10</v>
      </c>
      <c r="E8">
        <f t="shared" si="0"/>
        <v>5</v>
      </c>
    </row>
    <row r="9" spans="2:10" x14ac:dyDescent="0.3">
      <c r="B9">
        <v>8</v>
      </c>
      <c r="C9">
        <v>202</v>
      </c>
      <c r="D9">
        <v>11</v>
      </c>
      <c r="E9">
        <f t="shared" si="0"/>
        <v>5.5</v>
      </c>
    </row>
    <row r="10" spans="2:10" x14ac:dyDescent="0.3">
      <c r="B10">
        <v>9</v>
      </c>
      <c r="C10">
        <v>221</v>
      </c>
      <c r="D10">
        <v>12</v>
      </c>
      <c r="E10">
        <f t="shared" si="0"/>
        <v>6</v>
      </c>
    </row>
    <row r="11" spans="2:10" x14ac:dyDescent="0.3">
      <c r="B11">
        <v>10</v>
      </c>
      <c r="C11">
        <v>240</v>
      </c>
      <c r="D11">
        <v>13</v>
      </c>
      <c r="E11">
        <f t="shared" si="0"/>
        <v>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</vt:lpstr>
      <vt:lpstr>Sheet3</vt:lpstr>
      <vt:lpstr>Sheet1</vt:lpstr>
      <vt:lpstr>Sheet2</vt:lpstr>
    </vt:vector>
  </TitlesOfParts>
  <Company>Queens University Belfast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Rogers</dc:creator>
  <cp:lastModifiedBy>BR</cp:lastModifiedBy>
  <dcterms:created xsi:type="dcterms:W3CDTF">2022-03-24T11:26:55Z</dcterms:created>
  <dcterms:modified xsi:type="dcterms:W3CDTF">2022-04-10T12:00:22Z</dcterms:modified>
</cp:coreProperties>
</file>