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\Desktop\physics_labs\level2_labs\stern_gerlach\"/>
    </mc:Choice>
  </mc:AlternateContent>
  <xr:revisionPtr revIDLastSave="0" documentId="13_ncr:1_{71162926-C550-45FA-A900-3D49E13D4638}" xr6:coauthVersionLast="47" xr6:coauthVersionMax="47" xr10:uidLastSave="{00000000-0000-0000-0000-000000000000}"/>
  <bookViews>
    <workbookView xWindow="6060" yWindow="84" windowWidth="16884" windowHeight="12012" activeTab="1" xr2:uid="{6F9A2E67-3F00-41FA-871A-69F10E3074C3}"/>
  </bookViews>
  <sheets>
    <sheet name="Magnet" sheetId="1" r:id="rId1"/>
    <sheet name="BField" sheetId="3" r:id="rId2"/>
    <sheet name="NoMagne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2" i="1"/>
  <c r="H2" i="1"/>
  <c r="H3" i="1"/>
  <c r="K4" i="1"/>
  <c r="D10" i="1"/>
  <c r="D11" i="1"/>
  <c r="D9" i="1"/>
  <c r="E3" i="1"/>
  <c r="J3" i="1" s="1"/>
  <c r="E4" i="1"/>
  <c r="C19" i="3"/>
  <c r="H4" i="1"/>
  <c r="G3" i="1"/>
  <c r="G4" i="1"/>
  <c r="G2" i="1"/>
  <c r="F3" i="1"/>
  <c r="F4" i="1"/>
  <c r="F2" i="1"/>
  <c r="I2" i="1" s="1"/>
  <c r="J4" i="1"/>
  <c r="E2" i="1"/>
  <c r="J2" i="1" s="1"/>
  <c r="B19" i="3"/>
  <c r="E3" i="3"/>
  <c r="E4" i="3"/>
  <c r="E5" i="3"/>
  <c r="E6" i="3"/>
  <c r="E7" i="3"/>
  <c r="E8" i="3"/>
  <c r="E9" i="3"/>
  <c r="E10" i="3"/>
  <c r="E11" i="3"/>
  <c r="E12" i="3"/>
  <c r="E2" i="3"/>
  <c r="D16" i="3"/>
  <c r="C16" i="3"/>
  <c r="B16" i="3"/>
  <c r="D3" i="3"/>
  <c r="D4" i="3"/>
  <c r="D5" i="3"/>
  <c r="D6" i="3"/>
  <c r="D7" i="3"/>
  <c r="D8" i="3"/>
  <c r="D9" i="3"/>
  <c r="D10" i="3"/>
  <c r="D11" i="3"/>
  <c r="D12" i="3"/>
  <c r="D2" i="3"/>
  <c r="C3" i="3"/>
  <c r="C4" i="3"/>
  <c r="C5" i="3"/>
  <c r="C6" i="3"/>
  <c r="C7" i="3"/>
  <c r="C8" i="3"/>
  <c r="C9" i="3"/>
  <c r="C10" i="3"/>
  <c r="C11" i="3"/>
  <c r="C12" i="3"/>
  <c r="C2" i="3"/>
  <c r="I3" i="1" l="1"/>
  <c r="K3" i="1" s="1"/>
  <c r="L3" i="1" s="1"/>
  <c r="M3" i="1" s="1"/>
  <c r="I4" i="1"/>
  <c r="L4" i="1" s="1"/>
  <c r="M4" i="1" s="1"/>
  <c r="K2" i="1"/>
  <c r="L2" i="1" s="1"/>
  <c r="M2" i="1" s="1"/>
  <c r="N2" i="1" l="1"/>
  <c r="O2" i="1" s="1"/>
  <c r="P2" i="1"/>
  <c r="Q2" i="1" s="1"/>
  <c r="N3" i="1"/>
  <c r="O3" i="1" s="1"/>
  <c r="P3" i="1"/>
  <c r="Q3" i="1" s="1"/>
  <c r="N4" i="1"/>
  <c r="O4" i="1" s="1"/>
  <c r="P4" i="1"/>
  <c r="Q4" i="1" s="1"/>
  <c r="B7" i="1" s="1"/>
  <c r="B8" i="1" l="1"/>
  <c r="B13" i="1" s="1"/>
  <c r="B12" i="1"/>
</calcChain>
</file>

<file path=xl/sharedStrings.xml><?xml version="1.0" encoding="utf-8"?>
<sst xmlns="http://schemas.openxmlformats.org/spreadsheetml/2006/main" count="39" uniqueCount="36">
  <si>
    <t>magnet current / A</t>
  </si>
  <si>
    <t>z_p</t>
  </si>
  <si>
    <t>z_p_min</t>
  </si>
  <si>
    <t>z_p_max</t>
  </si>
  <si>
    <t>2_delta_p / mm</t>
  </si>
  <si>
    <t>2_delta_p_max / mm</t>
  </si>
  <si>
    <t>2_delta_p_min / mm</t>
  </si>
  <si>
    <t>I / A</t>
  </si>
  <si>
    <t>dB/dz / T/m</t>
  </si>
  <si>
    <t>I * dB/dz</t>
  </si>
  <si>
    <t>delta</t>
  </si>
  <si>
    <t>i^2</t>
  </si>
  <si>
    <t>m</t>
  </si>
  <si>
    <t>a_cu</t>
  </si>
  <si>
    <t>c</t>
  </si>
  <si>
    <t>a_m</t>
  </si>
  <si>
    <t>(y_i - mx_i -c)^2</t>
  </si>
  <si>
    <t>delta_p</t>
  </si>
  <si>
    <t>delta_p_max</t>
  </si>
  <si>
    <t>delta_p_min</t>
  </si>
  <si>
    <t>dB/dz</t>
  </si>
  <si>
    <t>delta_p_error_max</t>
  </si>
  <si>
    <t>delta_p_error_min</t>
  </si>
  <si>
    <t>w_i</t>
  </si>
  <si>
    <t>delta_p_average</t>
  </si>
  <si>
    <t>delta_p_error^2</t>
  </si>
  <si>
    <t>w_i*x_i</t>
  </si>
  <si>
    <t>w_i*x_i^2</t>
  </si>
  <si>
    <t>w_i*y_i</t>
  </si>
  <si>
    <t>w_i*x_i*y_i</t>
  </si>
  <si>
    <t>T/m/mm</t>
  </si>
  <si>
    <t>u_b</t>
  </si>
  <si>
    <t>L</t>
  </si>
  <si>
    <t>l</t>
  </si>
  <si>
    <t>a_u_b</t>
  </si>
  <si>
    <t>error_db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</si>
</sst>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914225589126925E-2"/>
          <c:y val="0.12367563301463802"/>
          <c:w val="0.87437751531058616"/>
          <c:h val="0.77218743882696927"/>
        </c:manualLayout>
      </c:layout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Magnet!$I$2:$I$4</c:f>
                <c:numCache>
                  <c:formatCode>General</c:formatCode>
                  <c:ptCount val="3"/>
                  <c:pt idx="0">
                    <c:v>0.11849999999999994</c:v>
                  </c:pt>
                  <c:pt idx="1">
                    <c:v>8.8000000000000023E-2</c:v>
                  </c:pt>
                  <c:pt idx="2">
                    <c:v>0.14800000000000002</c:v>
                  </c:pt>
                </c:numCache>
              </c:numRef>
            </c:plus>
            <c:minus>
              <c:numRef>
                <c:f>Magnet!$J$2:$J$4</c:f>
                <c:numCache>
                  <c:formatCode>General</c:formatCode>
                  <c:ptCount val="3"/>
                  <c:pt idx="0">
                    <c:v>0.14950000000000002</c:v>
                  </c:pt>
                  <c:pt idx="1">
                    <c:v>6.3500000000000001E-2</c:v>
                  </c:pt>
                  <c:pt idx="2">
                    <c:v>0.12395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Magnet!$R$2:$R$4</c:f>
                <c:numCache>
                  <c:formatCode>General</c:formatCode>
                  <c:ptCount val="3"/>
                  <c:pt idx="0">
                    <c:v>0.74000000000000909</c:v>
                  </c:pt>
                  <c:pt idx="1">
                    <c:v>1.1100000000000136</c:v>
                  </c:pt>
                  <c:pt idx="2">
                    <c:v>1.3320000000000505</c:v>
                  </c:pt>
                </c:numCache>
              </c:numRef>
            </c:plus>
            <c:minus>
              <c:numRef>
                <c:f>Magnet!$R$2:$R$4</c:f>
                <c:numCache>
                  <c:formatCode>General</c:formatCode>
                  <c:ptCount val="3"/>
                  <c:pt idx="0">
                    <c:v>0.74000000000000909</c:v>
                  </c:pt>
                  <c:pt idx="1">
                    <c:v>1.1100000000000136</c:v>
                  </c:pt>
                  <c:pt idx="2">
                    <c:v>1.3320000000000505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Magnet!$E$2:$E$4</c:f>
              <c:numCache>
                <c:formatCode>General</c:formatCode>
                <c:ptCount val="3"/>
                <c:pt idx="0">
                  <c:v>0.44450000000000001</c:v>
                </c:pt>
                <c:pt idx="1">
                  <c:v>0.46800000000000003</c:v>
                </c:pt>
                <c:pt idx="2">
                  <c:v>0.7843</c:v>
                </c:pt>
              </c:numCache>
            </c:numRef>
          </c:xVal>
          <c:yVal>
            <c:numRef>
              <c:f>Magnet!$H$2:$H$4</c:f>
              <c:numCache>
                <c:formatCode>General</c:formatCode>
                <c:ptCount val="3"/>
                <c:pt idx="0">
                  <c:v>156.36663200000001</c:v>
                </c:pt>
                <c:pt idx="1">
                  <c:v>233.53848200000002</c:v>
                </c:pt>
                <c:pt idx="2">
                  <c:v>279.84159200000005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56-48E2-9075-A85A9C6FC852}"/>
            </c:ext>
          </c:extLst>
        </c:ser>
        <c:ser>
          <c:idx val="1"/>
          <c:order val="1"/>
          <c:tx>
            <c:v>Best 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forward val="0.5"/>
            <c:backward val="0.43000000000000005"/>
            <c:dispRSqr val="0"/>
            <c:dispEq val="0"/>
          </c:trendline>
          <c:xVal>
            <c:numRef>
              <c:f>Magnet!$E$2:$E$4</c:f>
              <c:numCache>
                <c:formatCode>General</c:formatCode>
                <c:ptCount val="3"/>
                <c:pt idx="0">
                  <c:v>0.44450000000000001</c:v>
                </c:pt>
                <c:pt idx="1">
                  <c:v>0.46800000000000003</c:v>
                </c:pt>
                <c:pt idx="2">
                  <c:v>0.7843</c:v>
                </c:pt>
              </c:numCache>
            </c:numRef>
          </c:xVal>
          <c:yVal>
            <c:numRef>
              <c:f>Magnet!$D$9:$D$11</c:f>
              <c:numCache>
                <c:formatCode>General</c:formatCode>
                <c:ptCount val="3"/>
                <c:pt idx="0">
                  <c:v>160.01499999999999</c:v>
                </c:pt>
                <c:pt idx="1">
                  <c:v>226.36</c:v>
                </c:pt>
                <c:pt idx="2">
                  <c:v>311.76099999999997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A79-473F-941D-102F82CC2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34879"/>
        <c:axId val="178837375"/>
      </c:scatterChart>
      <c:valAx>
        <c:axId val="17883487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/>
                  <a:t>∆Zp (mm)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5614402152360123"/>
              <c:y val="0.939998694975344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37375"/>
        <c:crosses val="autoZero"/>
        <c:crossBetween val="midCat"/>
      </c:valAx>
      <c:valAx>
        <c:axId val="178837375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∂</a:t>
                </a:r>
                <a:r>
                  <a:rPr lang="en-GB" sz="1000" b="0" i="0" u="none" strike="noStrike" baseline="0"/>
                  <a:t>B /∂z ( T/m)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7.9392894414092557E-2"/>
              <c:y val="0.388879014892817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34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71372610154710647"/>
          <c:y val="0.72764259724764069"/>
          <c:w val="0.24041219446726861"/>
          <c:h val="0.133183359071319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76159230096239"/>
          <c:y val="6.0185185185185182E-2"/>
          <c:w val="0.76719685039370078"/>
          <c:h val="0.7435032079323418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BField!$A$2:$A$12</c:f>
              <c:numCache>
                <c:formatCode>0.000</c:formatCode>
                <c:ptCount val="11"/>
                <c:pt idx="0">
                  <c:v>0</c:v>
                </c:pt>
                <c:pt idx="1">
                  <c:v>9.5000000000000001E-2</c:v>
                </c:pt>
                <c:pt idx="2">
                  <c:v>0.2</c:v>
                </c:pt>
                <c:pt idx="3">
                  <c:v>0.30199999999999999</c:v>
                </c:pt>
                <c:pt idx="4">
                  <c:v>0.40500000000000003</c:v>
                </c:pt>
                <c:pt idx="5">
                  <c:v>0.498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1.01</c:v>
                </c:pt>
              </c:numCache>
            </c:numRef>
          </c:xVal>
          <c:yVal>
            <c:numRef>
              <c:f>BField!$B$2:$B$12</c:f>
              <c:numCache>
                <c:formatCode>General</c:formatCode>
                <c:ptCount val="11"/>
                <c:pt idx="0">
                  <c:v>0</c:v>
                </c:pt>
                <c:pt idx="1">
                  <c:v>25.6</c:v>
                </c:pt>
                <c:pt idx="2">
                  <c:v>58.4</c:v>
                </c:pt>
                <c:pt idx="3">
                  <c:v>92.9</c:v>
                </c:pt>
                <c:pt idx="4">
                  <c:v>132.19999999999999</c:v>
                </c:pt>
                <c:pt idx="5">
                  <c:v>164.2</c:v>
                </c:pt>
                <c:pt idx="6">
                  <c:v>196.3</c:v>
                </c:pt>
                <c:pt idx="7">
                  <c:v>226</c:v>
                </c:pt>
                <c:pt idx="8">
                  <c:v>253.7</c:v>
                </c:pt>
                <c:pt idx="9">
                  <c:v>277.2</c:v>
                </c:pt>
                <c:pt idx="10">
                  <c:v>298.60000000000002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97-46A6-8FD3-7E02DA5F2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37359"/>
        <c:axId val="74938607"/>
      </c:scatterChart>
      <c:valAx>
        <c:axId val="74937359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</a:t>
                </a:r>
                <a:r>
                  <a:rPr lang="en-GB" baseline="0"/>
                  <a:t>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38607"/>
        <c:crosses val="autoZero"/>
        <c:crossBetween val="midCat"/>
      </c:valAx>
      <c:valAx>
        <c:axId val="74938607"/>
        <c:scaling>
          <c:orientation val="minMax"/>
          <c:max val="3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0" i="0" baseline="0">
                    <a:effectLst/>
                  </a:rPr>
                  <a:t>∂B /∂z ( T/m)</a:t>
                </a:r>
                <a:endParaRPr lang="en-GB" sz="105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GB"/>
              </a:p>
            </c:rich>
          </c:tx>
          <c:layout>
            <c:manualLayout>
              <c:xMode val="edge"/>
              <c:yMode val="edge"/>
              <c:x val="2.8987256963561948E-2"/>
              <c:y val="0.288047900262467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37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1084731</xdr:colOff>
      <xdr:row>15</xdr:row>
      <xdr:rowOff>98611</xdr:rowOff>
    </xdr:from>
    <xdr:to>
      <xdr:col>9</xdr:col>
      <xdr:colOff>304800</xdr:colOff>
      <xdr:row>33</xdr:row>
      <xdr:rowOff>89647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0652C4-E7FF-4206-96E8-BAC0F3876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19</xdr:row>
      <xdr:rowOff>175260</xdr:rowOff>
    </xdr:from>
    <xdr:to>
      <xdr:col>8</xdr:col>
      <xdr:colOff>57150</xdr:colOff>
      <xdr:row>34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E6C248-D46C-49B0-B7EE-DCC767E75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2EF12-2567-4485-9F43-CD12F0918455}">
  <dimension ref="A1:R13"/>
  <sheetViews>
    <sheetView zoomScale="85" zoomScaleNormal="85" workbookViewId="0">
      <selection activeCell="B12" sqref="B12"/>
    </sheetView>
  </sheetViews>
  <sheetFormatPr defaultRowHeight="14.4" x14ac:dyDescent="0.3"/>
  <cols>
    <col min="1" max="4" width="20.77734375" customWidth="1"/>
  </cols>
  <sheetData>
    <row r="1" spans="1:18" x14ac:dyDescent="0.3">
      <c r="A1" t="s">
        <v>0</v>
      </c>
      <c r="B1" t="s">
        <v>4</v>
      </c>
      <c r="C1" t="s">
        <v>5</v>
      </c>
      <c r="D1" t="s">
        <v>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24</v>
      </c>
      <c r="L1" t="s">
        <v>25</v>
      </c>
      <c r="M1" t="s">
        <v>23</v>
      </c>
      <c r="N1" t="s">
        <v>26</v>
      </c>
      <c r="O1" t="s">
        <v>27</v>
      </c>
      <c r="P1" t="s">
        <v>28</v>
      </c>
      <c r="Q1" t="s">
        <v>29</v>
      </c>
      <c r="R1" t="s">
        <v>35</v>
      </c>
    </row>
    <row r="2" spans="1:18" x14ac:dyDescent="0.3">
      <c r="A2">
        <v>0.5</v>
      </c>
      <c r="B2">
        <v>0.88900000000000001</v>
      </c>
      <c r="C2">
        <v>1.1259999999999999</v>
      </c>
      <c r="D2">
        <v>0.59</v>
      </c>
      <c r="E2">
        <f>B2/2</f>
        <v>0.44450000000000001</v>
      </c>
      <c r="F2">
        <f>C2/2</f>
        <v>0.56299999999999994</v>
      </c>
      <c r="G2">
        <f>D2/2</f>
        <v>0.29499999999999998</v>
      </c>
      <c r="H2">
        <f>308.6874*(A2)+ 2.022932</f>
        <v>156.36663200000001</v>
      </c>
      <c r="I2">
        <f>F2-E2</f>
        <v>0.11849999999999994</v>
      </c>
      <c r="J2">
        <f>E2-G2</f>
        <v>0.14950000000000002</v>
      </c>
      <c r="K2">
        <f>(I2+J2)/2</f>
        <v>0.13399999999999998</v>
      </c>
      <c r="L2">
        <f>K2^2</f>
        <v>1.7955999999999996E-2</v>
      </c>
      <c r="M2">
        <f>1/(L2)</f>
        <v>55.69169079973269</v>
      </c>
      <c r="N2">
        <f>M2*E2</f>
        <v>24.75495656048118</v>
      </c>
      <c r="O2">
        <f>N2*E2</f>
        <v>11.003578191133885</v>
      </c>
      <c r="P2">
        <f>M2*H2</f>
        <v>8708.3221207395873</v>
      </c>
      <c r="Q2">
        <f>E2 *P2</f>
        <v>3870.8491826687464</v>
      </c>
      <c r="R2">
        <f>(308.6874+1.48)*(A2)+ 2.022932 - H2</f>
        <v>0.74000000000000909</v>
      </c>
    </row>
    <row r="3" spans="1:18" x14ac:dyDescent="0.3">
      <c r="A3">
        <v>0.75</v>
      </c>
      <c r="B3">
        <v>0.93600000000000005</v>
      </c>
      <c r="C3">
        <v>1.1120000000000001</v>
      </c>
      <c r="D3">
        <v>0.80900000000000005</v>
      </c>
      <c r="E3">
        <f t="shared" ref="E3:E4" si="0">B3/2</f>
        <v>0.46800000000000003</v>
      </c>
      <c r="F3">
        <f t="shared" ref="F3:F4" si="1">C3/2</f>
        <v>0.55600000000000005</v>
      </c>
      <c r="G3">
        <f t="shared" ref="G3:G4" si="2">D3/2</f>
        <v>0.40450000000000003</v>
      </c>
      <c r="H3">
        <f>308.6874*(A3)+ 2.022932</f>
        <v>233.53848200000002</v>
      </c>
      <c r="I3">
        <f t="shared" ref="I3:I4" si="3">F3-E3</f>
        <v>8.8000000000000023E-2</v>
      </c>
      <c r="J3">
        <f t="shared" ref="J3:J4" si="4">E3-G3</f>
        <v>6.3500000000000001E-2</v>
      </c>
      <c r="K3">
        <f t="shared" ref="K3:K4" si="5">(I3+J3)/2</f>
        <v>7.5750000000000012E-2</v>
      </c>
      <c r="L3">
        <f t="shared" ref="L3:L4" si="6">K3^2</f>
        <v>5.7380625000000018E-3</v>
      </c>
      <c r="M3">
        <f t="shared" ref="M3:M4" si="7">1/(L3)</f>
        <v>174.27485322789698</v>
      </c>
      <c r="N3">
        <f t="shared" ref="N3:N4" si="8">M3*E3</f>
        <v>81.560631310655793</v>
      </c>
      <c r="O3">
        <f t="shared" ref="O3:O4" si="9">N3*E3</f>
        <v>38.17037545338691</v>
      </c>
      <c r="P3">
        <f t="shared" ref="P3:P4" si="10">M3*H3</f>
        <v>40699.884673615867</v>
      </c>
      <c r="Q3">
        <f t="shared" ref="Q3:Q4" si="11">E3 *P3</f>
        <v>19047.546027252225</v>
      </c>
      <c r="R3">
        <f t="shared" ref="R3:R4" si="12">(308.6874+1.48)*(A3)+ 2.022932 - H3</f>
        <v>1.1100000000000136</v>
      </c>
    </row>
    <row r="4" spans="1:18" x14ac:dyDescent="0.3">
      <c r="A4">
        <v>0.9</v>
      </c>
      <c r="B4">
        <v>1.5686</v>
      </c>
      <c r="C4">
        <v>1.8646</v>
      </c>
      <c r="D4">
        <v>1.3207</v>
      </c>
      <c r="E4">
        <f t="shared" si="0"/>
        <v>0.7843</v>
      </c>
      <c r="F4">
        <f t="shared" si="1"/>
        <v>0.93230000000000002</v>
      </c>
      <c r="G4">
        <f t="shared" si="2"/>
        <v>0.66034999999999999</v>
      </c>
      <c r="H4">
        <f>308.6874*(A4)+ 2.022932</f>
        <v>279.84159200000005</v>
      </c>
      <c r="I4">
        <f t="shared" si="3"/>
        <v>0.14800000000000002</v>
      </c>
      <c r="J4">
        <f t="shared" si="4"/>
        <v>0.12395</v>
      </c>
      <c r="K4">
        <f t="shared" si="5"/>
        <v>0.13597500000000001</v>
      </c>
      <c r="L4">
        <f t="shared" si="6"/>
        <v>1.8489200625000004E-2</v>
      </c>
      <c r="M4">
        <f t="shared" si="7"/>
        <v>54.085626538545917</v>
      </c>
      <c r="N4">
        <f t="shared" si="8"/>
        <v>42.419356894181561</v>
      </c>
      <c r="O4">
        <f t="shared" si="9"/>
        <v>33.269501612106602</v>
      </c>
      <c r="P4">
        <f t="shared" si="10"/>
        <v>15135.407834864141</v>
      </c>
      <c r="Q4">
        <f t="shared" si="11"/>
        <v>11870.700364883945</v>
      </c>
      <c r="R4">
        <f t="shared" si="12"/>
        <v>1.3320000000000505</v>
      </c>
    </row>
    <row r="7" spans="1:18" x14ac:dyDescent="0.3">
      <c r="A7" t="s">
        <v>12</v>
      </c>
      <c r="B7">
        <f>((SUM(M2:M4)*SUM(Q2:Q4) - SUM(N2:N4)*SUM(P2:P4)))/(SUM(M2:M4)*SUM(O2:O4) - SUM(N2:N4)^2)</f>
        <v>217.5869132174503</v>
      </c>
      <c r="C7" t="s">
        <v>30</v>
      </c>
    </row>
    <row r="8" spans="1:18" x14ac:dyDescent="0.3">
      <c r="A8" t="s">
        <v>15</v>
      </c>
      <c r="B8">
        <f>SQRT((SUM(M2:M4)/(SUM(M2:M4)*SUM(O2:O4) - SUM(N2:N4)^2)))</f>
        <v>0.46813377936312944</v>
      </c>
    </row>
    <row r="9" spans="1:18" x14ac:dyDescent="0.3">
      <c r="D9">
        <f>E2*270 + 40</f>
        <v>160.01499999999999</v>
      </c>
    </row>
    <row r="10" spans="1:18" x14ac:dyDescent="0.3">
      <c r="A10" t="s">
        <v>32</v>
      </c>
      <c r="B10" s="4">
        <v>7.0000000000000007E-2</v>
      </c>
      <c r="D10">
        <f t="shared" ref="D10:D11" si="13">E3*270 + 100</f>
        <v>226.36</v>
      </c>
    </row>
    <row r="11" spans="1:18" x14ac:dyDescent="0.3">
      <c r="A11" t="s">
        <v>33</v>
      </c>
      <c r="B11">
        <v>0.45500000000000002</v>
      </c>
      <c r="D11">
        <f t="shared" si="13"/>
        <v>311.76099999999997</v>
      </c>
    </row>
    <row r="12" spans="1:18" x14ac:dyDescent="0.3">
      <c r="A12" t="s">
        <v>31</v>
      </c>
      <c r="B12" s="4">
        <f>(12*(1.38E-23)*(185))/(B7* 1000*B10*(B11-B10/2))</f>
        <v>4.7890785384006245E-24</v>
      </c>
    </row>
    <row r="13" spans="1:18" x14ac:dyDescent="0.3">
      <c r="A13" t="s">
        <v>34</v>
      </c>
      <c r="B13" s="4">
        <f>SQRT(((1/(B7)^2)*(12*(1.38E-23)*(185)/(B10*10*(B11-B10/2)))*B8)^2)</f>
        <v>1.0303604213585283E-24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18148-4B72-41AD-9210-0DFFB46E76A9}">
  <dimension ref="A1:E19"/>
  <sheetViews>
    <sheetView tabSelected="1" workbookViewId="0">
      <selection activeCell="C19" sqref="C19"/>
    </sheetView>
  </sheetViews>
  <sheetFormatPr defaultRowHeight="14.4" x14ac:dyDescent="0.3"/>
  <sheetData>
    <row r="1" spans="1:5" x14ac:dyDescent="0.3">
      <c r="A1" t="s">
        <v>7</v>
      </c>
      <c r="B1" t="s">
        <v>8</v>
      </c>
      <c r="C1" t="s">
        <v>9</v>
      </c>
      <c r="D1" t="s">
        <v>11</v>
      </c>
      <c r="E1" t="s">
        <v>16</v>
      </c>
    </row>
    <row r="2" spans="1:5" x14ac:dyDescent="0.3">
      <c r="A2" s="2">
        <v>0</v>
      </c>
      <c r="B2" s="1">
        <v>0</v>
      </c>
      <c r="C2">
        <f xml:space="preserve"> A2 * B2</f>
        <v>0</v>
      </c>
      <c r="D2" s="3">
        <f>A2^2</f>
        <v>0</v>
      </c>
      <c r="E2">
        <f xml:space="preserve"> (B2 - $C$16*A2 - D16)</f>
        <v>-2.2029322225416665</v>
      </c>
    </row>
    <row r="3" spans="1:5" x14ac:dyDescent="0.3">
      <c r="A3" s="2">
        <v>9.5000000000000001E-2</v>
      </c>
      <c r="B3" s="1">
        <v>25.6</v>
      </c>
      <c r="C3">
        <f t="shared" ref="C3:C12" si="0" xml:space="preserve"> A3 * B3</f>
        <v>2.4320000000000004</v>
      </c>
      <c r="D3" s="3">
        <f t="shared" ref="D3:D12" si="1">A3^2</f>
        <v>9.025E-3</v>
      </c>
      <c r="E3">
        <f t="shared" ref="E3:E12" si="2" xml:space="preserve"> (B3 - $C$16*A3 - D17)</f>
        <v>-3.7253059577938075</v>
      </c>
    </row>
    <row r="4" spans="1:5" x14ac:dyDescent="0.3">
      <c r="A4" s="2">
        <v>0.2</v>
      </c>
      <c r="B4" s="1">
        <v>58.4</v>
      </c>
      <c r="C4">
        <f t="shared" si="0"/>
        <v>11.68</v>
      </c>
      <c r="D4" s="3">
        <f t="shared" si="1"/>
        <v>4.0000000000000008E-2</v>
      </c>
      <c r="E4">
        <f t="shared" si="2"/>
        <v>-3.3374862269343382</v>
      </c>
    </row>
    <row r="5" spans="1:5" x14ac:dyDescent="0.3">
      <c r="A5" s="2">
        <v>0.30199999999999999</v>
      </c>
      <c r="B5" s="1">
        <v>92.9</v>
      </c>
      <c r="C5">
        <f t="shared" si="0"/>
        <v>28.055800000000001</v>
      </c>
      <c r="D5" s="3">
        <f t="shared" si="1"/>
        <v>9.1203999999999993E-2</v>
      </c>
      <c r="E5">
        <f t="shared" si="2"/>
        <v>-0.32360420267083612</v>
      </c>
    </row>
    <row r="6" spans="1:5" x14ac:dyDescent="0.3">
      <c r="A6" s="2">
        <v>0.40500000000000003</v>
      </c>
      <c r="B6" s="1">
        <v>132.19999999999999</v>
      </c>
      <c r="C6">
        <f t="shared" si="0"/>
        <v>53.540999999999997</v>
      </c>
      <c r="D6" s="3">
        <f t="shared" si="1"/>
        <v>0.16402500000000003</v>
      </c>
      <c r="E6">
        <f t="shared" si="2"/>
        <v>7.1815903904579557</v>
      </c>
    </row>
    <row r="7" spans="1:5" x14ac:dyDescent="0.3">
      <c r="A7" s="2">
        <v>0.498</v>
      </c>
      <c r="B7" s="1">
        <v>164.2</v>
      </c>
      <c r="C7">
        <f t="shared" si="0"/>
        <v>81.771599999999992</v>
      </c>
      <c r="D7" s="3">
        <f t="shared" si="1"/>
        <v>0.248004</v>
      </c>
      <c r="E7">
        <f t="shared" si="2"/>
        <v>10.473659294933498</v>
      </c>
    </row>
    <row r="8" spans="1:5" x14ac:dyDescent="0.3">
      <c r="A8" s="2">
        <v>0.6</v>
      </c>
      <c r="B8" s="1">
        <v>196.3</v>
      </c>
      <c r="C8">
        <f t="shared" si="0"/>
        <v>117.78</v>
      </c>
      <c r="D8" s="3">
        <f t="shared" si="1"/>
        <v>0.36</v>
      </c>
      <c r="E8">
        <f t="shared" si="2"/>
        <v>11.087541319197015</v>
      </c>
    </row>
    <row r="9" spans="1:5" x14ac:dyDescent="0.3">
      <c r="A9" s="2">
        <v>0.7</v>
      </c>
      <c r="B9" s="1">
        <v>226</v>
      </c>
      <c r="C9">
        <f t="shared" si="0"/>
        <v>158.19999999999999</v>
      </c>
      <c r="D9" s="3">
        <f t="shared" si="1"/>
        <v>0.48999999999999994</v>
      </c>
      <c r="E9">
        <f t="shared" si="2"/>
        <v>9.9187982057298427</v>
      </c>
    </row>
    <row r="10" spans="1:5" x14ac:dyDescent="0.3">
      <c r="A10" s="2">
        <v>0.8</v>
      </c>
      <c r="B10" s="1">
        <v>253.7</v>
      </c>
      <c r="C10">
        <f t="shared" si="0"/>
        <v>202.96</v>
      </c>
      <c r="D10" s="3">
        <f t="shared" si="1"/>
        <v>0.64000000000000012</v>
      </c>
      <c r="E10">
        <f t="shared" si="2"/>
        <v>6.7500550922626417</v>
      </c>
    </row>
    <row r="11" spans="1:5" x14ac:dyDescent="0.3">
      <c r="A11" s="2">
        <v>0.9</v>
      </c>
      <c r="B11" s="1">
        <v>277.2</v>
      </c>
      <c r="C11">
        <f t="shared" si="0"/>
        <v>249.48</v>
      </c>
      <c r="D11" s="3">
        <f t="shared" si="1"/>
        <v>0.81</v>
      </c>
      <c r="E11">
        <f t="shared" si="2"/>
        <v>-0.61868802120454802</v>
      </c>
    </row>
    <row r="12" spans="1:5" x14ac:dyDescent="0.3">
      <c r="A12" s="2">
        <v>1.01</v>
      </c>
      <c r="B12" s="1">
        <v>298.60000000000002</v>
      </c>
      <c r="C12">
        <f t="shared" si="0"/>
        <v>301.58600000000001</v>
      </c>
      <c r="D12" s="3">
        <f t="shared" si="1"/>
        <v>1.0201</v>
      </c>
      <c r="E12">
        <f t="shared" si="2"/>
        <v>-13.174305446018366</v>
      </c>
    </row>
    <row r="15" spans="1:5" x14ac:dyDescent="0.3">
      <c r="B15" t="s">
        <v>10</v>
      </c>
      <c r="C15" t="s">
        <v>12</v>
      </c>
      <c r="D15" t="s">
        <v>14</v>
      </c>
    </row>
    <row r="16" spans="1:5" x14ac:dyDescent="0.3">
      <c r="B16">
        <f>(11*SUM(D2:D12)) - (SUM(A2:A12))^2</f>
        <v>12.235838000000005</v>
      </c>
      <c r="C16">
        <f>((11*SUM(C2:C12))-(SUM(B2:B12)*SUM(A2:A12)))/B16</f>
        <v>308.68743113467167</v>
      </c>
      <c r="D16">
        <f xml:space="preserve"> ((SUM(D2:D12)*SUM(B2:B12)) - (SUM(A2:A12)*SUM(C2:C12)))/B16</f>
        <v>2.2029322225416665</v>
      </c>
    </row>
    <row r="18" spans="2:3" x14ac:dyDescent="0.3">
      <c r="B18" t="s">
        <v>13</v>
      </c>
      <c r="C18" t="s">
        <v>15</v>
      </c>
    </row>
    <row r="19" spans="2:3" x14ac:dyDescent="0.3">
      <c r="B19">
        <f>SQRT((1/(11-2))*SUM(E2:E12))</f>
        <v>1.5645134929078819</v>
      </c>
      <c r="C19">
        <f xml:space="preserve"> B19 *SQRT(11/B16)</f>
        <v>1.4834017820097098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BC222-F72C-4DC0-9ECA-F074B719261B}">
  <dimension ref="A1:D2"/>
  <sheetViews>
    <sheetView workbookViewId="0">
      <selection activeCell="B7" sqref="B7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0.73599999999999999</v>
      </c>
      <c r="C2">
        <v>0.63200000000000001</v>
      </c>
      <c r="D2">
        <v>0.84899999999999998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Magnet</vt:lpstr>
      <vt:lpstr>BField</vt:lpstr>
      <vt:lpstr>NoMagnet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</dc:creator>
  <cp:lastModifiedBy>BR</cp:lastModifiedBy>
  <dcterms:created xsi:type="dcterms:W3CDTF">2021-11-22T18:54:43Z</dcterms:created>
  <dcterms:modified xsi:type="dcterms:W3CDTF">2021-11-24T20:51:51Z</dcterms:modified>
</cp:coreProperties>
</file>