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740ffd3fe0520/"/>
    </mc:Choice>
  </mc:AlternateContent>
  <xr:revisionPtr revIDLastSave="0" documentId="8_{4B708669-EAAB-44E2-89D7-20651E671D99}" xr6:coauthVersionLast="47" xr6:coauthVersionMax="47" xr10:uidLastSave="{00000000-0000-0000-0000-000000000000}"/>
  <bookViews>
    <workbookView xWindow="-110" yWindow="-110" windowWidth="19420" windowHeight="10300" activeTab="1" xr2:uid="{46463334-74BF-4606-BE45-2A0B6A1F09FC}"/>
  </bookViews>
  <sheets>
    <sheet name="Share Structure" sheetId="1" r:id="rId1"/>
    <sheet name="Financials" sheetId="5" r:id="rId2"/>
    <sheet name="Metrics &amp; Valuation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5" l="1"/>
  <c r="C151" i="5" s="1"/>
  <c r="D151" i="5" s="1"/>
  <c r="C237" i="5"/>
  <c r="C187" i="5"/>
  <c r="F23" i="1"/>
  <c r="B30" i="9"/>
  <c r="B31" i="9"/>
  <c r="D24" i="9"/>
  <c r="C24" i="9"/>
  <c r="D8" i="9"/>
  <c r="C13" i="9"/>
  <c r="Q238" i="5"/>
  <c r="R238" i="5"/>
  <c r="S238" i="5"/>
  <c r="S174" i="5" s="1"/>
  <c r="T238" i="5"/>
  <c r="T174" i="5" s="1"/>
  <c r="U238" i="5"/>
  <c r="U174" i="5" s="1"/>
  <c r="V238" i="5"/>
  <c r="V174" i="5" s="1"/>
  <c r="W238" i="5"/>
  <c r="W174" i="5" s="1"/>
  <c r="X238" i="5"/>
  <c r="X174" i="5" s="1"/>
  <c r="X176" i="5" s="1"/>
  <c r="Y238" i="5"/>
  <c r="Y174" i="5" s="1"/>
  <c r="Z238" i="5"/>
  <c r="AA238" i="5"/>
  <c r="AA174" i="5" s="1"/>
  <c r="P238" i="5"/>
  <c r="P174" i="5" s="1"/>
  <c r="AB174" i="5" s="1"/>
  <c r="Q223" i="5"/>
  <c r="R223" i="5"/>
  <c r="S223" i="5"/>
  <c r="T223" i="5"/>
  <c r="U223" i="5"/>
  <c r="V223" i="5"/>
  <c r="W223" i="5"/>
  <c r="X223" i="5"/>
  <c r="Y223" i="5"/>
  <c r="Z223" i="5"/>
  <c r="AA223" i="5"/>
  <c r="P223" i="5"/>
  <c r="Q218" i="5"/>
  <c r="R218" i="5"/>
  <c r="R230" i="5" s="1"/>
  <c r="S218" i="5"/>
  <c r="S230" i="5" s="1"/>
  <c r="T218" i="5"/>
  <c r="U218" i="5"/>
  <c r="U230" i="5" s="1"/>
  <c r="V218" i="5"/>
  <c r="W218" i="5"/>
  <c r="X218" i="5"/>
  <c r="X230" i="5" s="1"/>
  <c r="Y218" i="5"/>
  <c r="Z218" i="5"/>
  <c r="Z230" i="5" s="1"/>
  <c r="AA218" i="5"/>
  <c r="AA230" i="5" s="1"/>
  <c r="P218" i="5"/>
  <c r="P230" i="5" s="1"/>
  <c r="X215" i="5"/>
  <c r="Q203" i="5"/>
  <c r="Q215" i="5" s="1"/>
  <c r="R203" i="5"/>
  <c r="R215" i="5" s="1"/>
  <c r="S203" i="5"/>
  <c r="S215" i="5" s="1"/>
  <c r="T203" i="5"/>
  <c r="T215" i="5" s="1"/>
  <c r="U203" i="5"/>
  <c r="U215" i="5" s="1"/>
  <c r="U231" i="5" s="1"/>
  <c r="U126" i="5" s="1"/>
  <c r="U161" i="5" s="1"/>
  <c r="V203" i="5"/>
  <c r="V215" i="5" s="1"/>
  <c r="W203" i="5"/>
  <c r="W215" i="5" s="1"/>
  <c r="X203" i="5"/>
  <c r="Y203" i="5"/>
  <c r="Y215" i="5" s="1"/>
  <c r="Z203" i="5"/>
  <c r="Z215" i="5" s="1"/>
  <c r="Z231" i="5" s="1"/>
  <c r="Z126" i="5" s="1"/>
  <c r="Z161" i="5" s="1"/>
  <c r="AA203" i="5"/>
  <c r="AA215" i="5" s="1"/>
  <c r="AA231" i="5" s="1"/>
  <c r="AA126" i="5" s="1"/>
  <c r="AA161" i="5" s="1"/>
  <c r="P203" i="5"/>
  <c r="P215" i="5" s="1"/>
  <c r="Q192" i="5"/>
  <c r="Q169" i="5" s="1"/>
  <c r="R192" i="5"/>
  <c r="R169" i="5" s="1"/>
  <c r="S192" i="5"/>
  <c r="S169" i="5" s="1"/>
  <c r="T192" i="5"/>
  <c r="T169" i="5" s="1"/>
  <c r="U192" i="5"/>
  <c r="U169" i="5" s="1"/>
  <c r="V192" i="5"/>
  <c r="W192" i="5"/>
  <c r="X192" i="5"/>
  <c r="X169" i="5" s="1"/>
  <c r="Y192" i="5"/>
  <c r="Y169" i="5" s="1"/>
  <c r="Z192" i="5"/>
  <c r="Z169" i="5" s="1"/>
  <c r="AA192" i="5"/>
  <c r="AA169" i="5" s="1"/>
  <c r="Q193" i="5"/>
  <c r="R193" i="5"/>
  <c r="S193" i="5"/>
  <c r="T193" i="5"/>
  <c r="U193" i="5"/>
  <c r="V193" i="5"/>
  <c r="V170" i="5" s="1"/>
  <c r="W193" i="5"/>
  <c r="W170" i="5" s="1"/>
  <c r="X193" i="5"/>
  <c r="X170" i="5" s="1"/>
  <c r="Y193" i="5"/>
  <c r="Y170" i="5" s="1"/>
  <c r="Z193" i="5"/>
  <c r="AA193" i="5"/>
  <c r="P193" i="5"/>
  <c r="P170" i="5" s="1"/>
  <c r="P192" i="5"/>
  <c r="P169" i="5" s="1"/>
  <c r="Q174" i="5"/>
  <c r="R174" i="5"/>
  <c r="Z174" i="5"/>
  <c r="Q175" i="5"/>
  <c r="R175" i="5"/>
  <c r="S175" i="5"/>
  <c r="T175" i="5"/>
  <c r="U175" i="5"/>
  <c r="V175" i="5"/>
  <c r="W175" i="5"/>
  <c r="X175" i="5"/>
  <c r="Y175" i="5"/>
  <c r="Z175" i="5"/>
  <c r="AA175" i="5"/>
  <c r="R176" i="5"/>
  <c r="Z176" i="5"/>
  <c r="P175" i="5"/>
  <c r="AB175" i="5" s="1"/>
  <c r="AA170" i="5"/>
  <c r="Q116" i="5"/>
  <c r="R116" i="5"/>
  <c r="S116" i="5"/>
  <c r="T116" i="5"/>
  <c r="U116" i="5"/>
  <c r="V116" i="5"/>
  <c r="W116" i="5"/>
  <c r="X116" i="5"/>
  <c r="Y116" i="5"/>
  <c r="Z116" i="5"/>
  <c r="AA116" i="5"/>
  <c r="Q118" i="5"/>
  <c r="R118" i="5"/>
  <c r="S118" i="5"/>
  <c r="T118" i="5"/>
  <c r="U118" i="5"/>
  <c r="V118" i="5"/>
  <c r="V123" i="5" s="1"/>
  <c r="W118" i="5"/>
  <c r="X118" i="5"/>
  <c r="Y118" i="5"/>
  <c r="Z118" i="5"/>
  <c r="AA118" i="5"/>
  <c r="Q119" i="5"/>
  <c r="R119" i="5"/>
  <c r="S119" i="5"/>
  <c r="T119" i="5"/>
  <c r="U119" i="5"/>
  <c r="V119" i="5"/>
  <c r="W119" i="5"/>
  <c r="X119" i="5"/>
  <c r="Y119" i="5"/>
  <c r="Z119" i="5"/>
  <c r="AA119" i="5"/>
  <c r="Q120" i="5"/>
  <c r="R120" i="5"/>
  <c r="S120" i="5"/>
  <c r="T120" i="5"/>
  <c r="U120" i="5"/>
  <c r="V120" i="5"/>
  <c r="W120" i="5"/>
  <c r="X120" i="5"/>
  <c r="AB120" i="5" s="1"/>
  <c r="Y120" i="5"/>
  <c r="Z120" i="5"/>
  <c r="AA120" i="5"/>
  <c r="Q121" i="5"/>
  <c r="R121" i="5"/>
  <c r="S121" i="5"/>
  <c r="T121" i="5"/>
  <c r="U121" i="5"/>
  <c r="V121" i="5"/>
  <c r="W121" i="5"/>
  <c r="X121" i="5"/>
  <c r="Y121" i="5"/>
  <c r="Z121" i="5"/>
  <c r="AA121" i="5"/>
  <c r="Q122" i="5"/>
  <c r="R122" i="5"/>
  <c r="S122" i="5"/>
  <c r="T122" i="5"/>
  <c r="U122" i="5"/>
  <c r="V122" i="5"/>
  <c r="W122" i="5"/>
  <c r="X122" i="5"/>
  <c r="Y122" i="5"/>
  <c r="Z122" i="5"/>
  <c r="AA122" i="5"/>
  <c r="P122" i="5"/>
  <c r="AB122" i="5" s="1"/>
  <c r="P121" i="5"/>
  <c r="AB121" i="5" s="1"/>
  <c r="P120" i="5"/>
  <c r="P119" i="5"/>
  <c r="AB119" i="5" s="1"/>
  <c r="P118" i="5"/>
  <c r="AB118" i="5" s="1"/>
  <c r="P116" i="5"/>
  <c r="Q75" i="5"/>
  <c r="R75" i="5"/>
  <c r="S75" i="5"/>
  <c r="T75" i="5"/>
  <c r="U75" i="5"/>
  <c r="V75" i="5"/>
  <c r="W75" i="5"/>
  <c r="X75" i="5"/>
  <c r="Y75" i="5"/>
  <c r="Z75" i="5"/>
  <c r="AA75" i="5"/>
  <c r="P75" i="5"/>
  <c r="Q69" i="5"/>
  <c r="R69" i="5"/>
  <c r="S69" i="5"/>
  <c r="T69" i="5"/>
  <c r="U69" i="5"/>
  <c r="V69" i="5"/>
  <c r="W69" i="5"/>
  <c r="X69" i="5"/>
  <c r="Y69" i="5"/>
  <c r="Z69" i="5"/>
  <c r="AA69" i="5"/>
  <c r="P69" i="5"/>
  <c r="Q57" i="5"/>
  <c r="R57" i="5"/>
  <c r="S57" i="5"/>
  <c r="T57" i="5"/>
  <c r="U57" i="5"/>
  <c r="V57" i="5"/>
  <c r="W57" i="5"/>
  <c r="X57" i="5"/>
  <c r="Y57" i="5"/>
  <c r="Z57" i="5"/>
  <c r="AA57" i="5"/>
  <c r="P57" i="5"/>
  <c r="Q49" i="5"/>
  <c r="R49" i="5"/>
  <c r="S49" i="5"/>
  <c r="T49" i="5"/>
  <c r="U49" i="5"/>
  <c r="V49" i="5"/>
  <c r="W49" i="5"/>
  <c r="X49" i="5"/>
  <c r="Y49" i="5"/>
  <c r="Z49" i="5"/>
  <c r="AA49" i="5"/>
  <c r="Q50" i="5"/>
  <c r="R50" i="5"/>
  <c r="S50" i="5"/>
  <c r="T50" i="5"/>
  <c r="U50" i="5"/>
  <c r="V50" i="5"/>
  <c r="W50" i="5"/>
  <c r="X50" i="5"/>
  <c r="Y50" i="5"/>
  <c r="Z50" i="5"/>
  <c r="AA50" i="5"/>
  <c r="P50" i="5"/>
  <c r="P49" i="5"/>
  <c r="D49" i="5"/>
  <c r="E49" i="5"/>
  <c r="F49" i="5"/>
  <c r="G49" i="5"/>
  <c r="H49" i="5"/>
  <c r="I49" i="5"/>
  <c r="J49" i="5"/>
  <c r="K49" i="5"/>
  <c r="L49" i="5"/>
  <c r="M49" i="5"/>
  <c r="N49" i="5"/>
  <c r="D50" i="5"/>
  <c r="E50" i="5"/>
  <c r="F50" i="5"/>
  <c r="G50" i="5"/>
  <c r="H50" i="5"/>
  <c r="I50" i="5"/>
  <c r="J50" i="5"/>
  <c r="K50" i="5"/>
  <c r="L50" i="5"/>
  <c r="M50" i="5"/>
  <c r="N50" i="5"/>
  <c r="C50" i="5"/>
  <c r="C49" i="5"/>
  <c r="Q33" i="5"/>
  <c r="R33" i="5"/>
  <c r="S33" i="5"/>
  <c r="S34" i="5" s="1"/>
  <c r="T33" i="5"/>
  <c r="U33" i="5"/>
  <c r="U34" i="5" s="1"/>
  <c r="V33" i="5"/>
  <c r="V34" i="5" s="1"/>
  <c r="W33" i="5"/>
  <c r="W34" i="5" s="1"/>
  <c r="X33" i="5"/>
  <c r="X34" i="5" s="1"/>
  <c r="Y33" i="5"/>
  <c r="Z33" i="5"/>
  <c r="Z34" i="5" s="1"/>
  <c r="AA33" i="5"/>
  <c r="AA34" i="5" s="1"/>
  <c r="P33" i="5"/>
  <c r="P34" i="5" s="1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C57" i="5"/>
  <c r="C33" i="5"/>
  <c r="C34" i="5" s="1"/>
  <c r="D6" i="5"/>
  <c r="D12" i="5" s="1"/>
  <c r="C238" i="5"/>
  <c r="N175" i="5"/>
  <c r="D175" i="5"/>
  <c r="E175" i="5"/>
  <c r="F175" i="5"/>
  <c r="G175" i="5"/>
  <c r="H175" i="5"/>
  <c r="I175" i="5"/>
  <c r="J175" i="5"/>
  <c r="K175" i="5"/>
  <c r="L175" i="5"/>
  <c r="M175" i="5"/>
  <c r="D116" i="5"/>
  <c r="E116" i="5"/>
  <c r="F116" i="5"/>
  <c r="G116" i="5"/>
  <c r="H116" i="5"/>
  <c r="I116" i="5"/>
  <c r="J116" i="5"/>
  <c r="K116" i="5"/>
  <c r="L116" i="5"/>
  <c r="M116" i="5"/>
  <c r="N116" i="5"/>
  <c r="D118" i="5"/>
  <c r="E118" i="5"/>
  <c r="F118" i="5"/>
  <c r="G118" i="5"/>
  <c r="H118" i="5"/>
  <c r="I118" i="5"/>
  <c r="J118" i="5"/>
  <c r="K118" i="5"/>
  <c r="L118" i="5"/>
  <c r="M118" i="5"/>
  <c r="N118" i="5"/>
  <c r="D119" i="5"/>
  <c r="E119" i="5"/>
  <c r="F119" i="5"/>
  <c r="G119" i="5"/>
  <c r="H119" i="5"/>
  <c r="I119" i="5"/>
  <c r="J119" i="5"/>
  <c r="K119" i="5"/>
  <c r="L119" i="5"/>
  <c r="M119" i="5"/>
  <c r="N119" i="5"/>
  <c r="D120" i="5"/>
  <c r="E120" i="5"/>
  <c r="F120" i="5"/>
  <c r="G120" i="5"/>
  <c r="H120" i="5"/>
  <c r="I120" i="5"/>
  <c r="J120" i="5"/>
  <c r="K120" i="5"/>
  <c r="L120" i="5"/>
  <c r="M120" i="5"/>
  <c r="N120" i="5"/>
  <c r="D121" i="5"/>
  <c r="E121" i="5"/>
  <c r="F121" i="5"/>
  <c r="G121" i="5"/>
  <c r="H121" i="5"/>
  <c r="I121" i="5"/>
  <c r="J121" i="5"/>
  <c r="K121" i="5"/>
  <c r="L121" i="5"/>
  <c r="M121" i="5"/>
  <c r="N121" i="5"/>
  <c r="D122" i="5"/>
  <c r="E122" i="5"/>
  <c r="F122" i="5"/>
  <c r="G122" i="5"/>
  <c r="H122" i="5"/>
  <c r="I122" i="5"/>
  <c r="J122" i="5"/>
  <c r="K122" i="5"/>
  <c r="L122" i="5"/>
  <c r="M122" i="5"/>
  <c r="N122" i="5"/>
  <c r="I223" i="5"/>
  <c r="J223" i="5"/>
  <c r="K223" i="5"/>
  <c r="L223" i="5"/>
  <c r="M223" i="5"/>
  <c r="N223" i="5"/>
  <c r="H223" i="5"/>
  <c r="D238" i="5"/>
  <c r="D174" i="5" s="1"/>
  <c r="E238" i="5"/>
  <c r="E174" i="5" s="1"/>
  <c r="F238" i="5"/>
  <c r="F174" i="5" s="1"/>
  <c r="G238" i="5"/>
  <c r="G174" i="5" s="1"/>
  <c r="H238" i="5"/>
  <c r="H174" i="5" s="1"/>
  <c r="I238" i="5"/>
  <c r="I174" i="5" s="1"/>
  <c r="J238" i="5"/>
  <c r="J174" i="5" s="1"/>
  <c r="K238" i="5"/>
  <c r="K174" i="5" s="1"/>
  <c r="L238" i="5"/>
  <c r="L174" i="5" s="1"/>
  <c r="M238" i="5"/>
  <c r="M174" i="5" s="1"/>
  <c r="N238" i="5"/>
  <c r="N174" i="5" s="1"/>
  <c r="D192" i="5"/>
  <c r="D169" i="5" s="1"/>
  <c r="E192" i="5"/>
  <c r="E169" i="5" s="1"/>
  <c r="F192" i="5"/>
  <c r="F169" i="5" s="1"/>
  <c r="G192" i="5"/>
  <c r="G169" i="5" s="1"/>
  <c r="H192" i="5"/>
  <c r="H169" i="5" s="1"/>
  <c r="I192" i="5"/>
  <c r="I169" i="5" s="1"/>
  <c r="J192" i="5"/>
  <c r="J169" i="5" s="1"/>
  <c r="K192" i="5"/>
  <c r="K169" i="5" s="1"/>
  <c r="L192" i="5"/>
  <c r="L169" i="5" s="1"/>
  <c r="M192" i="5"/>
  <c r="M169" i="5" s="1"/>
  <c r="N192" i="5"/>
  <c r="N169" i="5" s="1"/>
  <c r="D193" i="5"/>
  <c r="D170" i="5" s="1"/>
  <c r="E193" i="5"/>
  <c r="F193" i="5"/>
  <c r="F170" i="5" s="1"/>
  <c r="G193" i="5"/>
  <c r="G170" i="5" s="1"/>
  <c r="H193" i="5"/>
  <c r="H170" i="5" s="1"/>
  <c r="I193" i="5"/>
  <c r="J193" i="5"/>
  <c r="J170" i="5" s="1"/>
  <c r="K193" i="5"/>
  <c r="K170" i="5" s="1"/>
  <c r="L193" i="5"/>
  <c r="L170" i="5" s="1"/>
  <c r="M193" i="5"/>
  <c r="M170" i="5" s="1"/>
  <c r="N193" i="5"/>
  <c r="N170" i="5" s="1"/>
  <c r="D203" i="5"/>
  <c r="D215" i="5" s="1"/>
  <c r="E203" i="5"/>
  <c r="E215" i="5" s="1"/>
  <c r="F203" i="5"/>
  <c r="F215" i="5" s="1"/>
  <c r="G203" i="5"/>
  <c r="G215" i="5" s="1"/>
  <c r="H203" i="5"/>
  <c r="I203" i="5"/>
  <c r="J203" i="5"/>
  <c r="J215" i="5" s="1"/>
  <c r="K203" i="5"/>
  <c r="L203" i="5"/>
  <c r="M203" i="5"/>
  <c r="N203" i="5"/>
  <c r="D218" i="5"/>
  <c r="D230" i="5" s="1"/>
  <c r="E218" i="5"/>
  <c r="E230" i="5" s="1"/>
  <c r="F218" i="5"/>
  <c r="F230" i="5" s="1"/>
  <c r="G218" i="5"/>
  <c r="G230" i="5" s="1"/>
  <c r="H218" i="5"/>
  <c r="I218" i="5"/>
  <c r="J218" i="5"/>
  <c r="J230" i="5" s="1"/>
  <c r="K218" i="5"/>
  <c r="K230" i="5" s="1"/>
  <c r="L218" i="5"/>
  <c r="L230" i="5" s="1"/>
  <c r="M218" i="5"/>
  <c r="M230" i="5" s="1"/>
  <c r="N218" i="5"/>
  <c r="N230" i="5" s="1"/>
  <c r="C218" i="5"/>
  <c r="C203" i="5"/>
  <c r="D75" i="5"/>
  <c r="E75" i="5"/>
  <c r="F75" i="5"/>
  <c r="G75" i="5"/>
  <c r="H75" i="5"/>
  <c r="I75" i="5"/>
  <c r="J75" i="5"/>
  <c r="K75" i="5"/>
  <c r="L75" i="5"/>
  <c r="M75" i="5"/>
  <c r="N75" i="5"/>
  <c r="C75" i="5"/>
  <c r="D69" i="5"/>
  <c r="E69" i="5"/>
  <c r="F69" i="5"/>
  <c r="G69" i="5"/>
  <c r="H69" i="5"/>
  <c r="I69" i="5"/>
  <c r="J69" i="5"/>
  <c r="K69" i="5"/>
  <c r="L69" i="5"/>
  <c r="M69" i="5"/>
  <c r="N69" i="5"/>
  <c r="C9" i="5"/>
  <c r="D8" i="5"/>
  <c r="D13" i="5" s="1"/>
  <c r="D23" i="5" s="1"/>
  <c r="D57" i="5"/>
  <c r="E57" i="5"/>
  <c r="F57" i="5"/>
  <c r="G57" i="5"/>
  <c r="H57" i="5"/>
  <c r="I57" i="5"/>
  <c r="J57" i="5"/>
  <c r="K57" i="5"/>
  <c r="L57" i="5"/>
  <c r="M57" i="5"/>
  <c r="N57" i="5"/>
  <c r="D33" i="5"/>
  <c r="D34" i="5" s="1"/>
  <c r="E33" i="5"/>
  <c r="E34" i="5" s="1"/>
  <c r="F33" i="5"/>
  <c r="F34" i="5" s="1"/>
  <c r="G33" i="5"/>
  <c r="G34" i="5" s="1"/>
  <c r="H33" i="5"/>
  <c r="H34" i="5" s="1"/>
  <c r="I33" i="5"/>
  <c r="I34" i="5" s="1"/>
  <c r="J33" i="5"/>
  <c r="J34" i="5" s="1"/>
  <c r="K33" i="5"/>
  <c r="K34" i="5" s="1"/>
  <c r="L33" i="5"/>
  <c r="L34" i="5" s="1"/>
  <c r="M33" i="5"/>
  <c r="M34" i="5" s="1"/>
  <c r="N33" i="5"/>
  <c r="N34" i="5" s="1"/>
  <c r="C12" i="5"/>
  <c r="C22" i="5" s="1"/>
  <c r="C121" i="5"/>
  <c r="C69" i="5"/>
  <c r="C180" i="5"/>
  <c r="C175" i="5"/>
  <c r="S231" i="5" l="1"/>
  <c r="S126" i="5" s="1"/>
  <c r="S161" i="5" s="1"/>
  <c r="Y230" i="5"/>
  <c r="Q230" i="5"/>
  <c r="Y176" i="5"/>
  <c r="Y231" i="5"/>
  <c r="Y126" i="5" s="1"/>
  <c r="Y161" i="5" s="1"/>
  <c r="AA171" i="5"/>
  <c r="V230" i="5"/>
  <c r="AB116" i="5"/>
  <c r="V231" i="5"/>
  <c r="V126" i="5" s="1"/>
  <c r="V161" i="5" s="1"/>
  <c r="X231" i="5"/>
  <c r="X126" i="5" s="1"/>
  <c r="X161" i="5" s="1"/>
  <c r="Q194" i="5"/>
  <c r="M123" i="5"/>
  <c r="P123" i="5"/>
  <c r="Y123" i="5"/>
  <c r="T123" i="5"/>
  <c r="Z123" i="5"/>
  <c r="R123" i="5"/>
  <c r="U123" i="5"/>
  <c r="X123" i="5"/>
  <c r="P231" i="5"/>
  <c r="P126" i="5" s="1"/>
  <c r="W230" i="5"/>
  <c r="W231" i="5" s="1"/>
  <c r="W126" i="5" s="1"/>
  <c r="W161" i="5" s="1"/>
  <c r="W194" i="5"/>
  <c r="W176" i="5"/>
  <c r="AA194" i="5"/>
  <c r="S194" i="5"/>
  <c r="V194" i="5"/>
  <c r="V176" i="5"/>
  <c r="Z194" i="5"/>
  <c r="R194" i="5"/>
  <c r="T230" i="5"/>
  <c r="T231" i="5" s="1"/>
  <c r="T126" i="5" s="1"/>
  <c r="T161" i="5" s="1"/>
  <c r="R231" i="5"/>
  <c r="R126" i="5" s="1"/>
  <c r="R161" i="5" s="1"/>
  <c r="Q231" i="5"/>
  <c r="Q126" i="5" s="1"/>
  <c r="Q161" i="5" s="1"/>
  <c r="S170" i="5"/>
  <c r="S171" i="5" s="1"/>
  <c r="Y194" i="5"/>
  <c r="AA176" i="5"/>
  <c r="S176" i="5"/>
  <c r="R34" i="5"/>
  <c r="R170" i="5"/>
  <c r="R171" i="5" s="1"/>
  <c r="U194" i="5"/>
  <c r="X171" i="5"/>
  <c r="Y171" i="5"/>
  <c r="Q34" i="5"/>
  <c r="Q170" i="5"/>
  <c r="Q171" i="5" s="1"/>
  <c r="T194" i="5"/>
  <c r="Z170" i="5"/>
  <c r="Z171" i="5" s="1"/>
  <c r="P171" i="5"/>
  <c r="P194" i="5"/>
  <c r="Y34" i="5"/>
  <c r="Q123" i="5"/>
  <c r="W123" i="5"/>
  <c r="V169" i="5"/>
  <c r="V171" i="5" s="1"/>
  <c r="T176" i="5"/>
  <c r="T34" i="5"/>
  <c r="AA123" i="5"/>
  <c r="S123" i="5"/>
  <c r="Q176" i="5"/>
  <c r="P176" i="5"/>
  <c r="U176" i="5"/>
  <c r="P161" i="5"/>
  <c r="T170" i="5"/>
  <c r="T171" i="5" s="1"/>
  <c r="W169" i="5"/>
  <c r="W171" i="5" s="1"/>
  <c r="X194" i="5"/>
  <c r="U170" i="5"/>
  <c r="U171" i="5" s="1"/>
  <c r="I230" i="5"/>
  <c r="M171" i="5"/>
  <c r="J176" i="5"/>
  <c r="O121" i="5"/>
  <c r="N176" i="5"/>
  <c r="L176" i="5"/>
  <c r="D176" i="5"/>
  <c r="I176" i="5"/>
  <c r="H176" i="5"/>
  <c r="G176" i="5"/>
  <c r="K176" i="5"/>
  <c r="O175" i="5"/>
  <c r="D231" i="5"/>
  <c r="D22" i="5"/>
  <c r="D39" i="5" s="1"/>
  <c r="K171" i="5"/>
  <c r="F176" i="5"/>
  <c r="D9" i="5"/>
  <c r="L171" i="5"/>
  <c r="M176" i="5"/>
  <c r="E176" i="5"/>
  <c r="D171" i="5"/>
  <c r="H171" i="5"/>
  <c r="H123" i="5"/>
  <c r="H230" i="5"/>
  <c r="N171" i="5"/>
  <c r="F171" i="5"/>
  <c r="J171" i="5"/>
  <c r="G171" i="5"/>
  <c r="I170" i="5"/>
  <c r="I171" i="5" s="1"/>
  <c r="E170" i="5"/>
  <c r="E171" i="5" s="1"/>
  <c r="K215" i="5"/>
  <c r="K231" i="5" s="1"/>
  <c r="K126" i="5" s="1"/>
  <c r="K161" i="5" s="1"/>
  <c r="K123" i="5"/>
  <c r="E123" i="5"/>
  <c r="D194" i="5"/>
  <c r="N123" i="5"/>
  <c r="F123" i="5"/>
  <c r="I123" i="5"/>
  <c r="L215" i="5"/>
  <c r="L231" i="5" s="1"/>
  <c r="L126" i="5" s="1"/>
  <c r="L161" i="5" s="1"/>
  <c r="L123" i="5"/>
  <c r="D123" i="5"/>
  <c r="G123" i="5"/>
  <c r="J123" i="5"/>
  <c r="I215" i="5"/>
  <c r="H215" i="5"/>
  <c r="N215" i="5"/>
  <c r="N231" i="5" s="1"/>
  <c r="N126" i="5" s="1"/>
  <c r="N161" i="5" s="1"/>
  <c r="M215" i="5"/>
  <c r="M231" i="5" s="1"/>
  <c r="M126" i="5" s="1"/>
  <c r="M161" i="5" s="1"/>
  <c r="E8" i="5"/>
  <c r="F8" i="5" s="1"/>
  <c r="F13" i="5" s="1"/>
  <c r="F23" i="5" s="1"/>
  <c r="N194" i="5"/>
  <c r="F194" i="5"/>
  <c r="M194" i="5"/>
  <c r="J194" i="5"/>
  <c r="L194" i="5"/>
  <c r="J231" i="5"/>
  <c r="J126" i="5" s="1"/>
  <c r="J161" i="5" s="1"/>
  <c r="E194" i="5"/>
  <c r="K194" i="5"/>
  <c r="G194" i="5"/>
  <c r="I194" i="5"/>
  <c r="H194" i="5"/>
  <c r="E6" i="5"/>
  <c r="AB169" i="5" l="1"/>
  <c r="AB126" i="5"/>
  <c r="D25" i="9" s="1"/>
  <c r="AB176" i="5"/>
  <c r="AB123" i="5"/>
  <c r="AB161" i="5"/>
  <c r="AB171" i="5"/>
  <c r="AB170" i="5"/>
  <c r="G8" i="5"/>
  <c r="G13" i="5" s="1"/>
  <c r="G23" i="5" s="1"/>
  <c r="E13" i="5"/>
  <c r="E23" i="5" s="1"/>
  <c r="I231" i="5"/>
  <c r="I126" i="5" s="1"/>
  <c r="I161" i="5" s="1"/>
  <c r="H231" i="5"/>
  <c r="H126" i="5" s="1"/>
  <c r="H161" i="5" s="1"/>
  <c r="F6" i="5"/>
  <c r="F12" i="5" s="1"/>
  <c r="E9" i="5"/>
  <c r="E12" i="5"/>
  <c r="D24" i="5"/>
  <c r="D14" i="5"/>
  <c r="D51" i="5" s="1"/>
  <c r="F22" i="5" l="1"/>
  <c r="F39" i="5" s="1"/>
  <c r="H8" i="5"/>
  <c r="I8" i="5" s="1"/>
  <c r="D110" i="5"/>
  <c r="E14" i="5"/>
  <c r="E51" i="5" s="1"/>
  <c r="D101" i="5"/>
  <c r="D111" i="5"/>
  <c r="D105" i="5"/>
  <c r="D102" i="5"/>
  <c r="E22" i="5"/>
  <c r="E24" i="5" s="1"/>
  <c r="G6" i="5"/>
  <c r="F9" i="5"/>
  <c r="F14" i="5"/>
  <c r="D19" i="5"/>
  <c r="D4" i="9" l="1"/>
  <c r="F24" i="5"/>
  <c r="F102" i="5" s="1"/>
  <c r="E110" i="5"/>
  <c r="F51" i="5"/>
  <c r="F110" i="5" s="1"/>
  <c r="H13" i="5"/>
  <c r="H23" i="5" s="1"/>
  <c r="D112" i="5"/>
  <c r="D147" i="5" s="1"/>
  <c r="D103" i="5"/>
  <c r="D140" i="5"/>
  <c r="E19" i="5"/>
  <c r="E101" i="5"/>
  <c r="E102" i="5"/>
  <c r="E111" i="5"/>
  <c r="E105" i="5"/>
  <c r="E39" i="5"/>
  <c r="G9" i="5"/>
  <c r="H6" i="5"/>
  <c r="G12" i="5"/>
  <c r="I13" i="5"/>
  <c r="I23" i="5" s="1"/>
  <c r="J8" i="5"/>
  <c r="E112" i="5" l="1"/>
  <c r="F111" i="5"/>
  <c r="F112" i="5" s="1"/>
  <c r="F101" i="5"/>
  <c r="F103" i="5" s="1"/>
  <c r="F19" i="5"/>
  <c r="F105" i="5"/>
  <c r="F4" i="9"/>
  <c r="E4" i="9"/>
  <c r="D106" i="5"/>
  <c r="D139" i="5"/>
  <c r="F140" i="5"/>
  <c r="E147" i="5"/>
  <c r="E140" i="5"/>
  <c r="E164" i="5" s="1"/>
  <c r="E103" i="5"/>
  <c r="G14" i="5"/>
  <c r="G51" i="5" s="1"/>
  <c r="G22" i="5"/>
  <c r="H9" i="5"/>
  <c r="I6" i="5"/>
  <c r="H12" i="5"/>
  <c r="J13" i="5"/>
  <c r="J23" i="5" s="1"/>
  <c r="K8" i="5"/>
  <c r="F147" i="5" l="1"/>
  <c r="F165" i="5" s="1"/>
  <c r="G110" i="5"/>
  <c r="E106" i="5"/>
  <c r="E107" i="5" s="1"/>
  <c r="E139" i="5"/>
  <c r="E163" i="5" s="1"/>
  <c r="F106" i="5"/>
  <c r="F107" i="5" s="1"/>
  <c r="F139" i="5"/>
  <c r="F164" i="5"/>
  <c r="E165" i="5"/>
  <c r="D113" i="5"/>
  <c r="D2" i="9" s="1"/>
  <c r="D6" i="9" s="1"/>
  <c r="D107" i="5"/>
  <c r="I9" i="5"/>
  <c r="J6" i="5"/>
  <c r="I12" i="5"/>
  <c r="H22" i="5"/>
  <c r="H14" i="5"/>
  <c r="H51" i="5" s="1"/>
  <c r="G24" i="5"/>
  <c r="G39" i="5"/>
  <c r="K13" i="5"/>
  <c r="K23" i="5" s="1"/>
  <c r="L8" i="5"/>
  <c r="D3" i="9" l="1"/>
  <c r="D5" i="9" s="1"/>
  <c r="G4" i="9"/>
  <c r="H110" i="5"/>
  <c r="E113" i="5"/>
  <c r="F163" i="5"/>
  <c r="F113" i="5"/>
  <c r="D114" i="5"/>
  <c r="D124" i="5"/>
  <c r="D125" i="5" s="1"/>
  <c r="G19" i="5"/>
  <c r="G101" i="5"/>
  <c r="G105" i="5"/>
  <c r="G111" i="5"/>
  <c r="G112" i="5" s="1"/>
  <c r="G102" i="5"/>
  <c r="H39" i="5"/>
  <c r="H24" i="5"/>
  <c r="I22" i="5"/>
  <c r="I14" i="5"/>
  <c r="I51" i="5" s="1"/>
  <c r="J9" i="5"/>
  <c r="J12" i="5"/>
  <c r="K6" i="5"/>
  <c r="M8" i="5"/>
  <c r="L13" i="5"/>
  <c r="L23" i="5" s="1"/>
  <c r="H4" i="9" l="1"/>
  <c r="E124" i="5"/>
  <c r="E125" i="5" s="1"/>
  <c r="E2" i="9"/>
  <c r="F124" i="5"/>
  <c r="F125" i="5" s="1"/>
  <c r="F2" i="9"/>
  <c r="I110" i="5"/>
  <c r="E114" i="5"/>
  <c r="F114" i="5"/>
  <c r="G140" i="5"/>
  <c r="G164" i="5" s="1"/>
  <c r="G147" i="5"/>
  <c r="G103" i="5"/>
  <c r="H19" i="5"/>
  <c r="H101" i="5"/>
  <c r="H111" i="5"/>
  <c r="H112" i="5" s="1"/>
  <c r="H102" i="5"/>
  <c r="H105" i="5"/>
  <c r="J14" i="5"/>
  <c r="J22" i="5"/>
  <c r="I24" i="5"/>
  <c r="I39" i="5"/>
  <c r="K9" i="5"/>
  <c r="K12" i="5"/>
  <c r="L6" i="5"/>
  <c r="M13" i="5"/>
  <c r="M23" i="5" s="1"/>
  <c r="N8" i="5"/>
  <c r="P8" i="5" s="1"/>
  <c r="F3" i="9" l="1"/>
  <c r="F5" i="9" s="1"/>
  <c r="F6" i="9"/>
  <c r="E3" i="9"/>
  <c r="E5" i="9" s="1"/>
  <c r="E6" i="9"/>
  <c r="I4" i="9"/>
  <c r="J51" i="5"/>
  <c r="J110" i="5" s="1"/>
  <c r="P13" i="5"/>
  <c r="P23" i="5" s="1"/>
  <c r="Q8" i="5"/>
  <c r="N13" i="5"/>
  <c r="N23" i="5" s="1"/>
  <c r="H140" i="5"/>
  <c r="H164" i="5" s="1"/>
  <c r="H147" i="5"/>
  <c r="G106" i="5"/>
  <c r="G107" i="5" s="1"/>
  <c r="G139" i="5"/>
  <c r="G163" i="5" s="1"/>
  <c r="G165" i="5"/>
  <c r="H103" i="5"/>
  <c r="I19" i="5"/>
  <c r="I101" i="5"/>
  <c r="I102" i="5"/>
  <c r="I105" i="5"/>
  <c r="I111" i="5"/>
  <c r="I112" i="5" s="1"/>
  <c r="L9" i="5"/>
  <c r="L12" i="5"/>
  <c r="M6" i="5"/>
  <c r="K22" i="5"/>
  <c r="K14" i="5"/>
  <c r="J39" i="5"/>
  <c r="J24" i="5"/>
  <c r="J4" i="9" l="1"/>
  <c r="K51" i="5"/>
  <c r="K110" i="5" s="1"/>
  <c r="Q13" i="5"/>
  <c r="Q23" i="5" s="1"/>
  <c r="R8" i="5"/>
  <c r="G113" i="5"/>
  <c r="I140" i="5"/>
  <c r="I164" i="5" s="1"/>
  <c r="I147" i="5"/>
  <c r="H106" i="5"/>
  <c r="H107" i="5" s="1"/>
  <c r="H139" i="5"/>
  <c r="H163" i="5" s="1"/>
  <c r="H165" i="5"/>
  <c r="J19" i="5"/>
  <c r="J101" i="5"/>
  <c r="J105" i="5"/>
  <c r="J111" i="5"/>
  <c r="J112" i="5" s="1"/>
  <c r="J102" i="5"/>
  <c r="I103" i="5"/>
  <c r="K39" i="5"/>
  <c r="K24" i="5"/>
  <c r="M9" i="5"/>
  <c r="N6" i="5"/>
  <c r="P6" i="5" s="1"/>
  <c r="M12" i="5"/>
  <c r="L22" i="5"/>
  <c r="L14" i="5"/>
  <c r="K4" i="9" l="1"/>
  <c r="G114" i="5"/>
  <c r="G2" i="9"/>
  <c r="M22" i="5"/>
  <c r="L51" i="5"/>
  <c r="L110" i="5" s="1"/>
  <c r="Q6" i="5"/>
  <c r="P12" i="5"/>
  <c r="P9" i="5"/>
  <c r="S8" i="5"/>
  <c r="R13" i="5"/>
  <c r="R23" i="5" s="1"/>
  <c r="H113" i="5"/>
  <c r="G124" i="5"/>
  <c r="G125" i="5" s="1"/>
  <c r="J103" i="5"/>
  <c r="J147" i="5"/>
  <c r="J140" i="5"/>
  <c r="J164" i="5" s="1"/>
  <c r="I106" i="5"/>
  <c r="I113" i="5" s="1"/>
  <c r="I2" i="9" s="1"/>
  <c r="I139" i="5"/>
  <c r="I163" i="5" s="1"/>
  <c r="I165" i="5"/>
  <c r="K19" i="5"/>
  <c r="K101" i="5"/>
  <c r="K105" i="5"/>
  <c r="K102" i="5"/>
  <c r="K111" i="5"/>
  <c r="K112" i="5" s="1"/>
  <c r="L24" i="5"/>
  <c r="L39" i="5"/>
  <c r="M14" i="5"/>
  <c r="M51" i="5" s="1"/>
  <c r="N9" i="5"/>
  <c r="N12" i="5"/>
  <c r="I3" i="9" l="1"/>
  <c r="I5" i="9" s="1"/>
  <c r="I6" i="9"/>
  <c r="H124" i="5"/>
  <c r="H125" i="5" s="1"/>
  <c r="H2" i="9"/>
  <c r="G3" i="9"/>
  <c r="G5" i="9" s="1"/>
  <c r="G6" i="9"/>
  <c r="L4" i="9"/>
  <c r="M110" i="5"/>
  <c r="T8" i="5"/>
  <c r="S13" i="5"/>
  <c r="S23" i="5" s="1"/>
  <c r="P14" i="5"/>
  <c r="P51" i="5" s="1"/>
  <c r="P110" i="5" s="1"/>
  <c r="P22" i="5"/>
  <c r="R6" i="5"/>
  <c r="Q12" i="5"/>
  <c r="Q9" i="5"/>
  <c r="H114" i="5"/>
  <c r="K103" i="5"/>
  <c r="K106" i="5" s="1"/>
  <c r="K113" i="5" s="1"/>
  <c r="K2" i="9" s="1"/>
  <c r="K3" i="9" s="1"/>
  <c r="K5" i="9" s="1"/>
  <c r="I107" i="5"/>
  <c r="J106" i="5"/>
  <c r="J139" i="5"/>
  <c r="J163" i="5" s="1"/>
  <c r="J165" i="5"/>
  <c r="K147" i="5"/>
  <c r="K140" i="5"/>
  <c r="K164" i="5" s="1"/>
  <c r="L19" i="5"/>
  <c r="L101" i="5"/>
  <c r="L111" i="5"/>
  <c r="L112" i="5" s="1"/>
  <c r="L105" i="5"/>
  <c r="L102" i="5"/>
  <c r="I114" i="5"/>
  <c r="I124" i="5"/>
  <c r="I125" i="5" s="1"/>
  <c r="N22" i="5"/>
  <c r="N14" i="5"/>
  <c r="M39" i="5"/>
  <c r="M24" i="5"/>
  <c r="H3" i="9" l="1"/>
  <c r="H5" i="9" s="1"/>
  <c r="H6" i="9"/>
  <c r="M4" i="9"/>
  <c r="K6" i="9"/>
  <c r="N51" i="5"/>
  <c r="N110" i="5" s="1"/>
  <c r="Q22" i="5"/>
  <c r="Q14" i="5"/>
  <c r="Q51" i="5" s="1"/>
  <c r="Q110" i="5" s="1"/>
  <c r="P39" i="5"/>
  <c r="P24" i="5"/>
  <c r="S6" i="5"/>
  <c r="R12" i="5"/>
  <c r="R9" i="5"/>
  <c r="U8" i="5"/>
  <c r="T13" i="5"/>
  <c r="T23" i="5" s="1"/>
  <c r="K139" i="5"/>
  <c r="K163" i="5" s="1"/>
  <c r="L103" i="5"/>
  <c r="L106" i="5" s="1"/>
  <c r="L113" i="5" s="1"/>
  <c r="L2" i="9" s="1"/>
  <c r="L3" i="9" s="1"/>
  <c r="L5" i="9" s="1"/>
  <c r="K165" i="5"/>
  <c r="L140" i="5"/>
  <c r="L164" i="5" s="1"/>
  <c r="L147" i="5"/>
  <c r="K107" i="5"/>
  <c r="J113" i="5"/>
  <c r="J2" i="9" s="1"/>
  <c r="J107" i="5"/>
  <c r="K124" i="5"/>
  <c r="K125" i="5" s="1"/>
  <c r="K114" i="5"/>
  <c r="M19" i="5"/>
  <c r="M101" i="5"/>
  <c r="M102" i="5"/>
  <c r="M111" i="5"/>
  <c r="M112" i="5" s="1"/>
  <c r="M105" i="5"/>
  <c r="N24" i="5"/>
  <c r="N39" i="5"/>
  <c r="N4" i="9" l="1"/>
  <c r="J3" i="9"/>
  <c r="J5" i="9" s="1"/>
  <c r="J6" i="9"/>
  <c r="L6" i="9"/>
  <c r="P19" i="5"/>
  <c r="P101" i="5"/>
  <c r="P111" i="5"/>
  <c r="P102" i="5"/>
  <c r="P105" i="5"/>
  <c r="T6" i="5"/>
  <c r="S12" i="5"/>
  <c r="S9" i="5"/>
  <c r="R22" i="5"/>
  <c r="R14" i="5"/>
  <c r="R51" i="5" s="1"/>
  <c r="R110" i="5" s="1"/>
  <c r="Q24" i="5"/>
  <c r="Q19" i="5" s="1"/>
  <c r="Q39" i="5"/>
  <c r="V8" i="5"/>
  <c r="U13" i="5"/>
  <c r="U23" i="5" s="1"/>
  <c r="L139" i="5"/>
  <c r="L163" i="5" s="1"/>
  <c r="L107" i="5"/>
  <c r="J114" i="5"/>
  <c r="J124" i="5"/>
  <c r="J125" i="5" s="1"/>
  <c r="L165" i="5"/>
  <c r="M147" i="5"/>
  <c r="M140" i="5"/>
  <c r="M164" i="5" s="1"/>
  <c r="M103" i="5"/>
  <c r="N19" i="5"/>
  <c r="N101" i="5"/>
  <c r="N111" i="5"/>
  <c r="N112" i="5" s="1"/>
  <c r="N105" i="5"/>
  <c r="N102" i="5"/>
  <c r="L124" i="5"/>
  <c r="L125" i="5" s="1"/>
  <c r="L114" i="5"/>
  <c r="P112" i="5" l="1"/>
  <c r="P147" i="5" s="1"/>
  <c r="P140" i="5"/>
  <c r="P103" i="5"/>
  <c r="Q101" i="5"/>
  <c r="Q111" i="5"/>
  <c r="Q112" i="5" s="1"/>
  <c r="Q102" i="5"/>
  <c r="Q105" i="5"/>
  <c r="W8" i="5"/>
  <c r="V13" i="5"/>
  <c r="V23" i="5" s="1"/>
  <c r="R24" i="5"/>
  <c r="R19" i="5" s="1"/>
  <c r="R39" i="5"/>
  <c r="U6" i="5"/>
  <c r="T12" i="5"/>
  <c r="T9" i="5"/>
  <c r="S14" i="5"/>
  <c r="S51" i="5" s="1"/>
  <c r="S110" i="5" s="1"/>
  <c r="S22" i="5"/>
  <c r="M106" i="5"/>
  <c r="M113" i="5" s="1"/>
  <c r="M2" i="9" s="1"/>
  <c r="M139" i="5"/>
  <c r="M163" i="5" s="1"/>
  <c r="N147" i="5"/>
  <c r="N165" i="5" s="1"/>
  <c r="N140" i="5"/>
  <c r="N164" i="5" s="1"/>
  <c r="M165" i="5"/>
  <c r="N103" i="5"/>
  <c r="P139" i="5" l="1"/>
  <c r="M3" i="9"/>
  <c r="M5" i="9" s="1"/>
  <c r="M6" i="9"/>
  <c r="Q103" i="5"/>
  <c r="Q106" i="5" s="1"/>
  <c r="Q107" i="5" s="1"/>
  <c r="P164" i="5"/>
  <c r="Q147" i="5"/>
  <c r="Q165" i="5" s="1"/>
  <c r="Q140" i="5"/>
  <c r="Q164" i="5" s="1"/>
  <c r="P165" i="5"/>
  <c r="P106" i="5"/>
  <c r="R101" i="5"/>
  <c r="R111" i="5"/>
  <c r="R112" i="5" s="1"/>
  <c r="R105" i="5"/>
  <c r="R102" i="5"/>
  <c r="T14" i="5"/>
  <c r="T51" i="5" s="1"/>
  <c r="T110" i="5" s="1"/>
  <c r="T22" i="5"/>
  <c r="V6" i="5"/>
  <c r="U12" i="5"/>
  <c r="U9" i="5"/>
  <c r="S24" i="5"/>
  <c r="S19" i="5" s="1"/>
  <c r="S39" i="5"/>
  <c r="X8" i="5"/>
  <c r="W13" i="5"/>
  <c r="W23" i="5" s="1"/>
  <c r="M107" i="5"/>
  <c r="N106" i="5"/>
  <c r="N113" i="5" s="1"/>
  <c r="N2" i="9" s="1"/>
  <c r="N139" i="5"/>
  <c r="N163" i="5" s="1"/>
  <c r="M124" i="5"/>
  <c r="M125" i="5" s="1"/>
  <c r="M114" i="5"/>
  <c r="N3" i="9" l="1"/>
  <c r="N5" i="9" s="1"/>
  <c r="N6" i="9"/>
  <c r="Q139" i="5"/>
  <c r="Q163" i="5" s="1"/>
  <c r="Q113" i="5"/>
  <c r="Q114" i="5" s="1"/>
  <c r="R147" i="5"/>
  <c r="R140" i="5"/>
  <c r="P163" i="5"/>
  <c r="P107" i="5"/>
  <c r="P113" i="5"/>
  <c r="S101" i="5"/>
  <c r="S102" i="5"/>
  <c r="S105" i="5"/>
  <c r="S111" i="5"/>
  <c r="S112" i="5" s="1"/>
  <c r="R103" i="5"/>
  <c r="U22" i="5"/>
  <c r="U14" i="5"/>
  <c r="U51" i="5" s="1"/>
  <c r="U110" i="5" s="1"/>
  <c r="W6" i="5"/>
  <c r="V12" i="5"/>
  <c r="V9" i="5"/>
  <c r="T39" i="5"/>
  <c r="T24" i="5"/>
  <c r="T19" i="5" s="1"/>
  <c r="Y8" i="5"/>
  <c r="X13" i="5"/>
  <c r="X23" i="5" s="1"/>
  <c r="N107" i="5"/>
  <c r="N114" i="5"/>
  <c r="N124" i="5"/>
  <c r="N125" i="5" s="1"/>
  <c r="R164" i="5" l="1"/>
  <c r="R165" i="5"/>
  <c r="Q124" i="5"/>
  <c r="Q125" i="5" s="1"/>
  <c r="R106" i="5"/>
  <c r="R139" i="5"/>
  <c r="R163" i="5" s="1"/>
  <c r="T101" i="5"/>
  <c r="T105" i="5"/>
  <c r="T111" i="5"/>
  <c r="T102" i="5"/>
  <c r="S103" i="5"/>
  <c r="S140" i="5"/>
  <c r="S164" i="5" s="1"/>
  <c r="S147" i="5"/>
  <c r="S165" i="5" s="1"/>
  <c r="P114" i="5"/>
  <c r="P124" i="5"/>
  <c r="V22" i="5"/>
  <c r="V14" i="5"/>
  <c r="V51" i="5" s="1"/>
  <c r="V110" i="5" s="1"/>
  <c r="X6" i="5"/>
  <c r="W12" i="5"/>
  <c r="W9" i="5"/>
  <c r="Z8" i="5"/>
  <c r="Y13" i="5"/>
  <c r="Y23" i="5" s="1"/>
  <c r="U39" i="5"/>
  <c r="U24" i="5"/>
  <c r="U19" i="5" s="1"/>
  <c r="T112" i="5" l="1"/>
  <c r="T147" i="5" s="1"/>
  <c r="T165" i="5" s="1"/>
  <c r="T140" i="5"/>
  <c r="T164" i="5" s="1"/>
  <c r="T103" i="5"/>
  <c r="P125" i="5"/>
  <c r="U101" i="5"/>
  <c r="U102" i="5"/>
  <c r="U105" i="5"/>
  <c r="U111" i="5"/>
  <c r="U112" i="5" s="1"/>
  <c r="S106" i="5"/>
  <c r="S139" i="5"/>
  <c r="S163" i="5" s="1"/>
  <c r="R107" i="5"/>
  <c r="R113" i="5"/>
  <c r="Y6" i="5"/>
  <c r="X12" i="5"/>
  <c r="X9" i="5"/>
  <c r="W22" i="5"/>
  <c r="W14" i="5"/>
  <c r="W51" i="5" s="1"/>
  <c r="W110" i="5" s="1"/>
  <c r="AA8" i="5"/>
  <c r="AA13" i="5" s="1"/>
  <c r="AA23" i="5" s="1"/>
  <c r="Z13" i="5"/>
  <c r="Z23" i="5" s="1"/>
  <c r="V39" i="5"/>
  <c r="V24" i="5"/>
  <c r="V19" i="5" s="1"/>
  <c r="V105" i="5" l="1"/>
  <c r="V101" i="5"/>
  <c r="V102" i="5"/>
  <c r="V111" i="5"/>
  <c r="V112" i="5" s="1"/>
  <c r="S107" i="5"/>
  <c r="S113" i="5"/>
  <c r="T106" i="5"/>
  <c r="T139" i="5"/>
  <c r="T163" i="5" s="1"/>
  <c r="R114" i="5"/>
  <c r="R124" i="5"/>
  <c r="U147" i="5"/>
  <c r="U165" i="5" s="1"/>
  <c r="U140" i="5"/>
  <c r="U164" i="5" s="1"/>
  <c r="U103" i="5"/>
  <c r="Z6" i="5"/>
  <c r="Y12" i="5"/>
  <c r="Y9" i="5"/>
  <c r="W39" i="5"/>
  <c r="W24" i="5"/>
  <c r="W19" i="5" s="1"/>
  <c r="X22" i="5"/>
  <c r="X14" i="5"/>
  <c r="X51" i="5" s="1"/>
  <c r="X110" i="5" s="1"/>
  <c r="R125" i="5" l="1"/>
  <c r="U106" i="5"/>
  <c r="U139" i="5"/>
  <c r="U163" i="5" s="1"/>
  <c r="T107" i="5"/>
  <c r="T113" i="5"/>
  <c r="S114" i="5"/>
  <c r="S124" i="5"/>
  <c r="S125" i="5" s="1"/>
  <c r="W101" i="5"/>
  <c r="W105" i="5"/>
  <c r="W102" i="5"/>
  <c r="W111" i="5"/>
  <c r="W112" i="5" s="1"/>
  <c r="V103" i="5"/>
  <c r="V139" i="5" s="1"/>
  <c r="V140" i="5"/>
  <c r="V164" i="5" s="1"/>
  <c r="V147" i="5"/>
  <c r="V165" i="5" s="1"/>
  <c r="AA6" i="5"/>
  <c r="Z12" i="5"/>
  <c r="Z9" i="5"/>
  <c r="X39" i="5"/>
  <c r="X24" i="5"/>
  <c r="X19" i="5" s="1"/>
  <c r="Y22" i="5"/>
  <c r="Y14" i="5"/>
  <c r="Y51" i="5" s="1"/>
  <c r="Y110" i="5" s="1"/>
  <c r="V163" i="5" l="1"/>
  <c r="V106" i="5"/>
  <c r="V107" i="5" s="1"/>
  <c r="T114" i="5"/>
  <c r="T124" i="5"/>
  <c r="T125" i="5" s="1"/>
  <c r="W147" i="5"/>
  <c r="W165" i="5" s="1"/>
  <c r="W140" i="5"/>
  <c r="W164" i="5" s="1"/>
  <c r="W103" i="5"/>
  <c r="W139" i="5" s="1"/>
  <c r="W163" i="5" s="1"/>
  <c r="X111" i="5"/>
  <c r="X112" i="5" s="1"/>
  <c r="X101" i="5"/>
  <c r="X102" i="5"/>
  <c r="X105" i="5"/>
  <c r="U107" i="5"/>
  <c r="U113" i="5"/>
  <c r="Y24" i="5"/>
  <c r="Y19" i="5" s="1"/>
  <c r="Y39" i="5"/>
  <c r="Z14" i="5"/>
  <c r="Z51" i="5" s="1"/>
  <c r="Z110" i="5" s="1"/>
  <c r="Z22" i="5"/>
  <c r="AA12" i="5"/>
  <c r="AA9" i="5"/>
  <c r="V113" i="5" l="1"/>
  <c r="V114" i="5" s="1"/>
  <c r="X147" i="5"/>
  <c r="X165" i="5" s="1"/>
  <c r="X140" i="5"/>
  <c r="X164" i="5" s="1"/>
  <c r="W106" i="5"/>
  <c r="Y101" i="5"/>
  <c r="Y111" i="5"/>
  <c r="Y112" i="5" s="1"/>
  <c r="Y105" i="5"/>
  <c r="Y102" i="5"/>
  <c r="X103" i="5"/>
  <c r="X139" i="5" s="1"/>
  <c r="X163" i="5" s="1"/>
  <c r="U114" i="5"/>
  <c r="U124" i="5"/>
  <c r="U125" i="5" s="1"/>
  <c r="Z24" i="5"/>
  <c r="Z19" i="5" s="1"/>
  <c r="Z39" i="5"/>
  <c r="AA14" i="5"/>
  <c r="AA51" i="5" s="1"/>
  <c r="AA110" i="5" s="1"/>
  <c r="AB110" i="5" s="1"/>
  <c r="AA22" i="5"/>
  <c r="V124" i="5" l="1"/>
  <c r="V125" i="5" s="1"/>
  <c r="Y103" i="5"/>
  <c r="Y139" i="5" s="1"/>
  <c r="Y163" i="5" s="1"/>
  <c r="W107" i="5"/>
  <c r="W113" i="5"/>
  <c r="Y147" i="5"/>
  <c r="Y165" i="5" s="1"/>
  <c r="Y140" i="5"/>
  <c r="Y164" i="5" s="1"/>
  <c r="X106" i="5"/>
  <c r="Z101" i="5"/>
  <c r="Z102" i="5"/>
  <c r="Z105" i="5"/>
  <c r="Z111" i="5"/>
  <c r="Z112" i="5" s="1"/>
  <c r="AA24" i="5"/>
  <c r="AA19" i="5" s="1"/>
  <c r="AA39" i="5"/>
  <c r="Y106" i="5" l="1"/>
  <c r="Y107" i="5" s="1"/>
  <c r="X107" i="5"/>
  <c r="X113" i="5"/>
  <c r="AA101" i="5"/>
  <c r="AB101" i="5" s="1"/>
  <c r="AA105" i="5"/>
  <c r="AB105" i="5" s="1"/>
  <c r="AA111" i="5"/>
  <c r="AA102" i="5"/>
  <c r="AB102" i="5" s="1"/>
  <c r="W114" i="5"/>
  <c r="W124" i="5"/>
  <c r="W125" i="5" s="1"/>
  <c r="Z147" i="5"/>
  <c r="Z165" i="5" s="1"/>
  <c r="Z140" i="5"/>
  <c r="Z164" i="5" s="1"/>
  <c r="Z103" i="5"/>
  <c r="C174" i="5"/>
  <c r="C188" i="5"/>
  <c r="C193" i="5"/>
  <c r="C170" i="5" s="1"/>
  <c r="O170" i="5" s="1"/>
  <c r="C192" i="5"/>
  <c r="C230" i="5"/>
  <c r="C215" i="5"/>
  <c r="C231" i="5" s="1"/>
  <c r="C119" i="5"/>
  <c r="O119" i="5" s="1"/>
  <c r="C120" i="5"/>
  <c r="O120" i="5" s="1"/>
  <c r="C122" i="5"/>
  <c r="O122" i="5" s="1"/>
  <c r="C118" i="5"/>
  <c r="O118" i="5" s="1"/>
  <c r="C116" i="5"/>
  <c r="C13" i="5"/>
  <c r="C23" i="5" s="1"/>
  <c r="C24" i="5" s="1"/>
  <c r="C97" i="5"/>
  <c r="D97" i="5" s="1"/>
  <c r="E97" i="5" s="1"/>
  <c r="F97" i="5" s="1"/>
  <c r="G97" i="5" s="1"/>
  <c r="H97" i="5" s="1"/>
  <c r="I97" i="5" s="1"/>
  <c r="J97" i="5" s="1"/>
  <c r="K97" i="5" s="1"/>
  <c r="L97" i="5" s="1"/>
  <c r="M97" i="5" s="1"/>
  <c r="N97" i="5" s="1"/>
  <c r="P97" i="5" s="1"/>
  <c r="Q97" i="5" s="1"/>
  <c r="R97" i="5" s="1"/>
  <c r="S97" i="5" s="1"/>
  <c r="T97" i="5" s="1"/>
  <c r="U97" i="5" s="1"/>
  <c r="V97" i="5" s="1"/>
  <c r="W97" i="5" s="1"/>
  <c r="X97" i="5" s="1"/>
  <c r="Y97" i="5" s="1"/>
  <c r="Z97" i="5" s="1"/>
  <c r="AA97" i="5" s="1"/>
  <c r="C101" i="5" l="1"/>
  <c r="C111" i="5"/>
  <c r="C105" i="5"/>
  <c r="C102" i="5"/>
  <c r="C169" i="5"/>
  <c r="O169" i="5" s="1"/>
  <c r="C197" i="5"/>
  <c r="C233" i="5" s="1"/>
  <c r="D187" i="5" s="1"/>
  <c r="C198" i="5"/>
  <c r="C234" i="5" s="1"/>
  <c r="AA112" i="5"/>
  <c r="AB112" i="5" s="1"/>
  <c r="AB111" i="5"/>
  <c r="Y113" i="5"/>
  <c r="Y114" i="5" s="1"/>
  <c r="AA103" i="5"/>
  <c r="AB103" i="5" s="1"/>
  <c r="X114" i="5"/>
  <c r="X124" i="5"/>
  <c r="X125" i="5" s="1"/>
  <c r="Z139" i="5"/>
  <c r="Z163" i="5" s="1"/>
  <c r="Z106" i="5"/>
  <c r="AA140" i="5"/>
  <c r="C176" i="5"/>
  <c r="O176" i="5" s="1"/>
  <c r="O174" i="5"/>
  <c r="O116" i="5"/>
  <c r="C123" i="5"/>
  <c r="O123" i="5" s="1"/>
  <c r="C39" i="5"/>
  <c r="C40" i="5" s="1"/>
  <c r="C171" i="5"/>
  <c r="O171" i="5" s="1"/>
  <c r="C239" i="5"/>
  <c r="C240" i="5" s="1"/>
  <c r="C194" i="5"/>
  <c r="C126" i="5"/>
  <c r="G231" i="5"/>
  <c r="G126" i="5" s="1"/>
  <c r="G161" i="5" s="1"/>
  <c r="E231" i="5"/>
  <c r="E126" i="5" s="1"/>
  <c r="E161" i="5" s="1"/>
  <c r="D126" i="5"/>
  <c r="D161" i="5" s="1"/>
  <c r="C189" i="5"/>
  <c r="F231" i="5"/>
  <c r="F126" i="5" s="1"/>
  <c r="F161" i="5" s="1"/>
  <c r="C14" i="5"/>
  <c r="C140" i="5" l="1"/>
  <c r="Y124" i="5"/>
  <c r="Y125" i="5" s="1"/>
  <c r="AA147" i="5"/>
  <c r="AA164" i="5"/>
  <c r="AB164" i="5" s="1"/>
  <c r="AB140" i="5"/>
  <c r="Z107" i="5"/>
  <c r="Z113" i="5"/>
  <c r="AA139" i="5"/>
  <c r="AA106" i="5"/>
  <c r="AB106" i="5" s="1"/>
  <c r="AB107" i="5" s="1"/>
  <c r="C51" i="5"/>
  <c r="C110" i="5" s="1"/>
  <c r="C142" i="5"/>
  <c r="D197" i="5"/>
  <c r="D233" i="5" s="1"/>
  <c r="C161" i="5"/>
  <c r="O161" i="5" s="1"/>
  <c r="O126" i="5"/>
  <c r="C25" i="9" s="1"/>
  <c r="D237" i="5"/>
  <c r="C127" i="5"/>
  <c r="C19" i="5"/>
  <c r="C143" i="5"/>
  <c r="D188" i="5"/>
  <c r="D198" i="5" s="1"/>
  <c r="D234" i="5" s="1"/>
  <c r="O101" i="5"/>
  <c r="C199" i="5"/>
  <c r="C235" i="5"/>
  <c r="C148" i="5"/>
  <c r="O102" i="5"/>
  <c r="C41" i="5"/>
  <c r="C42" i="5" s="1"/>
  <c r="D38" i="5" s="1"/>
  <c r="D40" i="5" s="1"/>
  <c r="AA163" i="5" l="1"/>
  <c r="AB163" i="5" s="1"/>
  <c r="AB139" i="5"/>
  <c r="AA165" i="5"/>
  <c r="AB165" i="5" s="1"/>
  <c r="AB147" i="5"/>
  <c r="O110" i="5"/>
  <c r="C4" i="9"/>
  <c r="AA107" i="5"/>
  <c r="AA113" i="5"/>
  <c r="AB113" i="5" s="1"/>
  <c r="Z114" i="5"/>
  <c r="Z124" i="5"/>
  <c r="Z125" i="5" s="1"/>
  <c r="C144" i="5"/>
  <c r="D235" i="5"/>
  <c r="E187" i="5"/>
  <c r="E197" i="5" s="1"/>
  <c r="D142" i="5"/>
  <c r="O140" i="5"/>
  <c r="O105" i="5"/>
  <c r="D239" i="5"/>
  <c r="C112" i="5"/>
  <c r="O111" i="5"/>
  <c r="D143" i="5"/>
  <c r="E188" i="5"/>
  <c r="E198" i="5" s="1"/>
  <c r="E234" i="5" s="1"/>
  <c r="D199" i="5"/>
  <c r="D189" i="5"/>
  <c r="D41" i="5"/>
  <c r="D42" i="5" s="1"/>
  <c r="E38" i="5" s="1"/>
  <c r="E40" i="5" s="1"/>
  <c r="E41" i="5" s="1"/>
  <c r="E42" i="5" s="1"/>
  <c r="F38" i="5" s="1"/>
  <c r="F40" i="5" s="1"/>
  <c r="F41" i="5" s="1"/>
  <c r="F42" i="5" s="1"/>
  <c r="G38" i="5" s="1"/>
  <c r="G40" i="5" s="1"/>
  <c r="G41" i="5" s="1"/>
  <c r="G42" i="5" s="1"/>
  <c r="H38" i="5" s="1"/>
  <c r="H40" i="5" s="1"/>
  <c r="H41" i="5" s="1"/>
  <c r="H42" i="5" s="1"/>
  <c r="I38" i="5" s="1"/>
  <c r="I40" i="5" s="1"/>
  <c r="I41" i="5" s="1"/>
  <c r="I42" i="5" s="1"/>
  <c r="J38" i="5" s="1"/>
  <c r="J40" i="5" s="1"/>
  <c r="J41" i="5" s="1"/>
  <c r="J42" i="5" s="1"/>
  <c r="K38" i="5" s="1"/>
  <c r="K40" i="5" s="1"/>
  <c r="K41" i="5" s="1"/>
  <c r="K42" i="5" s="1"/>
  <c r="L38" i="5" s="1"/>
  <c r="L40" i="5" s="1"/>
  <c r="L41" i="5" s="1"/>
  <c r="L42" i="5" s="1"/>
  <c r="M38" i="5" s="1"/>
  <c r="M40" i="5" s="1"/>
  <c r="M41" i="5" s="1"/>
  <c r="M42" i="5" s="1"/>
  <c r="N38" i="5" s="1"/>
  <c r="N40" i="5" s="1"/>
  <c r="N41" i="5" s="1"/>
  <c r="N42" i="5" s="1"/>
  <c r="P38" i="5" s="1"/>
  <c r="P40" i="5" s="1"/>
  <c r="P41" i="5" s="1"/>
  <c r="P42" i="5" s="1"/>
  <c r="Q38" i="5" s="1"/>
  <c r="Q40" i="5" s="1"/>
  <c r="C103" i="5"/>
  <c r="O103" i="5" l="1"/>
  <c r="C139" i="5"/>
  <c r="O112" i="5"/>
  <c r="C147" i="5"/>
  <c r="D165" i="5" s="1"/>
  <c r="D26" i="9"/>
  <c r="AA114" i="5"/>
  <c r="AA124" i="5"/>
  <c r="Q41" i="5"/>
  <c r="Q42" i="5" s="1"/>
  <c r="R38" i="5" s="1"/>
  <c r="R40" i="5" s="1"/>
  <c r="R41" i="5" s="1"/>
  <c r="R42" i="5" s="1"/>
  <c r="S38" i="5" s="1"/>
  <c r="S40" i="5" s="1"/>
  <c r="S41" i="5" s="1"/>
  <c r="S42" i="5" s="1"/>
  <c r="T38" i="5" s="1"/>
  <c r="T40" i="5" s="1"/>
  <c r="T41" i="5" s="1"/>
  <c r="T42" i="5" s="1"/>
  <c r="U38" i="5" s="1"/>
  <c r="U40" i="5" s="1"/>
  <c r="U41" i="5" s="1"/>
  <c r="U42" i="5" s="1"/>
  <c r="V38" i="5" s="1"/>
  <c r="V40" i="5" s="1"/>
  <c r="D144" i="5"/>
  <c r="D164" i="5"/>
  <c r="C163" i="5"/>
  <c r="D148" i="5"/>
  <c r="E237" i="5"/>
  <c r="E239" i="5" s="1"/>
  <c r="E148" i="5" s="1"/>
  <c r="E149" i="5" s="1"/>
  <c r="D240" i="5"/>
  <c r="D127" i="5" s="1"/>
  <c r="F188" i="5"/>
  <c r="F198" i="5" s="1"/>
  <c r="F234" i="5" s="1"/>
  <c r="E143" i="5"/>
  <c r="E189" i="5"/>
  <c r="E199" i="5"/>
  <c r="E233" i="5"/>
  <c r="C164" i="5"/>
  <c r="C106" i="5"/>
  <c r="D8" i="1"/>
  <c r="D19" i="1" s="1"/>
  <c r="H19" i="1" s="1"/>
  <c r="B146" i="1"/>
  <c r="K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31" i="1"/>
  <c r="L131" i="1" s="1"/>
  <c r="B147" i="1"/>
  <c r="B71" i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H23" i="1"/>
  <c r="D9" i="1"/>
  <c r="D20" i="1" s="1"/>
  <c r="H20" i="1" s="1"/>
  <c r="D10" i="1"/>
  <c r="D21" i="1" s="1"/>
  <c r="H21" i="1" s="1"/>
  <c r="D11" i="1"/>
  <c r="D22" i="1" s="1"/>
  <c r="H22" i="1" s="1"/>
  <c r="O106" i="5" l="1"/>
  <c r="C113" i="5"/>
  <c r="C114" i="5" s="1"/>
  <c r="C107" i="5"/>
  <c r="AA125" i="5"/>
  <c r="AB124" i="5"/>
  <c r="C31" i="9" s="1"/>
  <c r="V41" i="5"/>
  <c r="V42" i="5" s="1"/>
  <c r="W38" i="5" s="1"/>
  <c r="W40" i="5" s="1"/>
  <c r="W41" i="5" s="1"/>
  <c r="W42" i="5" s="1"/>
  <c r="X38" i="5" s="1"/>
  <c r="X40" i="5" s="1"/>
  <c r="X41" i="5" s="1"/>
  <c r="X42" i="5" s="1"/>
  <c r="Y38" i="5" s="1"/>
  <c r="Y40" i="5" s="1"/>
  <c r="Y41" i="5" s="1"/>
  <c r="Y42" i="5" s="1"/>
  <c r="Z38" i="5" s="1"/>
  <c r="Z40" i="5" s="1"/>
  <c r="Z41" i="5" s="1"/>
  <c r="Z42" i="5" s="1"/>
  <c r="AA38" i="5" s="1"/>
  <c r="AA40" i="5" s="1"/>
  <c r="F237" i="5"/>
  <c r="F239" i="5" s="1"/>
  <c r="F148" i="5" s="1"/>
  <c r="F149" i="5" s="1"/>
  <c r="C149" i="5"/>
  <c r="O164" i="5"/>
  <c r="O147" i="5"/>
  <c r="C165" i="5"/>
  <c r="O165" i="5" s="1"/>
  <c r="D149" i="5"/>
  <c r="D163" i="5"/>
  <c r="O163" i="5" s="1"/>
  <c r="O139" i="5"/>
  <c r="D128" i="5"/>
  <c r="E240" i="5"/>
  <c r="E127" i="5" s="1"/>
  <c r="O107" i="5"/>
  <c r="G188" i="5"/>
  <c r="G198" i="5" s="1"/>
  <c r="G234" i="5" s="1"/>
  <c r="F143" i="5"/>
  <c r="E235" i="5"/>
  <c r="E142" i="5"/>
  <c r="F187" i="5"/>
  <c r="L145" i="1"/>
  <c r="J145" i="1"/>
  <c r="B148" i="1"/>
  <c r="H69" i="1"/>
  <c r="D69" i="1"/>
  <c r="F69" i="1"/>
  <c r="C2" i="9" l="1"/>
  <c r="C6" i="9" s="1"/>
  <c r="C26" i="9"/>
  <c r="C32" i="9"/>
  <c r="AB125" i="5"/>
  <c r="E128" i="5"/>
  <c r="E129" i="5" s="1"/>
  <c r="AA41" i="5"/>
  <c r="AA42" i="5" s="1"/>
  <c r="G237" i="5"/>
  <c r="G239" i="5" s="1"/>
  <c r="G148" i="5" s="1"/>
  <c r="G149" i="5" s="1"/>
  <c r="F240" i="5"/>
  <c r="F127" i="5" s="1"/>
  <c r="E144" i="5"/>
  <c r="D129" i="5"/>
  <c r="D130" i="5"/>
  <c r="D131" i="5" s="1"/>
  <c r="C124" i="5"/>
  <c r="O124" i="5" s="1"/>
  <c r="O125" i="5" s="1"/>
  <c r="O113" i="5"/>
  <c r="G143" i="5"/>
  <c r="H188" i="5"/>
  <c r="H198" i="5" s="1"/>
  <c r="H234" i="5" s="1"/>
  <c r="F197" i="5"/>
  <c r="F189" i="5"/>
  <c r="B149" i="1"/>
  <c r="B150" i="1" s="1"/>
  <c r="C3" i="9" l="1"/>
  <c r="C5" i="9" s="1"/>
  <c r="E130" i="5"/>
  <c r="E131" i="5" s="1"/>
  <c r="E134" i="5" s="1"/>
  <c r="F128" i="5"/>
  <c r="F130" i="5" s="1"/>
  <c r="F131" i="5" s="1"/>
  <c r="F160" i="5" s="1"/>
  <c r="F166" i="5" s="1"/>
  <c r="F178" i="5" s="1"/>
  <c r="F181" i="5" s="1"/>
  <c r="G240" i="5"/>
  <c r="G127" i="5" s="1"/>
  <c r="H237" i="5"/>
  <c r="H239" i="5" s="1"/>
  <c r="I237" i="5" s="1"/>
  <c r="I239" i="5" s="1"/>
  <c r="C125" i="5"/>
  <c r="D134" i="5"/>
  <c r="D160" i="5"/>
  <c r="D166" i="5" s="1"/>
  <c r="D178" i="5" s="1"/>
  <c r="D181" i="5" s="1"/>
  <c r="D132" i="5"/>
  <c r="C128" i="5"/>
  <c r="C130" i="5" s="1"/>
  <c r="H143" i="5"/>
  <c r="I188" i="5"/>
  <c r="I198" i="5" s="1"/>
  <c r="I234" i="5" s="1"/>
  <c r="F199" i="5"/>
  <c r="F233" i="5"/>
  <c r="D12" i="1"/>
  <c r="F132" i="5" l="1"/>
  <c r="F134" i="5"/>
  <c r="F129" i="5"/>
  <c r="E160" i="5"/>
  <c r="E166" i="5" s="1"/>
  <c r="E178" i="5" s="1"/>
  <c r="E181" i="5" s="1"/>
  <c r="E132" i="5"/>
  <c r="G128" i="5"/>
  <c r="G129" i="5" s="1"/>
  <c r="H240" i="5"/>
  <c r="H127" i="5" s="1"/>
  <c r="H148" i="5"/>
  <c r="H149" i="5" s="1"/>
  <c r="C129" i="5"/>
  <c r="J188" i="5"/>
  <c r="J198" i="5" s="1"/>
  <c r="J234" i="5" s="1"/>
  <c r="I143" i="5"/>
  <c r="G187" i="5"/>
  <c r="F142" i="5"/>
  <c r="F144" i="5" s="1"/>
  <c r="F235" i="5"/>
  <c r="J237" i="5"/>
  <c r="I148" i="5"/>
  <c r="I149" i="5" s="1"/>
  <c r="I240" i="5"/>
  <c r="I127" i="5" s="1"/>
  <c r="D3" i="1"/>
  <c r="B3" i="1" s="1"/>
  <c r="G130" i="5" l="1"/>
  <c r="G131" i="5" s="1"/>
  <c r="G132" i="5" s="1"/>
  <c r="H128" i="5"/>
  <c r="H129" i="5" s="1"/>
  <c r="I128" i="5"/>
  <c r="I129" i="5" s="1"/>
  <c r="E151" i="5"/>
  <c r="F151" i="5" s="1"/>
  <c r="G151" i="5" s="1"/>
  <c r="H151" i="5" s="1"/>
  <c r="I151" i="5" s="1"/>
  <c r="J151" i="5" s="1"/>
  <c r="K151" i="5" s="1"/>
  <c r="L151" i="5" s="1"/>
  <c r="M151" i="5" s="1"/>
  <c r="N151" i="5" s="1"/>
  <c r="P151" i="5" s="1"/>
  <c r="C131" i="5"/>
  <c r="K188" i="5"/>
  <c r="K198" i="5" s="1"/>
  <c r="K234" i="5" s="1"/>
  <c r="J143" i="5"/>
  <c r="G197" i="5"/>
  <c r="G189" i="5"/>
  <c r="J239" i="5"/>
  <c r="J240" i="5" s="1"/>
  <c r="J127" i="5" s="1"/>
  <c r="B14" i="1"/>
  <c r="C12" i="1"/>
  <c r="G134" i="5" l="1"/>
  <c r="G160" i="5"/>
  <c r="G166" i="5" s="1"/>
  <c r="G178" i="5" s="1"/>
  <c r="G181" i="5" s="1"/>
  <c r="H130" i="5"/>
  <c r="H131" i="5" s="1"/>
  <c r="H160" i="5" s="1"/>
  <c r="H166" i="5" s="1"/>
  <c r="H178" i="5" s="1"/>
  <c r="H181" i="5" s="1"/>
  <c r="I130" i="5"/>
  <c r="I131" i="5" s="1"/>
  <c r="I134" i="5" s="1"/>
  <c r="J128" i="5"/>
  <c r="J129" i="5" s="1"/>
  <c r="Q151" i="5"/>
  <c r="C134" i="5"/>
  <c r="C152" i="5" s="1"/>
  <c r="C160" i="5"/>
  <c r="C132" i="5"/>
  <c r="O151" i="5"/>
  <c r="K143" i="5"/>
  <c r="L188" i="5"/>
  <c r="L198" i="5" s="1"/>
  <c r="L234" i="5" s="1"/>
  <c r="G233" i="5"/>
  <c r="G199" i="5"/>
  <c r="K237" i="5"/>
  <c r="J148" i="5"/>
  <c r="J149" i="5" s="1"/>
  <c r="C10" i="1"/>
  <c r="E10" i="1" s="1"/>
  <c r="C20" i="1"/>
  <c r="G20" i="1" s="1"/>
  <c r="C9" i="1"/>
  <c r="E9" i="1" s="1"/>
  <c r="C19" i="1"/>
  <c r="C8" i="1"/>
  <c r="E8" i="1" s="1"/>
  <c r="C22" i="1"/>
  <c r="G22" i="1" s="1"/>
  <c r="C11" i="1"/>
  <c r="E11" i="1" s="1"/>
  <c r="C21" i="1"/>
  <c r="G21" i="1" s="1"/>
  <c r="H132" i="5" l="1"/>
  <c r="I160" i="5"/>
  <c r="I166" i="5" s="1"/>
  <c r="I178" i="5" s="1"/>
  <c r="I181" i="5" s="1"/>
  <c r="H134" i="5"/>
  <c r="J130" i="5"/>
  <c r="J131" i="5" s="1"/>
  <c r="J134" i="5" s="1"/>
  <c r="I132" i="5"/>
  <c r="R151" i="5"/>
  <c r="C166" i="5"/>
  <c r="D152" i="5"/>
  <c r="C153" i="5"/>
  <c r="M188" i="5"/>
  <c r="M198" i="5" s="1"/>
  <c r="M234" i="5" s="1"/>
  <c r="L143" i="5"/>
  <c r="H187" i="5"/>
  <c r="G235" i="5"/>
  <c r="G142" i="5"/>
  <c r="G144" i="5" s="1"/>
  <c r="K239" i="5"/>
  <c r="E12" i="1"/>
  <c r="C69" i="1"/>
  <c r="G19" i="1"/>
  <c r="J160" i="5" l="1"/>
  <c r="J166" i="5" s="1"/>
  <c r="J178" i="5" s="1"/>
  <c r="J181" i="5" s="1"/>
  <c r="J132" i="5"/>
  <c r="S151" i="5"/>
  <c r="C154" i="5"/>
  <c r="D153" i="5"/>
  <c r="D154" i="5" s="1"/>
  <c r="E152" i="5"/>
  <c r="C178" i="5"/>
  <c r="N188" i="5"/>
  <c r="N198" i="5" s="1"/>
  <c r="N234" i="5" s="1"/>
  <c r="M143" i="5"/>
  <c r="H189" i="5"/>
  <c r="H197" i="5"/>
  <c r="L237" i="5"/>
  <c r="K148" i="5"/>
  <c r="K149" i="5" s="1"/>
  <c r="K240" i="5"/>
  <c r="K127" i="5" s="1"/>
  <c r="K128" i="5" l="1"/>
  <c r="K129" i="5" s="1"/>
  <c r="N143" i="5"/>
  <c r="P188" i="5"/>
  <c r="P198" i="5" s="1"/>
  <c r="T151" i="5"/>
  <c r="F152" i="5"/>
  <c r="E153" i="5"/>
  <c r="E154" i="5" s="1"/>
  <c r="C181" i="5"/>
  <c r="O143" i="5"/>
  <c r="H199" i="5"/>
  <c r="H233" i="5"/>
  <c r="L239" i="5"/>
  <c r="K130" i="5" l="1"/>
  <c r="K131" i="5" s="1"/>
  <c r="K132" i="5" s="1"/>
  <c r="U151" i="5"/>
  <c r="P234" i="5"/>
  <c r="C182" i="5"/>
  <c r="F153" i="5"/>
  <c r="G152" i="5"/>
  <c r="H142" i="5"/>
  <c r="H144" i="5" s="1"/>
  <c r="H235" i="5"/>
  <c r="I187" i="5"/>
  <c r="M237" i="5"/>
  <c r="L148" i="5"/>
  <c r="L149" i="5" s="1"/>
  <c r="L240" i="5"/>
  <c r="L127" i="5" s="1"/>
  <c r="L128" i="5" l="1"/>
  <c r="L130" i="5" s="1"/>
  <c r="L131" i="5" s="1"/>
  <c r="Q188" i="5"/>
  <c r="Q198" i="5" s="1"/>
  <c r="Q234" i="5" s="1"/>
  <c r="P143" i="5"/>
  <c r="V151" i="5"/>
  <c r="K160" i="5"/>
  <c r="K166" i="5" s="1"/>
  <c r="K134" i="5"/>
  <c r="F154" i="5"/>
  <c r="G153" i="5"/>
  <c r="G154" i="5" s="1"/>
  <c r="H152" i="5"/>
  <c r="C138" i="5"/>
  <c r="D180" i="5"/>
  <c r="I189" i="5"/>
  <c r="I197" i="5"/>
  <c r="M239" i="5"/>
  <c r="L129" i="5" l="1"/>
  <c r="W151" i="5"/>
  <c r="R188" i="5"/>
  <c r="R198" i="5" s="1"/>
  <c r="R234" i="5" s="1"/>
  <c r="Q143" i="5"/>
  <c r="I152" i="5"/>
  <c r="H153" i="5"/>
  <c r="H154" i="5" s="1"/>
  <c r="D182" i="5"/>
  <c r="C141" i="5"/>
  <c r="K178" i="5"/>
  <c r="I199" i="5"/>
  <c r="I233" i="5"/>
  <c r="L132" i="5"/>
  <c r="L160" i="5"/>
  <c r="L134" i="5"/>
  <c r="N237" i="5"/>
  <c r="M148" i="5"/>
  <c r="M149" i="5" s="1"/>
  <c r="M240" i="5"/>
  <c r="M127" i="5" s="1"/>
  <c r="M128" i="5" l="1"/>
  <c r="M129" i="5" s="1"/>
  <c r="S188" i="5"/>
  <c r="S198" i="5" s="1"/>
  <c r="S234" i="5" s="1"/>
  <c r="R143" i="5"/>
  <c r="X151" i="5"/>
  <c r="D138" i="5"/>
  <c r="E180" i="5"/>
  <c r="C145" i="5"/>
  <c r="C156" i="5" s="1"/>
  <c r="K181" i="5"/>
  <c r="L166" i="5"/>
  <c r="I153" i="5"/>
  <c r="J152" i="5"/>
  <c r="I235" i="5"/>
  <c r="J187" i="5"/>
  <c r="I142" i="5"/>
  <c r="I144" i="5" s="1"/>
  <c r="N239" i="5"/>
  <c r="M130" i="5" l="1"/>
  <c r="M131" i="5" s="1"/>
  <c r="M134" i="5" s="1"/>
  <c r="N240" i="5"/>
  <c r="P237" i="5"/>
  <c r="Y151" i="5"/>
  <c r="S143" i="5"/>
  <c r="T188" i="5"/>
  <c r="T198" i="5" s="1"/>
  <c r="T234" i="5" s="1"/>
  <c r="L178" i="5"/>
  <c r="C2" i="5"/>
  <c r="I154" i="5"/>
  <c r="E182" i="5"/>
  <c r="J153" i="5"/>
  <c r="J154" i="5" s="1"/>
  <c r="K152" i="5"/>
  <c r="D141" i="5"/>
  <c r="J197" i="5"/>
  <c r="J189" i="5"/>
  <c r="N127" i="5"/>
  <c r="N148" i="5"/>
  <c r="M160" i="5" l="1"/>
  <c r="M166" i="5" s="1"/>
  <c r="M132" i="5"/>
  <c r="U188" i="5"/>
  <c r="U198" i="5" s="1"/>
  <c r="U234" i="5" s="1"/>
  <c r="T143" i="5"/>
  <c r="P239" i="5"/>
  <c r="P240" i="5" s="1"/>
  <c r="P127" i="5" s="1"/>
  <c r="Z151" i="5"/>
  <c r="N149" i="5"/>
  <c r="O149" i="5" s="1"/>
  <c r="O148" i="5"/>
  <c r="D145" i="5"/>
  <c r="N128" i="5"/>
  <c r="O128" i="5" s="1"/>
  <c r="O127" i="5"/>
  <c r="L152" i="5"/>
  <c r="L153" i="5" s="1"/>
  <c r="L154" i="5" s="1"/>
  <c r="K153" i="5"/>
  <c r="K154" i="5" s="1"/>
  <c r="F180" i="5"/>
  <c r="E138" i="5"/>
  <c r="L181" i="5"/>
  <c r="J199" i="5"/>
  <c r="J233" i="5"/>
  <c r="P128" i="5" l="1"/>
  <c r="C10" i="9"/>
  <c r="C20" i="9"/>
  <c r="C21" i="9"/>
  <c r="O129" i="5"/>
  <c r="AA151" i="5"/>
  <c r="AB151" i="5" s="1"/>
  <c r="P130" i="5"/>
  <c r="P129" i="5"/>
  <c r="P148" i="5"/>
  <c r="Q237" i="5"/>
  <c r="V188" i="5"/>
  <c r="V198" i="5" s="1"/>
  <c r="V234" i="5" s="1"/>
  <c r="U143" i="5"/>
  <c r="N129" i="5"/>
  <c r="N130" i="5"/>
  <c r="N131" i="5" s="1"/>
  <c r="O131" i="5" s="1"/>
  <c r="O132" i="5" s="1"/>
  <c r="M152" i="5"/>
  <c r="M153" i="5" s="1"/>
  <c r="M154" i="5" s="1"/>
  <c r="M178" i="5"/>
  <c r="E141" i="5"/>
  <c r="F182" i="5"/>
  <c r="D156" i="5"/>
  <c r="D2" i="5" s="1"/>
  <c r="K187" i="5"/>
  <c r="J142" i="5"/>
  <c r="J144" i="5" s="1"/>
  <c r="J235" i="5"/>
  <c r="P149" i="5" l="1"/>
  <c r="C22" i="9"/>
  <c r="P131" i="5"/>
  <c r="P132" i="5" s="1"/>
  <c r="C14" i="9"/>
  <c r="C15" i="9" s="1"/>
  <c r="C16" i="9" s="1"/>
  <c r="W188" i="5"/>
  <c r="W198" i="5" s="1"/>
  <c r="W234" i="5" s="1"/>
  <c r="V143" i="5"/>
  <c r="Q239" i="5"/>
  <c r="Q240" i="5"/>
  <c r="Q127" i="5" s="1"/>
  <c r="O130" i="5"/>
  <c r="C23" i="9" s="1"/>
  <c r="C27" i="9" s="1"/>
  <c r="N134" i="5"/>
  <c r="N152" i="5" s="1"/>
  <c r="N160" i="5"/>
  <c r="N166" i="5" s="1"/>
  <c r="N132" i="5"/>
  <c r="E145" i="5"/>
  <c r="G180" i="5"/>
  <c r="F138" i="5"/>
  <c r="M181" i="5"/>
  <c r="K197" i="5"/>
  <c r="K189" i="5"/>
  <c r="Q128" i="5" l="1"/>
  <c r="Q129" i="5" s="1"/>
  <c r="C17" i="9"/>
  <c r="D13" i="9" s="1"/>
  <c r="P134" i="5"/>
  <c r="P152" i="5" s="1"/>
  <c r="P160" i="5"/>
  <c r="P166" i="5" s="1"/>
  <c r="Q148" i="5"/>
  <c r="R237" i="5"/>
  <c r="O152" i="5"/>
  <c r="X188" i="5"/>
  <c r="X198" i="5" s="1"/>
  <c r="X234" i="5" s="1"/>
  <c r="W143" i="5"/>
  <c r="N153" i="5"/>
  <c r="N154" i="5" s="1"/>
  <c r="O154" i="5" s="1"/>
  <c r="O160" i="5"/>
  <c r="F141" i="5"/>
  <c r="G182" i="5"/>
  <c r="E156" i="5"/>
  <c r="E2" i="5" s="1"/>
  <c r="N178" i="5"/>
  <c r="O166" i="5"/>
  <c r="K199" i="5"/>
  <c r="K233" i="5"/>
  <c r="Q149" i="5" l="1"/>
  <c r="Q130" i="5"/>
  <c r="Q131" i="5" s="1"/>
  <c r="Q134" i="5" s="1"/>
  <c r="Q152" i="5" s="1"/>
  <c r="P153" i="5"/>
  <c r="P178" i="5"/>
  <c r="Y188" i="5"/>
  <c r="Y198" i="5" s="1"/>
  <c r="Y234" i="5" s="1"/>
  <c r="X143" i="5"/>
  <c r="R239" i="5"/>
  <c r="R240" i="5"/>
  <c r="R127" i="5" s="1"/>
  <c r="O153" i="5"/>
  <c r="H180" i="5"/>
  <c r="G138" i="5"/>
  <c r="N181" i="5"/>
  <c r="O181" i="5" s="1"/>
  <c r="O178" i="5"/>
  <c r="F145" i="5"/>
  <c r="K235" i="5"/>
  <c r="K142" i="5"/>
  <c r="K144" i="5" s="1"/>
  <c r="L187" i="5"/>
  <c r="R128" i="5" l="1"/>
  <c r="R129" i="5" s="1"/>
  <c r="Q160" i="5"/>
  <c r="P181" i="5"/>
  <c r="Q132" i="5"/>
  <c r="P154" i="5"/>
  <c r="S237" i="5"/>
  <c r="R148" i="5"/>
  <c r="Q153" i="5"/>
  <c r="Q154" i="5" s="1"/>
  <c r="Z188" i="5"/>
  <c r="Z198" i="5" s="1"/>
  <c r="Z234" i="5" s="1"/>
  <c r="Y143" i="5"/>
  <c r="G141" i="5"/>
  <c r="F156" i="5"/>
  <c r="F2" i="5" s="1"/>
  <c r="H182" i="5"/>
  <c r="L189" i="5"/>
  <c r="L197" i="5"/>
  <c r="R130" i="5" l="1"/>
  <c r="R149" i="5"/>
  <c r="Q166" i="5"/>
  <c r="R131" i="5"/>
  <c r="R132" i="5" s="1"/>
  <c r="AA188" i="5"/>
  <c r="AA198" i="5" s="1"/>
  <c r="AA234" i="5" s="1"/>
  <c r="AA143" i="5" s="1"/>
  <c r="AB143" i="5" s="1"/>
  <c r="Z143" i="5"/>
  <c r="S239" i="5"/>
  <c r="I180" i="5"/>
  <c r="I182" i="5" s="1"/>
  <c r="I138" i="5" s="1"/>
  <c r="H138" i="5"/>
  <c r="H141" i="5" s="1"/>
  <c r="H145" i="5" s="1"/>
  <c r="H156" i="5" s="1"/>
  <c r="H2" i="5" s="1"/>
  <c r="G145" i="5"/>
  <c r="L199" i="5"/>
  <c r="L233" i="5"/>
  <c r="Q178" i="5" l="1"/>
  <c r="R134" i="5"/>
  <c r="R152" i="5" s="1"/>
  <c r="R153" i="5" s="1"/>
  <c r="R160" i="5"/>
  <c r="S148" i="5"/>
  <c r="T237" i="5"/>
  <c r="S240" i="5"/>
  <c r="S127" i="5" s="1"/>
  <c r="G156" i="5"/>
  <c r="G2" i="5" s="1"/>
  <c r="J180" i="5"/>
  <c r="J182" i="5" s="1"/>
  <c r="I141" i="5"/>
  <c r="I145" i="5" s="1"/>
  <c r="I156" i="5" s="1"/>
  <c r="I2" i="5" s="1"/>
  <c r="L142" i="5"/>
  <c r="L144" i="5" s="1"/>
  <c r="M187" i="5"/>
  <c r="L235" i="5"/>
  <c r="S149" i="5" l="1"/>
  <c r="S128" i="5"/>
  <c r="S129" i="5" s="1"/>
  <c r="R166" i="5"/>
  <c r="Q181" i="5"/>
  <c r="R154" i="5"/>
  <c r="T239" i="5"/>
  <c r="T240" i="5" s="1"/>
  <c r="T127" i="5" s="1"/>
  <c r="T128" i="5" s="1"/>
  <c r="K180" i="5"/>
  <c r="K182" i="5" s="1"/>
  <c r="J138" i="5"/>
  <c r="J141" i="5" s="1"/>
  <c r="J145" i="5" s="1"/>
  <c r="J156" i="5" s="1"/>
  <c r="J2" i="5" s="1"/>
  <c r="M189" i="5"/>
  <c r="M197" i="5"/>
  <c r="S130" i="5" l="1"/>
  <c r="S131" i="5" s="1"/>
  <c r="S160" i="5" s="1"/>
  <c r="R178" i="5"/>
  <c r="T130" i="5"/>
  <c r="T131" i="5" s="1"/>
  <c r="T129" i="5"/>
  <c r="U237" i="5"/>
  <c r="U239" i="5" s="1"/>
  <c r="T148" i="5"/>
  <c r="L180" i="5"/>
  <c r="L182" i="5" s="1"/>
  <c r="K138" i="5"/>
  <c r="K141" i="5" s="1"/>
  <c r="K145" i="5" s="1"/>
  <c r="K156" i="5" s="1"/>
  <c r="K2" i="5" s="1"/>
  <c r="M199" i="5"/>
  <c r="M233" i="5"/>
  <c r="N187" i="5" s="1"/>
  <c r="T149" i="5" l="1"/>
  <c r="S132" i="5"/>
  <c r="S134" i="5"/>
  <c r="S152" i="5" s="1"/>
  <c r="S153" i="5" s="1"/>
  <c r="S154" i="5" s="1"/>
  <c r="S166" i="5"/>
  <c r="R181" i="5"/>
  <c r="U240" i="5"/>
  <c r="U127" i="5" s="1"/>
  <c r="U148" i="5"/>
  <c r="U149" i="5" s="1"/>
  <c r="V237" i="5"/>
  <c r="T160" i="5"/>
  <c r="T166" i="5" s="1"/>
  <c r="T178" i="5" s="1"/>
  <c r="T181" i="5" s="1"/>
  <c r="T132" i="5"/>
  <c r="T134" i="5"/>
  <c r="M180" i="5"/>
  <c r="M182" i="5" s="1"/>
  <c r="L138" i="5"/>
  <c r="L141" i="5" s="1"/>
  <c r="L145" i="5" s="1"/>
  <c r="L156" i="5" s="1"/>
  <c r="L2" i="5" s="1"/>
  <c r="M142" i="5"/>
  <c r="M144" i="5" s="1"/>
  <c r="M235" i="5"/>
  <c r="U128" i="5" l="1"/>
  <c r="U129" i="5" s="1"/>
  <c r="T152" i="5"/>
  <c r="T153" i="5" s="1"/>
  <c r="S178" i="5"/>
  <c r="V239" i="5"/>
  <c r="V240" i="5" s="1"/>
  <c r="V127" i="5" s="1"/>
  <c r="V128" i="5" s="1"/>
  <c r="N180" i="5"/>
  <c r="M138" i="5"/>
  <c r="M141" i="5" s="1"/>
  <c r="M145" i="5" s="1"/>
  <c r="M156" i="5" s="1"/>
  <c r="M2" i="5" s="1"/>
  <c r="N189" i="5"/>
  <c r="N197" i="5"/>
  <c r="U130" i="5" l="1"/>
  <c r="U131" i="5" s="1"/>
  <c r="U160" i="5" s="1"/>
  <c r="U166" i="5" s="1"/>
  <c r="S181" i="5"/>
  <c r="T154" i="5"/>
  <c r="W237" i="5"/>
  <c r="W239" i="5" s="1"/>
  <c r="V148" i="5"/>
  <c r="V149" i="5" s="1"/>
  <c r="V129" i="5"/>
  <c r="V130" i="5"/>
  <c r="V131" i="5" s="1"/>
  <c r="N182" i="5"/>
  <c r="P180" i="5" s="1"/>
  <c r="O180" i="5"/>
  <c r="N199" i="5"/>
  <c r="N233" i="5"/>
  <c r="P187" i="5" s="1"/>
  <c r="U178" i="5" l="1"/>
  <c r="U132" i="5"/>
  <c r="U134" i="5"/>
  <c r="U152" i="5" s="1"/>
  <c r="U153" i="5" s="1"/>
  <c r="P182" i="5"/>
  <c r="Q180" i="5" s="1"/>
  <c r="Q182" i="5" s="1"/>
  <c r="V160" i="5"/>
  <c r="V166" i="5" s="1"/>
  <c r="V178" i="5" s="1"/>
  <c r="V181" i="5" s="1"/>
  <c r="V134" i="5"/>
  <c r="V132" i="5"/>
  <c r="P189" i="5"/>
  <c r="P197" i="5"/>
  <c r="W240" i="5"/>
  <c r="W127" i="5" s="1"/>
  <c r="W128" i="5" s="1"/>
  <c r="X237" i="5"/>
  <c r="X239" i="5" s="1"/>
  <c r="W148" i="5"/>
  <c r="W149" i="5" s="1"/>
  <c r="N138" i="5"/>
  <c r="O182" i="5"/>
  <c r="N142" i="5"/>
  <c r="N235" i="5"/>
  <c r="P138" i="5" l="1"/>
  <c r="P141" i="5" s="1"/>
  <c r="U154" i="5"/>
  <c r="V152" i="5"/>
  <c r="V153" i="5" s="1"/>
  <c r="V154" i="5" s="1"/>
  <c r="U181" i="5"/>
  <c r="P233" i="5"/>
  <c r="P199" i="5"/>
  <c r="Q138" i="5"/>
  <c r="Q141" i="5" s="1"/>
  <c r="R180" i="5"/>
  <c r="R182" i="5" s="1"/>
  <c r="X240" i="5"/>
  <c r="X127" i="5" s="1"/>
  <c r="X128" i="5" s="1"/>
  <c r="Y237" i="5"/>
  <c r="X148" i="5"/>
  <c r="X149" i="5" s="1"/>
  <c r="W130" i="5"/>
  <c r="W131" i="5" s="1"/>
  <c r="W129" i="5"/>
  <c r="N144" i="5"/>
  <c r="O142" i="5"/>
  <c r="N141" i="5"/>
  <c r="O141" i="5" s="1"/>
  <c r="O138" i="5"/>
  <c r="S180" i="5" l="1"/>
  <c r="S182" i="5" s="1"/>
  <c r="R138" i="5"/>
  <c r="R141" i="5" s="1"/>
  <c r="X130" i="5"/>
  <c r="X131" i="5" s="1"/>
  <c r="X129" i="5"/>
  <c r="W160" i="5"/>
  <c r="W166" i="5" s="1"/>
  <c r="W178" i="5" s="1"/>
  <c r="W181" i="5" s="1"/>
  <c r="W134" i="5"/>
  <c r="W152" i="5" s="1"/>
  <c r="W153" i="5" s="1"/>
  <c r="W154" i="5" s="1"/>
  <c r="W132" i="5"/>
  <c r="Y239" i="5"/>
  <c r="Y240" i="5"/>
  <c r="Y127" i="5" s="1"/>
  <c r="Y128" i="5" s="1"/>
  <c r="P235" i="5"/>
  <c r="P142" i="5"/>
  <c r="Q187" i="5"/>
  <c r="N145" i="5"/>
  <c r="O144" i="5"/>
  <c r="P144" i="5" l="1"/>
  <c r="X132" i="5"/>
  <c r="X160" i="5"/>
  <c r="X166" i="5" s="1"/>
  <c r="X178" i="5" s="1"/>
  <c r="X181" i="5" s="1"/>
  <c r="X134" i="5"/>
  <c r="X152" i="5" s="1"/>
  <c r="Q197" i="5"/>
  <c r="Q189" i="5"/>
  <c r="Y129" i="5"/>
  <c r="Y130" i="5"/>
  <c r="Y131" i="5" s="1"/>
  <c r="T180" i="5"/>
  <c r="T182" i="5" s="1"/>
  <c r="S138" i="5"/>
  <c r="S141" i="5" s="1"/>
  <c r="Z237" i="5"/>
  <c r="Y148" i="5"/>
  <c r="Y149" i="5" s="1"/>
  <c r="N156" i="5"/>
  <c r="N2" i="5" s="1"/>
  <c r="O145" i="5"/>
  <c r="P145" i="5" l="1"/>
  <c r="P156" i="5" s="1"/>
  <c r="P2" i="5" s="1"/>
  <c r="Q199" i="5"/>
  <c r="Q233" i="5"/>
  <c r="X153" i="5"/>
  <c r="X154" i="5" s="1"/>
  <c r="Y160" i="5"/>
  <c r="Y166" i="5" s="1"/>
  <c r="Y178" i="5" s="1"/>
  <c r="Y181" i="5" s="1"/>
  <c r="Y132" i="5"/>
  <c r="Y134" i="5"/>
  <c r="Y152" i="5" s="1"/>
  <c r="Z239" i="5"/>
  <c r="Z240" i="5" s="1"/>
  <c r="Z127" i="5" s="1"/>
  <c r="Z128" i="5" s="1"/>
  <c r="T138" i="5"/>
  <c r="T141" i="5" s="1"/>
  <c r="U180" i="5"/>
  <c r="O156" i="5"/>
  <c r="O2" i="5" s="1"/>
  <c r="U182" i="5" l="1"/>
  <c r="U138" i="5" s="1"/>
  <c r="U141" i="5" s="1"/>
  <c r="Y153" i="5"/>
  <c r="Y154" i="5" s="1"/>
  <c r="Z129" i="5"/>
  <c r="Z130" i="5"/>
  <c r="Z131" i="5" s="1"/>
  <c r="R187" i="5"/>
  <c r="Q235" i="5"/>
  <c r="Q142" i="5"/>
  <c r="AA237" i="5"/>
  <c r="Z148" i="5"/>
  <c r="Z149" i="5" s="1"/>
  <c r="Q144" i="5" l="1"/>
  <c r="V180" i="5"/>
  <c r="V182" i="5" s="1"/>
  <c r="V138" i="5" s="1"/>
  <c r="V141" i="5" s="1"/>
  <c r="Z160" i="5"/>
  <c r="Z166" i="5" s="1"/>
  <c r="Z178" i="5" s="1"/>
  <c r="Z181" i="5" s="1"/>
  <c r="Z132" i="5"/>
  <c r="Z134" i="5"/>
  <c r="Z152" i="5" s="1"/>
  <c r="Z153" i="5" s="1"/>
  <c r="Z154" i="5" s="1"/>
  <c r="AA239" i="5"/>
  <c r="AA148" i="5" s="1"/>
  <c r="R197" i="5"/>
  <c r="R189" i="5"/>
  <c r="AA149" i="5" l="1"/>
  <c r="AB149" i="5" s="1"/>
  <c r="AB148" i="5"/>
  <c r="Q145" i="5"/>
  <c r="Q156" i="5" s="1"/>
  <c r="Q2" i="5" s="1"/>
  <c r="W180" i="5"/>
  <c r="W182" i="5" s="1"/>
  <c r="X180" i="5" s="1"/>
  <c r="X182" i="5" s="1"/>
  <c r="AA240" i="5"/>
  <c r="AA127" i="5" s="1"/>
  <c r="R199" i="5"/>
  <c r="R233" i="5"/>
  <c r="AA128" i="5" l="1"/>
  <c r="AB128" i="5" s="1"/>
  <c r="AB129" i="5" s="1"/>
  <c r="AB127" i="5"/>
  <c r="D21" i="9" s="1"/>
  <c r="W138" i="5"/>
  <c r="W141" i="5" s="1"/>
  <c r="D20" i="9"/>
  <c r="X138" i="5"/>
  <c r="X141" i="5" s="1"/>
  <c r="Y180" i="5"/>
  <c r="Y182" i="5" s="1"/>
  <c r="S187" i="5"/>
  <c r="R142" i="5"/>
  <c r="R235" i="5"/>
  <c r="R144" i="5" l="1"/>
  <c r="D22" i="9"/>
  <c r="D10" i="9"/>
  <c r="AA129" i="5"/>
  <c r="AA130" i="5"/>
  <c r="AA131" i="5" s="1"/>
  <c r="AB131" i="5" s="1"/>
  <c r="AB132" i="5" s="1"/>
  <c r="D14" i="9"/>
  <c r="D15" i="9" s="1"/>
  <c r="D16" i="9" s="1"/>
  <c r="D17" i="9" s="1"/>
  <c r="Y138" i="5"/>
  <c r="Y141" i="5" s="1"/>
  <c r="Z180" i="5"/>
  <c r="Z182" i="5" s="1"/>
  <c r="S197" i="5"/>
  <c r="S189" i="5"/>
  <c r="R145" i="5" l="1"/>
  <c r="R156" i="5" s="1"/>
  <c r="R2" i="5" s="1"/>
  <c r="AB130" i="5"/>
  <c r="D23" i="9" s="1"/>
  <c r="D27" i="9" s="1"/>
  <c r="C30" i="9" s="1"/>
  <c r="C33" i="9" s="1"/>
  <c r="AA132" i="5"/>
  <c r="AA134" i="5"/>
  <c r="AA152" i="5" s="1"/>
  <c r="AA153" i="5" s="1"/>
  <c r="AA160" i="5"/>
  <c r="AA166" i="5" s="1"/>
  <c r="Z138" i="5"/>
  <c r="Z141" i="5" s="1"/>
  <c r="AA180" i="5"/>
  <c r="S199" i="5"/>
  <c r="S233" i="5"/>
  <c r="B70" i="1" l="1"/>
  <c r="B72" i="1" s="1"/>
  <c r="B73" i="1" s="1"/>
  <c r="B74" i="1" s="1"/>
  <c r="C35" i="9"/>
  <c r="C37" i="9"/>
  <c r="AB160" i="5"/>
  <c r="AB152" i="5"/>
  <c r="AA154" i="5"/>
  <c r="AB154" i="5" s="1"/>
  <c r="AB153" i="5"/>
  <c r="AB180" i="5"/>
  <c r="AA178" i="5"/>
  <c r="AB166" i="5"/>
  <c r="T187" i="5"/>
  <c r="S142" i="5"/>
  <c r="S235" i="5"/>
  <c r="S144" i="5" l="1"/>
  <c r="D70" i="1"/>
  <c r="E57" i="1" s="1"/>
  <c r="G57" i="1" s="1"/>
  <c r="AA181" i="5"/>
  <c r="AB178" i="5"/>
  <c r="T197" i="5"/>
  <c r="T189" i="5"/>
  <c r="S145" i="5" l="1"/>
  <c r="S156" i="5" s="1"/>
  <c r="S2" i="5" s="1"/>
  <c r="E36" i="1"/>
  <c r="G36" i="1" s="1"/>
  <c r="E50" i="1"/>
  <c r="G50" i="1" s="1"/>
  <c r="E45" i="1"/>
  <c r="G45" i="1" s="1"/>
  <c r="E51" i="1"/>
  <c r="G51" i="1" s="1"/>
  <c r="E49" i="1"/>
  <c r="G49" i="1" s="1"/>
  <c r="E28" i="1"/>
  <c r="G28" i="1" s="1"/>
  <c r="E43" i="1"/>
  <c r="G43" i="1" s="1"/>
  <c r="E41" i="1"/>
  <c r="G41" i="1" s="1"/>
  <c r="E23" i="1"/>
  <c r="G23" i="1" s="1"/>
  <c r="E54" i="1"/>
  <c r="G54" i="1" s="1"/>
  <c r="E30" i="1"/>
  <c r="G30" i="1" s="1"/>
  <c r="E61" i="1"/>
  <c r="G61" i="1" s="1"/>
  <c r="E40" i="1"/>
  <c r="G40" i="1" s="1"/>
  <c r="E62" i="1"/>
  <c r="G62" i="1" s="1"/>
  <c r="E31" i="1"/>
  <c r="G31" i="1" s="1"/>
  <c r="E33" i="1"/>
  <c r="G33" i="1" s="1"/>
  <c r="E52" i="1"/>
  <c r="G52" i="1" s="1"/>
  <c r="E48" i="1"/>
  <c r="G48" i="1" s="1"/>
  <c r="E56" i="1"/>
  <c r="G56" i="1" s="1"/>
  <c r="E25" i="1"/>
  <c r="G25" i="1" s="1"/>
  <c r="E42" i="1"/>
  <c r="G42" i="1" s="1"/>
  <c r="E27" i="1"/>
  <c r="G27" i="1" s="1"/>
  <c r="E60" i="1"/>
  <c r="G60" i="1" s="1"/>
  <c r="E63" i="1"/>
  <c r="G63" i="1" s="1"/>
  <c r="E29" i="1"/>
  <c r="G29" i="1" s="1"/>
  <c r="E68" i="1"/>
  <c r="G68" i="1" s="1"/>
  <c r="E39" i="1"/>
  <c r="G39" i="1" s="1"/>
  <c r="E37" i="1"/>
  <c r="G37" i="1" s="1"/>
  <c r="E35" i="1"/>
  <c r="G35" i="1" s="1"/>
  <c r="E46" i="1"/>
  <c r="G46" i="1" s="1"/>
  <c r="E53" i="1"/>
  <c r="G53" i="1" s="1"/>
  <c r="E38" i="1"/>
  <c r="G38" i="1" s="1"/>
  <c r="E47" i="1"/>
  <c r="G47" i="1" s="1"/>
  <c r="E59" i="1"/>
  <c r="G59" i="1" s="1"/>
  <c r="E26" i="1"/>
  <c r="G26" i="1" s="1"/>
  <c r="E55" i="1"/>
  <c r="G55" i="1" s="1"/>
  <c r="E66" i="1"/>
  <c r="G66" i="1" s="1"/>
  <c r="E65" i="1"/>
  <c r="G65" i="1" s="1"/>
  <c r="E67" i="1"/>
  <c r="G67" i="1" s="1"/>
  <c r="E44" i="1"/>
  <c r="G44" i="1" s="1"/>
  <c r="E64" i="1"/>
  <c r="G64" i="1" s="1"/>
  <c r="E24" i="1"/>
  <c r="G24" i="1" s="1"/>
  <c r="E58" i="1"/>
  <c r="G58" i="1" s="1"/>
  <c r="E32" i="1"/>
  <c r="G32" i="1" s="1"/>
  <c r="E34" i="1"/>
  <c r="G34" i="1" s="1"/>
  <c r="AB181" i="5"/>
  <c r="AA182" i="5"/>
  <c r="T199" i="5"/>
  <c r="T233" i="5"/>
  <c r="G69" i="1" l="1"/>
  <c r="I23" i="1" s="1"/>
  <c r="K23" i="1" s="1"/>
  <c r="K24" i="1" s="1"/>
  <c r="E69" i="1"/>
  <c r="AA138" i="5"/>
  <c r="AB182" i="5"/>
  <c r="U187" i="5"/>
  <c r="T142" i="5"/>
  <c r="T235" i="5"/>
  <c r="T144" i="5" l="1"/>
  <c r="I66" i="1"/>
  <c r="I29" i="1"/>
  <c r="I27" i="1"/>
  <c r="I40" i="1"/>
  <c r="I53" i="1"/>
  <c r="I32" i="1"/>
  <c r="I42" i="1"/>
  <c r="I34" i="1"/>
  <c r="I41" i="1"/>
  <c r="I59" i="1"/>
  <c r="I43" i="1"/>
  <c r="I63" i="1"/>
  <c r="I25" i="1"/>
  <c r="I45" i="1"/>
  <c r="I62" i="1"/>
  <c r="I39" i="1"/>
  <c r="I56" i="1"/>
  <c r="I61" i="1"/>
  <c r="I31" i="1"/>
  <c r="I57" i="1"/>
  <c r="I49" i="1"/>
  <c r="I50" i="1"/>
  <c r="I36" i="1"/>
  <c r="I28" i="1"/>
  <c r="I51" i="1"/>
  <c r="I38" i="1"/>
  <c r="I67" i="1"/>
  <c r="B76" i="1"/>
  <c r="D146" i="1" s="1"/>
  <c r="I135" i="1" s="1"/>
  <c r="K135" i="1" s="1"/>
  <c r="I33" i="1"/>
  <c r="I24" i="1"/>
  <c r="I58" i="1"/>
  <c r="I48" i="1"/>
  <c r="I22" i="1"/>
  <c r="I52" i="1"/>
  <c r="I20" i="1"/>
  <c r="I21" i="1"/>
  <c r="I64" i="1"/>
  <c r="I37" i="1"/>
  <c r="I54" i="1"/>
  <c r="I44" i="1"/>
  <c r="I60" i="1"/>
  <c r="I65" i="1"/>
  <c r="I55" i="1"/>
  <c r="I30" i="1"/>
  <c r="I19" i="1"/>
  <c r="I47" i="1"/>
  <c r="I46" i="1"/>
  <c r="I35" i="1"/>
  <c r="I26" i="1"/>
  <c r="I68" i="1"/>
  <c r="AA141" i="5"/>
  <c r="AB141" i="5" s="1"/>
  <c r="AB138" i="5"/>
  <c r="U189" i="5"/>
  <c r="U197" i="5"/>
  <c r="T145" i="5" l="1"/>
  <c r="T156" i="5" s="1"/>
  <c r="T2" i="5" s="1"/>
  <c r="K20" i="1"/>
  <c r="I69" i="1"/>
  <c r="I131" i="1"/>
  <c r="K131" i="1" s="1"/>
  <c r="I139" i="1"/>
  <c r="K139" i="1" s="1"/>
  <c r="I137" i="1"/>
  <c r="K137" i="1" s="1"/>
  <c r="I134" i="1"/>
  <c r="K134" i="1" s="1"/>
  <c r="I136" i="1"/>
  <c r="K136" i="1" s="1"/>
  <c r="I141" i="1"/>
  <c r="K141" i="1" s="1"/>
  <c r="I143" i="1"/>
  <c r="K143" i="1" s="1"/>
  <c r="I144" i="1"/>
  <c r="K144" i="1" s="1"/>
  <c r="I138" i="1"/>
  <c r="K138" i="1" s="1"/>
  <c r="I133" i="1"/>
  <c r="K133" i="1" s="1"/>
  <c r="I140" i="1"/>
  <c r="K140" i="1" s="1"/>
  <c r="I132" i="1"/>
  <c r="K132" i="1" s="1"/>
  <c r="I142" i="1"/>
  <c r="K142" i="1" s="1"/>
  <c r="U233" i="5"/>
  <c r="U199" i="5"/>
  <c r="I145" i="1" l="1"/>
  <c r="K145" i="1"/>
  <c r="M131" i="1" s="1"/>
  <c r="V187" i="5"/>
  <c r="U142" i="5"/>
  <c r="U144" i="5" s="1"/>
  <c r="U145" i="5" s="1"/>
  <c r="U156" i="5" s="1"/>
  <c r="U2" i="5" s="1"/>
  <c r="U235" i="5"/>
  <c r="M136" i="1" l="1"/>
  <c r="M86" i="1"/>
  <c r="M104" i="1"/>
  <c r="M113" i="1"/>
  <c r="M125" i="1"/>
  <c r="M88" i="1"/>
  <c r="M124" i="1"/>
  <c r="M108" i="1"/>
  <c r="M93" i="1"/>
  <c r="M100" i="1"/>
  <c r="M117" i="1"/>
  <c r="M114" i="1"/>
  <c r="M121" i="1"/>
  <c r="M90" i="1"/>
  <c r="M95" i="1"/>
  <c r="M82" i="1"/>
  <c r="M130" i="1"/>
  <c r="M97" i="1"/>
  <c r="M101" i="1"/>
  <c r="M83" i="1"/>
  <c r="M96" i="1"/>
  <c r="M92" i="1"/>
  <c r="M102" i="1"/>
  <c r="M116" i="1"/>
  <c r="M115" i="1"/>
  <c r="M84" i="1"/>
  <c r="M81" i="1"/>
  <c r="M85" i="1"/>
  <c r="M126" i="1"/>
  <c r="M127" i="1"/>
  <c r="M118" i="1"/>
  <c r="M111" i="1"/>
  <c r="M89" i="1"/>
  <c r="M112" i="1"/>
  <c r="M103" i="1"/>
  <c r="M106" i="1"/>
  <c r="M105" i="1"/>
  <c r="M98" i="1"/>
  <c r="M120" i="1"/>
  <c r="M99" i="1"/>
  <c r="M109" i="1"/>
  <c r="M107" i="1"/>
  <c r="M122" i="1"/>
  <c r="M123" i="1"/>
  <c r="M119" i="1"/>
  <c r="M129" i="1"/>
  <c r="M87" i="1"/>
  <c r="M128" i="1"/>
  <c r="M94" i="1"/>
  <c r="M91" i="1"/>
  <c r="M110" i="1"/>
  <c r="M139" i="1"/>
  <c r="M144" i="1"/>
  <c r="M137" i="1"/>
  <c r="M134" i="1"/>
  <c r="M141" i="1"/>
  <c r="M143" i="1"/>
  <c r="M138" i="1"/>
  <c r="M133" i="1"/>
  <c r="M142" i="1"/>
  <c r="M140" i="1"/>
  <c r="M135" i="1"/>
  <c r="M132" i="1"/>
  <c r="V197" i="5"/>
  <c r="V189" i="5"/>
  <c r="M145" i="1" l="1"/>
  <c r="V199" i="5"/>
  <c r="V233" i="5"/>
  <c r="W187" i="5" l="1"/>
  <c r="V142" i="5"/>
  <c r="V144" i="5" s="1"/>
  <c r="V145" i="5" s="1"/>
  <c r="V156" i="5" s="1"/>
  <c r="V2" i="5" s="1"/>
  <c r="V235" i="5"/>
  <c r="W197" i="5" l="1"/>
  <c r="W189" i="5"/>
  <c r="W233" i="5" l="1"/>
  <c r="W199" i="5"/>
  <c r="X187" i="5" l="1"/>
  <c r="W142" i="5"/>
  <c r="W144" i="5" s="1"/>
  <c r="W145" i="5" s="1"/>
  <c r="W156" i="5" s="1"/>
  <c r="W2" i="5" s="1"/>
  <c r="W235" i="5"/>
  <c r="X197" i="5" l="1"/>
  <c r="X189" i="5"/>
  <c r="X199" i="5" l="1"/>
  <c r="X233" i="5"/>
  <c r="Y187" i="5" l="1"/>
  <c r="X142" i="5"/>
  <c r="X144" i="5" s="1"/>
  <c r="X145" i="5" s="1"/>
  <c r="X156" i="5" s="1"/>
  <c r="X2" i="5" s="1"/>
  <c r="X235" i="5"/>
  <c r="Y197" i="5" l="1"/>
  <c r="Y189" i="5"/>
  <c r="Y199" i="5" l="1"/>
  <c r="Y233" i="5"/>
  <c r="Z187" i="5" l="1"/>
  <c r="Y142" i="5"/>
  <c r="Y144" i="5" s="1"/>
  <c r="Y145" i="5" s="1"/>
  <c r="Y156" i="5" s="1"/>
  <c r="Y2" i="5" s="1"/>
  <c r="Y235" i="5"/>
  <c r="Z197" i="5" l="1"/>
  <c r="Z189" i="5"/>
  <c r="Z199" i="5" l="1"/>
  <c r="Z233" i="5"/>
  <c r="AA187" i="5" l="1"/>
  <c r="Z235" i="5"/>
  <c r="Z142" i="5"/>
  <c r="Z144" i="5" s="1"/>
  <c r="Z145" i="5" s="1"/>
  <c r="Z156" i="5" s="1"/>
  <c r="Z2" i="5" s="1"/>
  <c r="AA197" i="5" l="1"/>
  <c r="AA189" i="5"/>
  <c r="AA233" i="5" l="1"/>
  <c r="AA199" i="5"/>
  <c r="AA142" i="5" l="1"/>
  <c r="AA235" i="5"/>
  <c r="AA144" i="5" l="1"/>
  <c r="AB142" i="5"/>
  <c r="AA145" i="5" l="1"/>
  <c r="AB144" i="5"/>
  <c r="AB145" i="5" l="1"/>
  <c r="AB156" i="5" s="1"/>
  <c r="AA156" i="5"/>
  <c r="AA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Bruk</author>
  </authors>
  <commentList>
    <comment ref="B11" authorId="0" shapeId="0" xr:uid="{27364003-7B26-4584-A2A8-F09BF32A1E2F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Months Per Year
</t>
        </r>
      </text>
    </comment>
    <comment ref="B16" authorId="0" shapeId="0" xr:uid="{97192832-854B-4568-A68C-77CB100BB700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Number of Months Per Year
</t>
        </r>
      </text>
    </comment>
    <comment ref="B75" authorId="0" shapeId="0" xr:uid="{42BCD8ED-D0FF-42E9-960F-FFDC34DEE01A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Days Per Year
</t>
        </r>
      </text>
    </comment>
    <comment ref="B97" authorId="0" shapeId="0" xr:uid="{26671378-6AE5-420A-BB11-D03B5B6E4ABA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Cost of Capital Assumption
</t>
        </r>
      </text>
    </comment>
    <comment ref="B98" authorId="0" shapeId="0" xr:uid="{ABE32A91-FEB5-4CEA-B970-68DF6FC1BF57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Exit EBITDA Multiple Assumption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Bruk</author>
  </authors>
  <commentList>
    <comment ref="C37" authorId="0" shapeId="0" xr:uid="{7F4A7935-29F3-482B-A672-2DA899BB732D}">
      <text>
        <r>
          <rPr>
            <b/>
            <sz val="9"/>
            <color indexed="81"/>
            <rFont val="Tahoma"/>
            <family val="2"/>
          </rPr>
          <t>Bruk:</t>
        </r>
        <r>
          <rPr>
            <sz val="9"/>
            <color indexed="81"/>
            <rFont val="Tahoma"/>
            <family val="2"/>
          </rPr>
          <t xml:space="preserve">
Assumes 100% outside funding.
</t>
        </r>
      </text>
    </comment>
  </commentList>
</comments>
</file>

<file path=xl/sharedStrings.xml><?xml version="1.0" encoding="utf-8"?>
<sst xmlns="http://schemas.openxmlformats.org/spreadsheetml/2006/main" count="676" uniqueCount="280">
  <si>
    <t>Share Structure</t>
  </si>
  <si>
    <t>Outstanding Shares</t>
  </si>
  <si>
    <t>Required Birr Amount</t>
  </si>
  <si>
    <t>Incorporation Common Shares</t>
  </si>
  <si>
    <t>Price of One Share</t>
  </si>
  <si>
    <t>Name of Investors</t>
  </si>
  <si>
    <t>Prefinancing
 Common Shares</t>
  </si>
  <si>
    <t>Birr Amount
Contribution</t>
  </si>
  <si>
    <t>Total Shares (%)</t>
  </si>
  <si>
    <t>Position in Company</t>
  </si>
  <si>
    <t>Lidia</t>
  </si>
  <si>
    <t>CEO</t>
  </si>
  <si>
    <t>Bruk</t>
  </si>
  <si>
    <t>CFO</t>
  </si>
  <si>
    <t>COO</t>
  </si>
  <si>
    <t>Maximum Share Amount
 One Can Buy</t>
  </si>
  <si>
    <t>Minimum No of Shares
for Sell</t>
  </si>
  <si>
    <t>Investor 1</t>
  </si>
  <si>
    <t>Investor 2</t>
  </si>
  <si>
    <t>Number of Shares</t>
  </si>
  <si>
    <t>Nani</t>
  </si>
  <si>
    <t>Naty</t>
  </si>
  <si>
    <t>Seed Common Shares</t>
  </si>
  <si>
    <t>Seed
Shares</t>
  </si>
  <si>
    <t>Seed Birr
Amount</t>
  </si>
  <si>
    <t>Post Seed
Total Shares</t>
  </si>
  <si>
    <t>Premoney Valuation</t>
  </si>
  <si>
    <t>Price/Share</t>
  </si>
  <si>
    <t>Investment Birr</t>
  </si>
  <si>
    <t>Postmoney Valuation</t>
  </si>
  <si>
    <t>Investor</t>
  </si>
  <si>
    <t>CMO</t>
  </si>
  <si>
    <t>Total</t>
  </si>
  <si>
    <t>Investor 3</t>
  </si>
  <si>
    <t>Investor 4</t>
  </si>
  <si>
    <t>Investor 5</t>
  </si>
  <si>
    <t>Investor 6</t>
  </si>
  <si>
    <t>Investor 7</t>
  </si>
  <si>
    <t>Investor 8</t>
  </si>
  <si>
    <t>Investor 9</t>
  </si>
  <si>
    <t>Investor 10</t>
  </si>
  <si>
    <t>Investor 11</t>
  </si>
  <si>
    <t>Investor 12</t>
  </si>
  <si>
    <t>Investor 13</t>
  </si>
  <si>
    <t>Investor 14</t>
  </si>
  <si>
    <t>Investor 15</t>
  </si>
  <si>
    <t>Investor 16</t>
  </si>
  <si>
    <t>Investor 17</t>
  </si>
  <si>
    <t>Investor 18</t>
  </si>
  <si>
    <t>Investor 19</t>
  </si>
  <si>
    <t>Investor 20</t>
  </si>
  <si>
    <t>Investor 21</t>
  </si>
  <si>
    <t>Investor 22</t>
  </si>
  <si>
    <t>Investor 23</t>
  </si>
  <si>
    <t>Investor 24</t>
  </si>
  <si>
    <t>Investor 25</t>
  </si>
  <si>
    <t>Investor 26</t>
  </si>
  <si>
    <t>Investor 27</t>
  </si>
  <si>
    <t>Investor 28</t>
  </si>
  <si>
    <t>Investor 29</t>
  </si>
  <si>
    <t>Investor 30</t>
  </si>
  <si>
    <t>Investor 31</t>
  </si>
  <si>
    <t>Investor 32</t>
  </si>
  <si>
    <t>Investor 33</t>
  </si>
  <si>
    <t>Investor 34</t>
  </si>
  <si>
    <t>Investor 35</t>
  </si>
  <si>
    <t>Investor 36</t>
  </si>
  <si>
    <t>Investor 37</t>
  </si>
  <si>
    <t>Investor 38</t>
  </si>
  <si>
    <t>Investor 39</t>
  </si>
  <si>
    <t>Investor 40</t>
  </si>
  <si>
    <t>Investor 41</t>
  </si>
  <si>
    <t>Investor 42</t>
  </si>
  <si>
    <t>Investor 43</t>
  </si>
  <si>
    <t>Investor 44</t>
  </si>
  <si>
    <t>Investor 45</t>
  </si>
  <si>
    <t>Investor 46</t>
  </si>
  <si>
    <t>Post Preseed
Founders' Dilution</t>
  </si>
  <si>
    <t>Post Preseed
 Founders' Shares
Ownership</t>
  </si>
  <si>
    <t>Post Seed Birr/Equity
Amount</t>
  </si>
  <si>
    <t>Series A Common Shares</t>
  </si>
  <si>
    <t>Series A
Shares</t>
  </si>
  <si>
    <t>Series A Birr
Amount</t>
  </si>
  <si>
    <t>Post Series A
Total Shares</t>
  </si>
  <si>
    <t>Post Series A Birr/Equity
Amount</t>
  </si>
  <si>
    <t>Investor 47</t>
  </si>
  <si>
    <t>Investor 48</t>
  </si>
  <si>
    <t>Investor 49</t>
  </si>
  <si>
    <t>Investor 50</t>
  </si>
  <si>
    <t>Investor 51</t>
  </si>
  <si>
    <t>Investor 52</t>
  </si>
  <si>
    <t>Investor 53</t>
  </si>
  <si>
    <t>Investor 54</t>
  </si>
  <si>
    <t>Investor 55</t>
  </si>
  <si>
    <t>Investor 56</t>
  </si>
  <si>
    <t>Investor 57</t>
  </si>
  <si>
    <t>Investor 58</t>
  </si>
  <si>
    <t>Investor 59</t>
  </si>
  <si>
    <t>Investor 60</t>
  </si>
  <si>
    <t>-</t>
  </si>
  <si>
    <t>Incorporation:</t>
  </si>
  <si>
    <t>Seed:</t>
  </si>
  <si>
    <t>Series A:</t>
  </si>
  <si>
    <t>Cofounder</t>
  </si>
  <si>
    <t>Balance Sheet Check</t>
  </si>
  <si>
    <t>Assumptions</t>
  </si>
  <si>
    <t>Total Monthly Visits</t>
  </si>
  <si>
    <t>Growth Rate</t>
  </si>
  <si>
    <t>Site Traffic (Annual)</t>
  </si>
  <si>
    <t>Total Annual Visits</t>
  </si>
  <si>
    <t>Conversion Rates</t>
  </si>
  <si>
    <t>Orders Placed</t>
  </si>
  <si>
    <t>Total Orders Placed</t>
  </si>
  <si>
    <t>Order Details</t>
  </si>
  <si>
    <t>Churn Rate</t>
  </si>
  <si>
    <t>Subtotal</t>
  </si>
  <si>
    <t>Average</t>
  </si>
  <si>
    <t>Fixed</t>
  </si>
  <si>
    <t>Other</t>
  </si>
  <si>
    <t>Balance Sheet Items</t>
  </si>
  <si>
    <t>Current Assets</t>
  </si>
  <si>
    <t>Inventory Turns</t>
  </si>
  <si>
    <t>Current Liabilities</t>
  </si>
  <si>
    <t>Office Equipment</t>
  </si>
  <si>
    <t>Acquisitions</t>
  </si>
  <si>
    <t>Depreciation</t>
  </si>
  <si>
    <t>Interest Rate</t>
  </si>
  <si>
    <t>Debt Issued (Repaid)</t>
  </si>
  <si>
    <t>Equity Raised (Repurchased)</t>
  </si>
  <si>
    <t>Dividends Paid</t>
  </si>
  <si>
    <t>Valuation</t>
  </si>
  <si>
    <t>Terminal Value Exit Multiple</t>
  </si>
  <si>
    <t>Income Statement</t>
  </si>
  <si>
    <t>Balance Sheet</t>
  </si>
  <si>
    <t>Customer Metrics</t>
  </si>
  <si>
    <t>Site Traffic (Avg Monthly Visits)</t>
  </si>
  <si>
    <t xml:space="preserve">Organic </t>
  </si>
  <si>
    <t xml:space="preserve">Paid </t>
  </si>
  <si>
    <t>Average Item Value (Gross)</t>
  </si>
  <si>
    <t>#of Items Per Order</t>
  </si>
  <si>
    <t>Average Markdown</t>
  </si>
  <si>
    <t>Average Promotion/Discount</t>
  </si>
  <si>
    <t>Average Gross Order Value</t>
  </si>
  <si>
    <t>Average Net Order Value</t>
  </si>
  <si>
    <t xml:space="preserve">Customers </t>
  </si>
  <si>
    <t>Opening Active Customer Basse</t>
  </si>
  <si>
    <t>Plus New Customers</t>
  </si>
  <si>
    <t>Less Churned Customers</t>
  </si>
  <si>
    <t>Closing Customer Base</t>
  </si>
  <si>
    <t xml:space="preserve">Marketing Expenses </t>
  </si>
  <si>
    <t xml:space="preserve">Variable </t>
  </si>
  <si>
    <t>Organic Search (Cost Per Click)</t>
  </si>
  <si>
    <t>Paid Search (Cost Per Click)</t>
  </si>
  <si>
    <t xml:space="preserve">Order Fulfillment </t>
  </si>
  <si>
    <t>Freight/Shipping Per Order</t>
  </si>
  <si>
    <t>Labor/Handling Per Order</t>
  </si>
  <si>
    <t>Warehouse Rent</t>
  </si>
  <si>
    <t xml:space="preserve">General &amp; Administrative </t>
  </si>
  <si>
    <t>Office Rent</t>
  </si>
  <si>
    <t>Salaries, Wages &amp; Benefits</t>
  </si>
  <si>
    <t>Professional Fees</t>
  </si>
  <si>
    <t>AR Days</t>
  </si>
  <si>
    <t xml:space="preserve">Inventory Days </t>
  </si>
  <si>
    <t>AP Days</t>
  </si>
  <si>
    <t xml:space="preserve">CAPEX </t>
  </si>
  <si>
    <t>Tech Development</t>
  </si>
  <si>
    <t>Technology - Straighline Years</t>
  </si>
  <si>
    <t>Office Equipment - Straightline Years</t>
  </si>
  <si>
    <t xml:space="preserve">Financing </t>
  </si>
  <si>
    <t xml:space="preserve">Tax Rate </t>
  </si>
  <si>
    <t>Cost of Capital/Discount Rate</t>
  </si>
  <si>
    <t>Cashflow Statement</t>
  </si>
  <si>
    <t>Supporting Schedule</t>
  </si>
  <si>
    <t>Capital Assets</t>
  </si>
  <si>
    <t>Opening Balance</t>
  </si>
  <si>
    <t>Technology</t>
  </si>
  <si>
    <t>PPE</t>
  </si>
  <si>
    <t>Additions</t>
  </si>
  <si>
    <t>Closing Balance</t>
  </si>
  <si>
    <t xml:space="preserve">Debt Schedule </t>
  </si>
  <si>
    <t>Interest on Debt</t>
  </si>
  <si>
    <t>Gross Revenue</t>
  </si>
  <si>
    <t>Discounts, Promotions, Markdowns</t>
  </si>
  <si>
    <t>Net Revenue</t>
  </si>
  <si>
    <t>COGS</t>
  </si>
  <si>
    <t>Interest</t>
  </si>
  <si>
    <t>Earning Before Tax</t>
  </si>
  <si>
    <t>Taxes</t>
  </si>
  <si>
    <t>Net Income</t>
  </si>
  <si>
    <t>Gross Profit</t>
  </si>
  <si>
    <t>Margin</t>
  </si>
  <si>
    <t>Marketing</t>
  </si>
  <si>
    <t>Order Fulfillment</t>
  </si>
  <si>
    <t>Contribution</t>
  </si>
  <si>
    <t>Total Variable Costs</t>
  </si>
  <si>
    <t>Total Fixed Costs</t>
  </si>
  <si>
    <t>EBITDA</t>
  </si>
  <si>
    <t>Total Depreciation</t>
  </si>
  <si>
    <t>Asset</t>
  </si>
  <si>
    <t>Liability</t>
  </si>
  <si>
    <t>Cash</t>
  </si>
  <si>
    <t>Account Receivable</t>
  </si>
  <si>
    <t>Inventory</t>
  </si>
  <si>
    <t>Total Current Assets</t>
  </si>
  <si>
    <t>Total Noncurrent Assets</t>
  </si>
  <si>
    <t>Total Assets</t>
  </si>
  <si>
    <t>Accounts Payable</t>
  </si>
  <si>
    <t>Debt</t>
  </si>
  <si>
    <t>Shareholders Equity</t>
  </si>
  <si>
    <t>Share Capital</t>
  </si>
  <si>
    <t>Retained Earnings</t>
  </si>
  <si>
    <t>Total Liability</t>
  </si>
  <si>
    <t>Total Shareholders Equity</t>
  </si>
  <si>
    <t>Total Liability and Shareholders Equity</t>
  </si>
  <si>
    <t>Check</t>
  </si>
  <si>
    <t>Cashflow from Operations</t>
  </si>
  <si>
    <t>AR</t>
  </si>
  <si>
    <t>AP</t>
  </si>
  <si>
    <t>Changes in WC:</t>
  </si>
  <si>
    <t>Net Cashflow from Operations</t>
  </si>
  <si>
    <t>Cashflow from Investment</t>
  </si>
  <si>
    <t>Net Cashflow from Investment</t>
  </si>
  <si>
    <t>Cashflow from Financing</t>
  </si>
  <si>
    <t>Net Cashflow from Financing</t>
  </si>
  <si>
    <t>Total Cash</t>
  </si>
  <si>
    <t>Opening Cash Balance</t>
  </si>
  <si>
    <t>Cash Increase/Decrease</t>
  </si>
  <si>
    <t>Closing Cash Balance</t>
  </si>
  <si>
    <t>COGS (Gross Product Margin)</t>
  </si>
  <si>
    <t>Supplies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</si>
  <si>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</si>
  <si>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</si>
  <si>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</si>
  <si>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</si>
  <si>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</si>
  <si>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</si>
  <si>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</si>
  <si>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</si>
  <si>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</si>
  <si>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</si>
  <si>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</si>
  <si>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</si>
  <si>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Variable Costs:</t>
  </si>
  <si>
    <t>Fixed Costs:</t>
  </si>
  <si>
    <t>Fixed General and Administrative:</t>
  </si>
  <si>
    <t>COGS:</t>
  </si>
  <si>
    <t>Store Rent</t>
  </si>
  <si>
    <t>USD to ETB</t>
  </si>
  <si>
    <t>Organic Search (Cost Per Click) ETB</t>
  </si>
  <si>
    <t>Paid Search (Cost Per Click) ETB</t>
  </si>
  <si>
    <t>CAC</t>
  </si>
  <si>
    <t>Contribution Margin Per Order</t>
  </si>
  <si>
    <t>LTV</t>
  </si>
  <si>
    <t>Payback (# of Orders)</t>
  </si>
  <si>
    <t>LTV/CAC Ratio Times</t>
  </si>
  <si>
    <t>EBIT</t>
  </si>
  <si>
    <t xml:space="preserve">Net Operating Loss </t>
  </si>
  <si>
    <t>Current Loss</t>
  </si>
  <si>
    <t>Sub Total</t>
  </si>
  <si>
    <t>Loss Used</t>
  </si>
  <si>
    <t>Free Cash Flow</t>
  </si>
  <si>
    <t>Less Taxes</t>
  </si>
  <si>
    <t>Less Capex</t>
  </si>
  <si>
    <t>Plus Depreciation</t>
  </si>
  <si>
    <t>Less Changes in Working Capital</t>
  </si>
  <si>
    <t>Unlevered Free Cash Flow</t>
  </si>
  <si>
    <t>DCF Valuation</t>
  </si>
  <si>
    <t>NPV of Forecast</t>
  </si>
  <si>
    <t>Terminal Value (EBITDA multiple)</t>
  </si>
  <si>
    <t>NPV of Terminal Value</t>
  </si>
  <si>
    <t>Total Enterprise Value</t>
  </si>
  <si>
    <t>% of Business Retained after raise</t>
  </si>
  <si>
    <t>EV/Revenue (2025E)</t>
  </si>
  <si>
    <t>1) DCF Valuation:</t>
  </si>
  <si>
    <t>2) Competitive Valuation:</t>
  </si>
  <si>
    <t>3) Multiples Valuation:</t>
  </si>
  <si>
    <t>Cofounder 1</t>
  </si>
  <si>
    <t>Cofounder 2</t>
  </si>
  <si>
    <t>Cofounder 3</t>
  </si>
  <si>
    <t>Cofounder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</si>
</sst>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_-[$$-409]* #,##0_ ;_-[$$-409]* \-#,##0\ ;_-[$$-409]* &quot;-&quot;??_ ;_-@_ "/>
    <numFmt numFmtId="167" formatCode="0.0000%"/>
    <numFmt numFmtId="168" formatCode="_-[$$-409]* #,##0.00_ ;_-[$$-409]* \-#,##0.00\ ;_-[$$-409]* &quot;-&quot;??_ ;_-@_ "/>
    <numFmt numFmtId="169" formatCode="0.00000000%"/>
    <numFmt numFmtId="170" formatCode="0.0%"/>
    <numFmt numFmtId="171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1B202B"/>
      <name val="Montserrat"/>
    </font>
    <font>
      <sz val="10"/>
      <color theme="1"/>
      <name val="Montserrat"/>
    </font>
    <font>
      <b/>
      <sz val="10"/>
      <color theme="0"/>
      <name val="Montserrat"/>
    </font>
    <font>
      <b/>
      <sz val="11"/>
      <color theme="0"/>
      <name val="Montserrat"/>
    </font>
    <font>
      <sz val="8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Montserrat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2060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0CD95"/>
      </bottom>
      <diagonal/>
    </border>
    <border>
      <left style="thin">
        <color indexed="64"/>
      </left>
      <right style="thin">
        <color indexed="64"/>
      </right>
      <top/>
      <bottom style="thick">
        <color rgb="FF00CD9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14" fontId="5" fillId="3" borderId="0" xfId="0" applyNumberFormat="1" applyFont="1" applyFill="1" applyAlignment="1">
      <alignment horizontal="center" vertical="center"/>
    </xf>
    <xf numFmtId="3" fontId="0" fillId="4" borderId="4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5" fillId="3" borderId="5" xfId="0" applyNumberFormat="1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4" fontId="5" fillId="3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64" fontId="0" fillId="0" borderId="9" xfId="1" applyNumberFormat="1" applyFont="1" applyBorder="1" applyAlignment="1">
      <alignment horizontal="left"/>
    </xf>
    <xf numFmtId="164" fontId="2" fillId="0" borderId="10" xfId="1" applyNumberFormat="1" applyFont="1" applyBorder="1" applyAlignment="1">
      <alignment horizontal="left"/>
    </xf>
    <xf numFmtId="9" fontId="2" fillId="0" borderId="11" xfId="0" applyNumberFormat="1" applyFont="1" applyBorder="1" applyAlignment="1">
      <alignment horizontal="center"/>
    </xf>
    <xf numFmtId="14" fontId="5" fillId="3" borderId="0" xfId="0" applyNumberFormat="1" applyFont="1" applyFill="1" applyAlignment="1">
      <alignment horizontal="center" vertical="center" wrapText="1"/>
    </xf>
    <xf numFmtId="0" fontId="0" fillId="0" borderId="9" xfId="0" applyBorder="1"/>
    <xf numFmtId="1" fontId="0" fillId="0" borderId="9" xfId="0" applyNumberFormat="1" applyBorder="1" applyAlignment="1">
      <alignment horizontal="center"/>
    </xf>
    <xf numFmtId="9" fontId="2" fillId="0" borderId="9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  <xf numFmtId="9" fontId="0" fillId="0" borderId="14" xfId="2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5" fontId="0" fillId="0" borderId="9" xfId="3" applyNumberFormat="1" applyFont="1" applyBorder="1" applyAlignment="1">
      <alignment horizontal="center"/>
    </xf>
    <xf numFmtId="164" fontId="0" fillId="0" borderId="9" xfId="1" applyNumberFormat="1" applyFont="1" applyBorder="1" applyAlignment="1"/>
    <xf numFmtId="164" fontId="0" fillId="7" borderId="9" xfId="1" applyNumberFormat="1" applyFont="1" applyFill="1" applyBorder="1" applyAlignment="1">
      <alignment horizontal="center"/>
    </xf>
    <xf numFmtId="165" fontId="0" fillId="7" borderId="9" xfId="3" applyNumberFormat="1" applyFont="1" applyFill="1" applyBorder="1"/>
    <xf numFmtId="165" fontId="0" fillId="7" borderId="9" xfId="3" applyNumberFormat="1" applyFont="1" applyFill="1" applyBorder="1" applyAlignment="1">
      <alignment horizontal="center"/>
    </xf>
    <xf numFmtId="165" fontId="9" fillId="4" borderId="3" xfId="3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right"/>
    </xf>
    <xf numFmtId="3" fontId="8" fillId="4" borderId="3" xfId="1" applyNumberFormat="1" applyFont="1" applyFill="1" applyBorder="1" applyAlignment="1">
      <alignment horizontal="right"/>
    </xf>
    <xf numFmtId="3" fontId="0" fillId="4" borderId="3" xfId="1" applyNumberFormat="1" applyFont="1" applyFill="1" applyBorder="1" applyAlignment="1">
      <alignment horizontal="right"/>
    </xf>
    <xf numFmtId="165" fontId="0" fillId="0" borderId="0" xfId="3" applyNumberFormat="1" applyFont="1" applyAlignment="1">
      <alignment horizontal="right"/>
    </xf>
    <xf numFmtId="3" fontId="2" fillId="6" borderId="9" xfId="0" applyNumberFormat="1" applyFont="1" applyFill="1" applyBorder="1" applyAlignment="1">
      <alignment horizontal="center"/>
    </xf>
    <xf numFmtId="164" fontId="2" fillId="6" borderId="10" xfId="1" applyNumberFormat="1" applyFont="1" applyFill="1" applyBorder="1" applyAlignment="1">
      <alignment horizontal="left"/>
    </xf>
    <xf numFmtId="165" fontId="0" fillId="0" borderId="9" xfId="3" applyNumberFormat="1" applyFont="1" applyBorder="1" applyAlignment="1">
      <alignment horizontal="left"/>
    </xf>
    <xf numFmtId="165" fontId="2" fillId="0" borderId="10" xfId="3" applyNumberFormat="1" applyFont="1" applyBorder="1" applyAlignment="1">
      <alignment horizontal="left"/>
    </xf>
    <xf numFmtId="165" fontId="8" fillId="0" borderId="0" xfId="3" applyNumberFormat="1" applyFont="1" applyAlignment="1">
      <alignment horizontal="right"/>
    </xf>
    <xf numFmtId="164" fontId="2" fillId="7" borderId="9" xfId="1" applyNumberFormat="1" applyFont="1" applyFill="1" applyBorder="1" applyAlignment="1">
      <alignment horizontal="center"/>
    </xf>
    <xf numFmtId="165" fontId="8" fillId="4" borderId="4" xfId="3" applyNumberFormat="1" applyFont="1" applyFill="1" applyBorder="1" applyAlignment="1">
      <alignment horizontal="right"/>
    </xf>
    <xf numFmtId="166" fontId="8" fillId="4" borderId="3" xfId="0" applyNumberFormat="1" applyFont="1" applyFill="1" applyBorder="1" applyAlignment="1">
      <alignment horizontal="right"/>
    </xf>
    <xf numFmtId="165" fontId="0" fillId="4" borderId="3" xfId="3" applyNumberFormat="1" applyFont="1" applyFill="1" applyBorder="1" applyAlignment="1">
      <alignment horizontal="right"/>
    </xf>
    <xf numFmtId="3" fontId="0" fillId="0" borderId="0" xfId="0" applyNumberFormat="1"/>
    <xf numFmtId="0" fontId="11" fillId="0" borderId="0" xfId="0" applyFont="1"/>
    <xf numFmtId="0" fontId="10" fillId="0" borderId="0" xfId="0" applyFont="1"/>
    <xf numFmtId="44" fontId="0" fillId="0" borderId="0" xfId="3" applyFont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5" fontId="0" fillId="0" borderId="0" xfId="1" applyNumberFormat="1" applyFont="1"/>
    <xf numFmtId="3" fontId="2" fillId="0" borderId="0" xfId="0" applyNumberFormat="1" applyFont="1"/>
    <xf numFmtId="168" fontId="0" fillId="0" borderId="0" xfId="0" applyNumberFormat="1"/>
    <xf numFmtId="9" fontId="0" fillId="0" borderId="0" xfId="2" applyFont="1"/>
    <xf numFmtId="167" fontId="0" fillId="0" borderId="0" xfId="2" applyNumberFormat="1" applyFont="1"/>
    <xf numFmtId="169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1" applyNumberFormat="1" applyFont="1"/>
    <xf numFmtId="164" fontId="0" fillId="8" borderId="9" xfId="1" applyNumberFormat="1" applyFont="1" applyFill="1" applyBorder="1" applyAlignment="1">
      <alignment horizontal="center"/>
    </xf>
    <xf numFmtId="164" fontId="2" fillId="8" borderId="9" xfId="1" applyNumberFormat="1" applyFont="1" applyFill="1" applyBorder="1" applyAlignment="1">
      <alignment horizontal="center"/>
    </xf>
    <xf numFmtId="9" fontId="2" fillId="0" borderId="9" xfId="2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 wrapText="1"/>
    </xf>
    <xf numFmtId="14" fontId="5" fillId="0" borderId="0" xfId="0" applyNumberFormat="1" applyFont="1" applyAlignment="1">
      <alignment horizontal="center" vertical="center" wrapText="1"/>
    </xf>
    <xf numFmtId="164" fontId="0" fillId="0" borderId="0" xfId="1" applyNumberFormat="1" applyFont="1" applyFill="1"/>
    <xf numFmtId="164" fontId="4" fillId="0" borderId="0" xfId="1" applyNumberFormat="1" applyFont="1" applyFill="1"/>
    <xf numFmtId="0" fontId="12" fillId="6" borderId="0" xfId="0" applyFont="1" applyFill="1" applyAlignment="1">
      <alignment horizontal="center"/>
    </xf>
    <xf numFmtId="0" fontId="12" fillId="6" borderId="0" xfId="0" applyFont="1" applyFill="1"/>
    <xf numFmtId="0" fontId="0" fillId="0" borderId="15" xfId="0" applyBorder="1"/>
    <xf numFmtId="0" fontId="2" fillId="0" borderId="15" xfId="0" applyFont="1" applyBorder="1"/>
    <xf numFmtId="43" fontId="0" fillId="0" borderId="0" xfId="0" applyNumberFormat="1"/>
    <xf numFmtId="165" fontId="2" fillId="7" borderId="9" xfId="3" applyNumberFormat="1" applyFont="1" applyFill="1" applyBorder="1" applyAlignment="1">
      <alignment horizontal="center"/>
    </xf>
    <xf numFmtId="165" fontId="0" fillId="0" borderId="0" xfId="0" applyNumberFormat="1"/>
    <xf numFmtId="10" fontId="0" fillId="0" borderId="0" xfId="2" applyNumberFormat="1" applyFont="1"/>
    <xf numFmtId="0" fontId="8" fillId="0" borderId="0" xfId="0" applyFont="1"/>
    <xf numFmtId="3" fontId="8" fillId="0" borderId="0" xfId="0" applyNumberFormat="1" applyFont="1"/>
    <xf numFmtId="164" fontId="2" fillId="0" borderId="15" xfId="1" applyNumberFormat="1" applyFont="1" applyBorder="1"/>
    <xf numFmtId="9" fontId="8" fillId="0" borderId="0" xfId="0" applyNumberFormat="1" applyFont="1"/>
    <xf numFmtId="170" fontId="8" fillId="0" borderId="0" xfId="0" applyNumberFormat="1" applyFont="1"/>
    <xf numFmtId="9" fontId="8" fillId="0" borderId="0" xfId="2" applyFont="1"/>
    <xf numFmtId="164" fontId="0" fillId="0" borderId="15" xfId="0" applyNumberFormat="1" applyBorder="1"/>
    <xf numFmtId="4" fontId="8" fillId="0" borderId="0" xfId="0" applyNumberFormat="1" applyFont="1"/>
    <xf numFmtId="3" fontId="2" fillId="0" borderId="15" xfId="0" applyNumberFormat="1" applyFont="1" applyBorder="1"/>
    <xf numFmtId="1" fontId="0" fillId="0" borderId="0" xfId="0" applyNumberFormat="1"/>
    <xf numFmtId="0" fontId="8" fillId="0" borderId="0" xfId="0" applyFont="1" applyAlignment="1">
      <alignment horizontal="right"/>
    </xf>
    <xf numFmtId="170" fontId="2" fillId="0" borderId="15" xfId="2" applyNumberFormat="1" applyFont="1" applyBorder="1"/>
    <xf numFmtId="43" fontId="2" fillId="0" borderId="15" xfId="0" applyNumberFormat="1" applyFont="1" applyBorder="1"/>
    <xf numFmtId="164" fontId="2" fillId="0" borderId="15" xfId="0" applyNumberFormat="1" applyFont="1" applyBorder="1"/>
    <xf numFmtId="164" fontId="2" fillId="0" borderId="0" xfId="1" applyNumberFormat="1" applyFont="1"/>
    <xf numFmtId="43" fontId="8" fillId="0" borderId="0" xfId="1" applyFont="1"/>
    <xf numFmtId="3" fontId="9" fillId="0" borderId="0" xfId="0" applyNumberFormat="1" applyFont="1"/>
    <xf numFmtId="37" fontId="0" fillId="9" borderId="0" xfId="0" applyNumberFormat="1" applyFill="1"/>
    <xf numFmtId="1" fontId="8" fillId="0" borderId="0" xfId="0" applyNumberFormat="1" applyFont="1"/>
    <xf numFmtId="2" fontId="0" fillId="0" borderId="0" xfId="0" applyNumberFormat="1"/>
    <xf numFmtId="9" fontId="2" fillId="0" borderId="0" xfId="2" applyFont="1"/>
    <xf numFmtId="0" fontId="12" fillId="6" borderId="16" xfId="0" applyFont="1" applyFill="1" applyBorder="1"/>
    <xf numFmtId="0" fontId="0" fillId="0" borderId="16" xfId="0" applyBorder="1"/>
    <xf numFmtId="0" fontId="2" fillId="0" borderId="17" xfId="0" applyFont="1" applyBorder="1"/>
    <xf numFmtId="0" fontId="0" fillId="0" borderId="17" xfId="0" applyBorder="1"/>
    <xf numFmtId="0" fontId="2" fillId="0" borderId="16" xfId="0" applyFont="1" applyBorder="1"/>
    <xf numFmtId="164" fontId="2" fillId="0" borderId="16" xfId="0" applyNumberFormat="1" applyFont="1" applyBorder="1"/>
    <xf numFmtId="164" fontId="0" fillId="0" borderId="16" xfId="0" applyNumberFormat="1" applyBorder="1"/>
    <xf numFmtId="0" fontId="12" fillId="6" borderId="16" xfId="0" applyFont="1" applyFill="1" applyBorder="1" applyAlignment="1">
      <alignment horizontal="center"/>
    </xf>
    <xf numFmtId="9" fontId="2" fillId="0" borderId="16" xfId="2" applyFont="1" applyBorder="1"/>
    <xf numFmtId="164" fontId="2" fillId="0" borderId="16" xfId="1" applyNumberFormat="1" applyFont="1" applyBorder="1"/>
    <xf numFmtId="4" fontId="9" fillId="0" borderId="0" xfId="0" applyNumberFormat="1" applyFont="1"/>
    <xf numFmtId="0" fontId="9" fillId="0" borderId="16" xfId="0" applyFont="1" applyBorder="1"/>
    <xf numFmtId="43" fontId="0" fillId="0" borderId="0" xfId="1" applyFont="1"/>
    <xf numFmtId="164" fontId="0" fillId="0" borderId="16" xfId="1" applyNumberFormat="1" applyFont="1" applyBorder="1"/>
    <xf numFmtId="9" fontId="8" fillId="0" borderId="16" xfId="2" applyFont="1" applyBorder="1"/>
    <xf numFmtId="1" fontId="8" fillId="0" borderId="16" xfId="0" applyNumberFormat="1" applyFont="1" applyBorder="1"/>
    <xf numFmtId="3" fontId="8" fillId="0" borderId="16" xfId="0" applyNumberFormat="1" applyFont="1" applyBorder="1"/>
    <xf numFmtId="164" fontId="2" fillId="0" borderId="17" xfId="1" applyNumberFormat="1" applyFont="1" applyBorder="1"/>
    <xf numFmtId="1" fontId="0" fillId="0" borderId="16" xfId="0" applyNumberFormat="1" applyBorder="1"/>
    <xf numFmtId="170" fontId="8" fillId="0" borderId="16" xfId="0" applyNumberFormat="1" applyFont="1" applyBorder="1"/>
    <xf numFmtId="170" fontId="2" fillId="0" borderId="17" xfId="2" applyNumberFormat="1" applyFont="1" applyBorder="1"/>
    <xf numFmtId="43" fontId="8" fillId="0" borderId="16" xfId="1" applyFont="1" applyBorder="1"/>
    <xf numFmtId="3" fontId="9" fillId="0" borderId="16" xfId="0" applyNumberFormat="1" applyFont="1" applyBorder="1"/>
    <xf numFmtId="164" fontId="0" fillId="0" borderId="17" xfId="0" applyNumberFormat="1" applyBorder="1"/>
    <xf numFmtId="4" fontId="8" fillId="0" borderId="16" xfId="0" applyNumberFormat="1" applyFont="1" applyBorder="1"/>
    <xf numFmtId="4" fontId="9" fillId="0" borderId="16" xfId="0" applyNumberFormat="1" applyFont="1" applyBorder="1"/>
    <xf numFmtId="43" fontId="2" fillId="0" borderId="17" xfId="0" applyNumberFormat="1" applyFont="1" applyBorder="1"/>
    <xf numFmtId="3" fontId="2" fillId="0" borderId="17" xfId="0" applyNumberFormat="1" applyFont="1" applyBorder="1"/>
    <xf numFmtId="2" fontId="0" fillId="0" borderId="16" xfId="0" applyNumberFormat="1" applyBorder="1"/>
    <xf numFmtId="9" fontId="0" fillId="0" borderId="16" xfId="0" applyNumberFormat="1" applyBorder="1"/>
    <xf numFmtId="3" fontId="0" fillId="0" borderId="16" xfId="0" applyNumberFormat="1" applyBorder="1"/>
    <xf numFmtId="164" fontId="2" fillId="0" borderId="17" xfId="0" applyNumberFormat="1" applyFont="1" applyBorder="1"/>
    <xf numFmtId="37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6" xfId="0" applyFont="1" applyBorder="1"/>
    <xf numFmtId="37" fontId="2" fillId="0" borderId="0" xfId="0" applyNumberFormat="1" applyFont="1"/>
    <xf numFmtId="37" fontId="0" fillId="0" borderId="15" xfId="0" applyNumberFormat="1" applyBorder="1"/>
    <xf numFmtId="37" fontId="2" fillId="0" borderId="15" xfId="0" applyNumberFormat="1" applyFont="1" applyBorder="1"/>
    <xf numFmtId="6" fontId="0" fillId="0" borderId="0" xfId="1" applyNumberFormat="1" applyFont="1"/>
    <xf numFmtId="171" fontId="0" fillId="0" borderId="0" xfId="0" applyNumberFormat="1"/>
    <xf numFmtId="164" fontId="15" fillId="0" borderId="0" xfId="1" applyNumberFormat="1" applyFont="1"/>
    <xf numFmtId="6" fontId="2" fillId="0" borderId="0" xfId="0" applyNumberFormat="1" applyFont="1"/>
    <xf numFmtId="2" fontId="2" fillId="0" borderId="0" xfId="0" applyNumberFormat="1" applyFont="1"/>
    <xf numFmtId="6" fontId="0" fillId="0" borderId="0" xfId="0" applyNumberFormat="1"/>
    <xf numFmtId="6" fontId="0" fillId="9" borderId="0" xfId="0" applyNumberFormat="1" applyFill="1"/>
    <xf numFmtId="9" fontId="2" fillId="9" borderId="0" xfId="2" applyFont="1" applyFill="1"/>
    <xf numFmtId="165" fontId="9" fillId="0" borderId="0" xfId="3" applyNumberFormat="1" applyFont="1" applyAlignment="1">
      <alignment horizontal="right"/>
    </xf>
    <xf numFmtId="8" fontId="0" fillId="0" borderId="0" xfId="0" applyNumberFormat="1"/>
    <xf numFmtId="44" fontId="0" fillId="0" borderId="0" xfId="0" applyNumberFormat="1"/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</cellXfs>
  <cellStyles count="5">
    <cellStyle name="Comma" xfId="1" builtinId="3"/>
    <cellStyle name="Comma 2" xfId="4" xr:uid="{0D5FC0B5-04B9-4316-A5D5-89389E4C9CE7}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9FE-43E9-4BFE-94B8-680EE8AA7651}">
  <dimension ref="A1:V157"/>
  <sheetViews>
    <sheetView showGridLines="0" topLeftCell="A10" zoomScale="107" workbookViewId="0">
      <selection activeCell="D149" sqref="D149"/>
    </sheetView>
  </sheetViews>
  <sheetFormatPr defaultColWidth="18.7265625" defaultRowHeight="14.5" outlineLevelRow="1" x14ac:dyDescent="0.35"/>
  <cols>
    <col min="1" max="1" width="22.90625" bestFit="1" customWidth="1"/>
    <col min="2" max="2" width="28.36328125" customWidth="1"/>
    <col min="3" max="3" width="30" customWidth="1"/>
    <col min="4" max="4" width="27.453125" customWidth="1"/>
    <col min="5" max="5" width="14.1796875" customWidth="1"/>
    <col min="6" max="6" width="13.81640625" bestFit="1" customWidth="1"/>
    <col min="7" max="12" width="16.7265625" customWidth="1"/>
    <col min="13" max="13" width="12.6328125" customWidth="1"/>
    <col min="14" max="14" width="27" bestFit="1" customWidth="1"/>
  </cols>
  <sheetData>
    <row r="1" spans="1:22" ht="27" customHeight="1" thickBot="1" x14ac:dyDescent="0.6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22" ht="27" customHeight="1" thickTop="1" thickBot="1" x14ac:dyDescent="0.65">
      <c r="A2" s="62" t="s">
        <v>100</v>
      </c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22" ht="27" customHeight="1" outlineLevel="1" thickBot="1" x14ac:dyDescent="0.45">
      <c r="A3" s="5" t="s">
        <v>1</v>
      </c>
      <c r="B3" s="30">
        <f>D3</f>
        <v>160000</v>
      </c>
      <c r="C3" s="5" t="s">
        <v>2</v>
      </c>
      <c r="D3" s="28">
        <f>D12</f>
        <v>160000</v>
      </c>
      <c r="G3" s="66"/>
      <c r="K3" s="20"/>
      <c r="L3" s="20"/>
      <c r="M3" s="20"/>
      <c r="N3" s="20"/>
      <c r="O3" s="20"/>
      <c r="P3" s="20"/>
      <c r="Q3" s="20"/>
      <c r="R3" s="20"/>
      <c r="S3" s="20"/>
    </row>
    <row r="4" spans="1:22" ht="27" customHeight="1" outlineLevel="1" thickBot="1" x14ac:dyDescent="0.45">
      <c r="A4" s="148" t="s">
        <v>3</v>
      </c>
      <c r="B4" s="148"/>
      <c r="C4" s="5" t="s">
        <v>4</v>
      </c>
      <c r="D4" s="39">
        <v>1000</v>
      </c>
      <c r="H4" s="67"/>
      <c r="M4" s="20"/>
      <c r="N4" s="20"/>
      <c r="O4" s="20"/>
      <c r="P4" s="20"/>
      <c r="Q4" s="20"/>
      <c r="R4" s="20"/>
      <c r="S4" s="20"/>
      <c r="V4" s="43">
        <v>1</v>
      </c>
    </row>
    <row r="5" spans="1:22" ht="25.5" customHeight="1" outlineLevel="1" thickBot="1" x14ac:dyDescent="0.4">
      <c r="A5" s="148"/>
      <c r="B5" s="148"/>
      <c r="C5" s="15" t="s">
        <v>16</v>
      </c>
      <c r="D5" s="29">
        <v>40</v>
      </c>
      <c r="V5" s="44">
        <v>2</v>
      </c>
    </row>
    <row r="6" spans="1:22" ht="30.5" customHeight="1" outlineLevel="1" thickBot="1" x14ac:dyDescent="0.45">
      <c r="A6" s="149"/>
      <c r="B6" s="149"/>
      <c r="C6" s="15" t="s">
        <v>15</v>
      </c>
      <c r="D6" s="41">
        <v>1000000</v>
      </c>
      <c r="G6" s="20"/>
      <c r="H6" s="68"/>
      <c r="I6" s="20"/>
      <c r="J6" s="20"/>
      <c r="V6" s="44">
        <v>3</v>
      </c>
    </row>
    <row r="7" spans="1:22" ht="30" outlineLevel="1" x14ac:dyDescent="0.4">
      <c r="A7" s="8" t="s">
        <v>5</v>
      </c>
      <c r="B7" s="8" t="s">
        <v>9</v>
      </c>
      <c r="C7" s="9" t="s">
        <v>6</v>
      </c>
      <c r="D7" s="9" t="s">
        <v>7</v>
      </c>
      <c r="E7" s="10" t="s">
        <v>8</v>
      </c>
      <c r="F7" s="10" t="s">
        <v>19</v>
      </c>
      <c r="G7" s="20"/>
      <c r="V7" s="44">
        <v>4</v>
      </c>
    </row>
    <row r="8" spans="1:22" ht="14.5" customHeight="1" outlineLevel="1" x14ac:dyDescent="0.35">
      <c r="A8" s="16" t="s">
        <v>276</v>
      </c>
      <c r="B8" s="19" t="s">
        <v>103</v>
      </c>
      <c r="C8" s="12">
        <f>D8/$D$12*$C$12</f>
        <v>40000</v>
      </c>
      <c r="D8" s="35">
        <f>IF($D$4*$D$5*F8&lt;=$D$6,PRODUCT($D$4,$D$5,F8),"Error")</f>
        <v>40000</v>
      </c>
      <c r="E8" s="21">
        <f>C8/$C$12</f>
        <v>0.25</v>
      </c>
      <c r="F8" s="22">
        <v>1</v>
      </c>
      <c r="V8" s="44">
        <v>5</v>
      </c>
    </row>
    <row r="9" spans="1:22" outlineLevel="1" x14ac:dyDescent="0.35">
      <c r="A9" s="16" t="s">
        <v>277</v>
      </c>
      <c r="B9" s="19" t="s">
        <v>103</v>
      </c>
      <c r="C9" s="12">
        <f>D9/$D$12*$C$12</f>
        <v>40000</v>
      </c>
      <c r="D9" s="35">
        <f>IF($D$4*$D$5*F9&lt;=$D$6,PRODUCT($D$4,$D$5,F9),"Error")</f>
        <v>40000</v>
      </c>
      <c r="E9" s="21">
        <f>C9/$C$12</f>
        <v>0.25</v>
      </c>
      <c r="F9" s="22">
        <v>1</v>
      </c>
    </row>
    <row r="10" spans="1:22" outlineLevel="1" x14ac:dyDescent="0.35">
      <c r="A10" s="16" t="s">
        <v>278</v>
      </c>
      <c r="B10" s="19" t="s">
        <v>103</v>
      </c>
      <c r="C10" s="12">
        <f>D10/$D$12*$C$12</f>
        <v>40000</v>
      </c>
      <c r="D10" s="35">
        <f>IF($D$4*$D$5*F10&lt;=$D$6,PRODUCT($D$4,$D$5,F10),"Error")</f>
        <v>40000</v>
      </c>
      <c r="E10" s="21">
        <f>C10/$C$12</f>
        <v>0.25</v>
      </c>
      <c r="F10" s="22">
        <v>1</v>
      </c>
    </row>
    <row r="11" spans="1:22" ht="15" outlineLevel="1" x14ac:dyDescent="0.35">
      <c r="A11" s="16" t="s">
        <v>279</v>
      </c>
      <c r="B11" s="19" t="s">
        <v>103</v>
      </c>
      <c r="C11" s="12">
        <f>D11/$D$12*$C$12</f>
        <v>40000</v>
      </c>
      <c r="D11" s="35">
        <f>IF($D$4*$D$5*F11&lt;=$D$6,PRODUCT($D$4,$D$5,F11),"Error")</f>
        <v>40000</v>
      </c>
      <c r="E11" s="21">
        <f>C11/$C$12</f>
        <v>0.25</v>
      </c>
      <c r="F11" s="22">
        <v>1</v>
      </c>
      <c r="G11" s="66"/>
    </row>
    <row r="12" spans="1:22" ht="15.5" outlineLevel="1" thickBot="1" x14ac:dyDescent="0.4">
      <c r="A12" s="5" t="s">
        <v>32</v>
      </c>
      <c r="B12" s="34"/>
      <c r="C12" s="13">
        <f>B3</f>
        <v>160000</v>
      </c>
      <c r="D12" s="36">
        <f>SUM(D8:D11)</f>
        <v>160000</v>
      </c>
      <c r="E12" s="14">
        <f>SUM(E8:E11)</f>
        <v>1</v>
      </c>
      <c r="F12" s="34"/>
    </row>
    <row r="13" spans="1:22" ht="27" customHeight="1" thickBot="1" x14ac:dyDescent="0.65">
      <c r="A13" s="62" t="s">
        <v>101</v>
      </c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</row>
    <row r="14" spans="1:22" ht="15.5" outlineLevel="1" thickBot="1" x14ac:dyDescent="0.4">
      <c r="A14" s="5" t="s">
        <v>1</v>
      </c>
      <c r="B14" s="31">
        <f>B3</f>
        <v>160000</v>
      </c>
      <c r="C14" s="5" t="s">
        <v>2</v>
      </c>
      <c r="D14" s="40">
        <v>3000000</v>
      </c>
      <c r="F14" s="50"/>
    </row>
    <row r="15" spans="1:22" ht="15.5" outlineLevel="1" thickBot="1" x14ac:dyDescent="0.4">
      <c r="A15" s="148" t="s">
        <v>22</v>
      </c>
      <c r="B15" s="148"/>
      <c r="C15" s="5"/>
      <c r="D15" s="6"/>
    </row>
    <row r="16" spans="1:22" ht="15.5" outlineLevel="1" thickBot="1" x14ac:dyDescent="0.4">
      <c r="A16" s="148"/>
      <c r="B16" s="148"/>
      <c r="C16" s="5"/>
      <c r="D16" s="7"/>
      <c r="E16" s="52"/>
      <c r="N16" s="53"/>
    </row>
    <row r="17" spans="1:13" ht="22" customHeight="1" outlineLevel="1" thickBot="1" x14ac:dyDescent="0.65">
      <c r="A17" s="148"/>
      <c r="B17" s="148"/>
      <c r="C17" s="5"/>
      <c r="D17" s="7"/>
      <c r="E17" s="150"/>
      <c r="F17" s="151"/>
      <c r="G17" s="151"/>
      <c r="H17" s="151"/>
      <c r="I17" s="151"/>
      <c r="J17" s="151"/>
      <c r="K17" s="151"/>
      <c r="L17" s="151"/>
      <c r="M17" s="151"/>
    </row>
    <row r="18" spans="1:13" ht="45" outlineLevel="1" x14ac:dyDescent="0.35">
      <c r="A18" s="15" t="s">
        <v>5</v>
      </c>
      <c r="B18" s="8" t="s">
        <v>9</v>
      </c>
      <c r="C18" s="15" t="s">
        <v>6</v>
      </c>
      <c r="D18" s="15" t="s">
        <v>7</v>
      </c>
      <c r="E18" s="15" t="s">
        <v>23</v>
      </c>
      <c r="F18" s="15" t="s">
        <v>24</v>
      </c>
      <c r="G18" s="15" t="s">
        <v>25</v>
      </c>
      <c r="H18" s="15" t="s">
        <v>79</v>
      </c>
      <c r="I18" s="15" t="s">
        <v>8</v>
      </c>
      <c r="J18" s="49"/>
    </row>
    <row r="19" spans="1:13" outlineLevel="1" x14ac:dyDescent="0.35">
      <c r="A19" s="16" t="s">
        <v>276</v>
      </c>
      <c r="B19" s="19" t="s">
        <v>103</v>
      </c>
      <c r="C19" s="24">
        <f>D19/$D$12*$C$12</f>
        <v>40000</v>
      </c>
      <c r="D19" s="23">
        <f>D8</f>
        <v>40000</v>
      </c>
      <c r="E19" s="25"/>
      <c r="F19" s="26"/>
      <c r="G19" s="25">
        <f t="shared" ref="G19:G50" si="0">C19+E19</f>
        <v>40000</v>
      </c>
      <c r="H19" s="27">
        <f t="shared" ref="H19:H50" si="1">SUM(D19,F19)</f>
        <v>40000</v>
      </c>
      <c r="I19" s="46">
        <f t="shared" ref="I19:I50" si="2">G19/$G$69</f>
        <v>0.18099538244855531</v>
      </c>
      <c r="K19" s="48"/>
    </row>
    <row r="20" spans="1:13" outlineLevel="1" x14ac:dyDescent="0.35">
      <c r="A20" s="16" t="s">
        <v>277</v>
      </c>
      <c r="B20" s="19" t="s">
        <v>103</v>
      </c>
      <c r="C20" s="24">
        <f>D20/$D$12*$C$12</f>
        <v>40000</v>
      </c>
      <c r="D20" s="23">
        <f>D9</f>
        <v>40000</v>
      </c>
      <c r="E20" s="25"/>
      <c r="F20" s="26"/>
      <c r="G20" s="25">
        <f t="shared" si="0"/>
        <v>40000</v>
      </c>
      <c r="H20" s="27">
        <f t="shared" si="1"/>
        <v>40000</v>
      </c>
      <c r="I20" s="46">
        <f t="shared" si="2"/>
        <v>0.18099538244855531</v>
      </c>
      <c r="J20" s="48"/>
      <c r="K20" s="75">
        <f>1000000*I19</f>
        <v>180995.38244855532</v>
      </c>
    </row>
    <row r="21" spans="1:13" outlineLevel="1" x14ac:dyDescent="0.35">
      <c r="A21" s="16" t="s">
        <v>278</v>
      </c>
      <c r="B21" s="19" t="s">
        <v>103</v>
      </c>
      <c r="C21" s="24">
        <f>D21/$D$12*$C$12</f>
        <v>40000</v>
      </c>
      <c r="D21" s="23">
        <f>D10</f>
        <v>40000</v>
      </c>
      <c r="E21" s="25"/>
      <c r="F21" s="26"/>
      <c r="G21" s="25">
        <f t="shared" si="0"/>
        <v>40000</v>
      </c>
      <c r="H21" s="27">
        <f t="shared" si="1"/>
        <v>40000</v>
      </c>
      <c r="I21" s="46">
        <f t="shared" si="2"/>
        <v>0.18099538244855531</v>
      </c>
      <c r="J21" s="48"/>
    </row>
    <row r="22" spans="1:13" outlineLevel="1" x14ac:dyDescent="0.35">
      <c r="A22" s="16" t="s">
        <v>279</v>
      </c>
      <c r="B22" s="19" t="s">
        <v>103</v>
      </c>
      <c r="C22" s="24">
        <f>D22/$D$12*$C$12</f>
        <v>40000</v>
      </c>
      <c r="D22" s="23">
        <f>D11</f>
        <v>40000</v>
      </c>
      <c r="E22" s="25"/>
      <c r="F22" s="26"/>
      <c r="G22" s="25">
        <f t="shared" si="0"/>
        <v>40000</v>
      </c>
      <c r="H22" s="27">
        <f t="shared" si="1"/>
        <v>40000</v>
      </c>
      <c r="I22" s="46">
        <f t="shared" si="2"/>
        <v>0.18099538244855531</v>
      </c>
      <c r="J22" s="48"/>
    </row>
    <row r="23" spans="1:13" outlineLevel="1" x14ac:dyDescent="0.35">
      <c r="A23" s="16" t="s">
        <v>17</v>
      </c>
      <c r="B23" s="17" t="s">
        <v>30</v>
      </c>
      <c r="C23" s="24">
        <v>0</v>
      </c>
      <c r="D23" s="23">
        <v>0</v>
      </c>
      <c r="E23" s="25">
        <f>F23/$D$70</f>
        <v>1326.0894162132661</v>
      </c>
      <c r="F23" s="27">
        <f>$D$14*2.17391304%</f>
        <v>65217.391200000005</v>
      </c>
      <c r="G23" s="25">
        <f>C23+E23</f>
        <v>1326.0894162132661</v>
      </c>
      <c r="H23" s="27">
        <f t="shared" si="1"/>
        <v>65217.391200000005</v>
      </c>
      <c r="I23" s="46">
        <f t="shared" si="2"/>
        <v>6.0004015262125386E-3</v>
      </c>
      <c r="J23" s="48"/>
      <c r="K23" s="58">
        <f>1000000*I23</f>
        <v>6000.4015262125386</v>
      </c>
    </row>
    <row r="24" spans="1:13" outlineLevel="1" x14ac:dyDescent="0.35">
      <c r="A24" s="16" t="s">
        <v>18</v>
      </c>
      <c r="B24" s="17" t="s">
        <v>30</v>
      </c>
      <c r="C24" s="24">
        <v>0</v>
      </c>
      <c r="D24" s="23">
        <v>0</v>
      </c>
      <c r="E24" s="25">
        <f t="shared" ref="E24:E42" si="3">F24/$D$70</f>
        <v>1326.0894162132661</v>
      </c>
      <c r="F24" s="27">
        <f t="shared" ref="F24:F68" si="4">$D$14*2.17391304%</f>
        <v>65217.391200000005</v>
      </c>
      <c r="G24" s="25">
        <f t="shared" si="0"/>
        <v>1326.0894162132661</v>
      </c>
      <c r="H24" s="27">
        <f t="shared" si="1"/>
        <v>65217.391200000005</v>
      </c>
      <c r="I24" s="46">
        <f t="shared" si="2"/>
        <v>6.0004015262125386E-3</v>
      </c>
      <c r="J24" s="48"/>
      <c r="K24">
        <f>H24/K23</f>
        <v>10.868837846117493</v>
      </c>
    </row>
    <row r="25" spans="1:13" outlineLevel="1" x14ac:dyDescent="0.35">
      <c r="A25" s="16" t="s">
        <v>33</v>
      </c>
      <c r="B25" s="17" t="s">
        <v>30</v>
      </c>
      <c r="C25" s="24">
        <v>0</v>
      </c>
      <c r="D25" s="23">
        <v>0</v>
      </c>
      <c r="E25" s="25">
        <f t="shared" si="3"/>
        <v>1326.0894162132661</v>
      </c>
      <c r="F25" s="27">
        <f t="shared" si="4"/>
        <v>65217.391200000005</v>
      </c>
      <c r="G25" s="25">
        <f t="shared" si="0"/>
        <v>1326.0894162132661</v>
      </c>
      <c r="H25" s="27">
        <f t="shared" si="1"/>
        <v>65217.391200000005</v>
      </c>
      <c r="I25" s="46">
        <f t="shared" si="2"/>
        <v>6.0004015262125386E-3</v>
      </c>
      <c r="J25" s="48"/>
      <c r="K25" s="73"/>
    </row>
    <row r="26" spans="1:13" outlineLevel="1" x14ac:dyDescent="0.35">
      <c r="A26" s="16" t="s">
        <v>34</v>
      </c>
      <c r="B26" s="17" t="s">
        <v>30</v>
      </c>
      <c r="C26" s="24">
        <v>0</v>
      </c>
      <c r="D26" s="23">
        <v>0</v>
      </c>
      <c r="E26" s="25">
        <f t="shared" si="3"/>
        <v>1326.0894162132661</v>
      </c>
      <c r="F26" s="27">
        <f t="shared" si="4"/>
        <v>65217.391200000005</v>
      </c>
      <c r="G26" s="25">
        <f t="shared" si="0"/>
        <v>1326.0894162132661</v>
      </c>
      <c r="H26" s="27">
        <f t="shared" si="1"/>
        <v>65217.391200000005</v>
      </c>
      <c r="I26" s="46">
        <f t="shared" si="2"/>
        <v>6.0004015262125386E-3</v>
      </c>
      <c r="J26" s="48"/>
    </row>
    <row r="27" spans="1:13" outlineLevel="1" x14ac:dyDescent="0.35">
      <c r="A27" s="16" t="s">
        <v>35</v>
      </c>
      <c r="B27" s="17" t="s">
        <v>30</v>
      </c>
      <c r="C27" s="24">
        <v>0</v>
      </c>
      <c r="D27" s="23">
        <v>0</v>
      </c>
      <c r="E27" s="25">
        <f t="shared" si="3"/>
        <v>1326.0894162132661</v>
      </c>
      <c r="F27" s="27">
        <f t="shared" si="4"/>
        <v>65217.391200000005</v>
      </c>
      <c r="G27" s="25">
        <f t="shared" si="0"/>
        <v>1326.0894162132661</v>
      </c>
      <c r="H27" s="27">
        <f t="shared" si="1"/>
        <v>65217.391200000005</v>
      </c>
      <c r="I27" s="46">
        <f t="shared" si="2"/>
        <v>6.0004015262125386E-3</v>
      </c>
      <c r="J27" s="48"/>
    </row>
    <row r="28" spans="1:13" outlineLevel="1" x14ac:dyDescent="0.35">
      <c r="A28" s="16" t="s">
        <v>36</v>
      </c>
      <c r="B28" s="17" t="s">
        <v>30</v>
      </c>
      <c r="C28" s="24">
        <v>0</v>
      </c>
      <c r="D28" s="23">
        <v>0</v>
      </c>
      <c r="E28" s="25">
        <f t="shared" si="3"/>
        <v>1326.0894162132661</v>
      </c>
      <c r="F28" s="27">
        <f t="shared" si="4"/>
        <v>65217.391200000005</v>
      </c>
      <c r="G28" s="25">
        <f t="shared" si="0"/>
        <v>1326.0894162132661</v>
      </c>
      <c r="H28" s="27">
        <f t="shared" si="1"/>
        <v>65217.391200000005</v>
      </c>
      <c r="I28" s="46">
        <f t="shared" si="2"/>
        <v>6.0004015262125386E-3</v>
      </c>
      <c r="J28" s="48"/>
    </row>
    <row r="29" spans="1:13" outlineLevel="1" x14ac:dyDescent="0.35">
      <c r="A29" s="16" t="s">
        <v>37</v>
      </c>
      <c r="B29" s="17" t="s">
        <v>30</v>
      </c>
      <c r="C29" s="24">
        <v>0</v>
      </c>
      <c r="D29" s="23">
        <v>0</v>
      </c>
      <c r="E29" s="25">
        <f t="shared" si="3"/>
        <v>1326.0894162132661</v>
      </c>
      <c r="F29" s="27">
        <f t="shared" si="4"/>
        <v>65217.391200000005</v>
      </c>
      <c r="G29" s="25">
        <f t="shared" si="0"/>
        <v>1326.0894162132661</v>
      </c>
      <c r="H29" s="27">
        <f t="shared" si="1"/>
        <v>65217.391200000005</v>
      </c>
      <c r="I29" s="46">
        <f t="shared" si="2"/>
        <v>6.0004015262125386E-3</v>
      </c>
      <c r="J29" s="48"/>
    </row>
    <row r="30" spans="1:13" outlineLevel="1" x14ac:dyDescent="0.35">
      <c r="A30" s="16" t="s">
        <v>38</v>
      </c>
      <c r="B30" s="17" t="s">
        <v>30</v>
      </c>
      <c r="C30" s="24">
        <v>0</v>
      </c>
      <c r="D30" s="23">
        <v>0</v>
      </c>
      <c r="E30" s="25">
        <f t="shared" si="3"/>
        <v>1326.0894162132661</v>
      </c>
      <c r="F30" s="27">
        <f t="shared" si="4"/>
        <v>65217.391200000005</v>
      </c>
      <c r="G30" s="25">
        <f t="shared" si="0"/>
        <v>1326.0894162132661</v>
      </c>
      <c r="H30" s="27">
        <f t="shared" si="1"/>
        <v>65217.391200000005</v>
      </c>
      <c r="I30" s="46">
        <f t="shared" si="2"/>
        <v>6.0004015262125386E-3</v>
      </c>
      <c r="J30" s="48"/>
    </row>
    <row r="31" spans="1:13" outlineLevel="1" x14ac:dyDescent="0.35">
      <c r="A31" s="16" t="s">
        <v>39</v>
      </c>
      <c r="B31" s="17" t="s">
        <v>30</v>
      </c>
      <c r="C31" s="24">
        <v>0</v>
      </c>
      <c r="D31" s="23">
        <v>0</v>
      </c>
      <c r="E31" s="25">
        <f t="shared" si="3"/>
        <v>1326.0894162132661</v>
      </c>
      <c r="F31" s="27">
        <f t="shared" si="4"/>
        <v>65217.391200000005</v>
      </c>
      <c r="G31" s="25">
        <f t="shared" si="0"/>
        <v>1326.0894162132661</v>
      </c>
      <c r="H31" s="27">
        <f t="shared" si="1"/>
        <v>65217.391200000005</v>
      </c>
      <c r="I31" s="46">
        <f t="shared" si="2"/>
        <v>6.0004015262125386E-3</v>
      </c>
      <c r="J31" s="48"/>
      <c r="K31" s="147"/>
    </row>
    <row r="32" spans="1:13" outlineLevel="1" x14ac:dyDescent="0.35">
      <c r="A32" s="16" t="s">
        <v>40</v>
      </c>
      <c r="B32" s="17" t="s">
        <v>30</v>
      </c>
      <c r="C32" s="24">
        <v>0</v>
      </c>
      <c r="D32" s="23">
        <v>0</v>
      </c>
      <c r="E32" s="25">
        <f t="shared" si="3"/>
        <v>1326.0894162132661</v>
      </c>
      <c r="F32" s="27">
        <f t="shared" si="4"/>
        <v>65217.391200000005</v>
      </c>
      <c r="G32" s="25">
        <f t="shared" si="0"/>
        <v>1326.0894162132661</v>
      </c>
      <c r="H32" s="27">
        <f t="shared" si="1"/>
        <v>65217.391200000005</v>
      </c>
      <c r="I32" s="46">
        <f t="shared" si="2"/>
        <v>6.0004015262125386E-3</v>
      </c>
      <c r="J32" s="48"/>
    </row>
    <row r="33" spans="1:10" outlineLevel="1" x14ac:dyDescent="0.35">
      <c r="A33" s="16" t="s">
        <v>41</v>
      </c>
      <c r="B33" s="17" t="s">
        <v>30</v>
      </c>
      <c r="C33" s="24">
        <v>0</v>
      </c>
      <c r="D33" s="23">
        <v>0</v>
      </c>
      <c r="E33" s="25">
        <f t="shared" si="3"/>
        <v>1326.0894162132661</v>
      </c>
      <c r="F33" s="27">
        <f t="shared" si="4"/>
        <v>65217.391200000005</v>
      </c>
      <c r="G33" s="25">
        <f t="shared" si="0"/>
        <v>1326.0894162132661</v>
      </c>
      <c r="H33" s="27">
        <f t="shared" si="1"/>
        <v>65217.391200000005</v>
      </c>
      <c r="I33" s="46">
        <f t="shared" si="2"/>
        <v>6.0004015262125386E-3</v>
      </c>
      <c r="J33" s="48"/>
    </row>
    <row r="34" spans="1:10" outlineLevel="1" x14ac:dyDescent="0.35">
      <c r="A34" s="16" t="s">
        <v>42</v>
      </c>
      <c r="B34" s="17" t="s">
        <v>30</v>
      </c>
      <c r="C34" s="24">
        <v>0</v>
      </c>
      <c r="D34" s="23">
        <v>0</v>
      </c>
      <c r="E34" s="25">
        <f t="shared" si="3"/>
        <v>1326.0894162132661</v>
      </c>
      <c r="F34" s="27">
        <f t="shared" si="4"/>
        <v>65217.391200000005</v>
      </c>
      <c r="G34" s="25">
        <f t="shared" si="0"/>
        <v>1326.0894162132661</v>
      </c>
      <c r="H34" s="27">
        <f t="shared" si="1"/>
        <v>65217.391200000005</v>
      </c>
      <c r="I34" s="46">
        <f t="shared" si="2"/>
        <v>6.0004015262125386E-3</v>
      </c>
      <c r="J34" s="48"/>
    </row>
    <row r="35" spans="1:10" outlineLevel="1" x14ac:dyDescent="0.35">
      <c r="A35" s="16" t="s">
        <v>43</v>
      </c>
      <c r="B35" s="17" t="s">
        <v>30</v>
      </c>
      <c r="C35" s="24">
        <v>0</v>
      </c>
      <c r="D35" s="23">
        <v>0</v>
      </c>
      <c r="E35" s="25">
        <f t="shared" si="3"/>
        <v>1326.0894162132661</v>
      </c>
      <c r="F35" s="27">
        <f t="shared" si="4"/>
        <v>65217.391200000005</v>
      </c>
      <c r="G35" s="25">
        <f t="shared" si="0"/>
        <v>1326.0894162132661</v>
      </c>
      <c r="H35" s="27">
        <f t="shared" si="1"/>
        <v>65217.391200000005</v>
      </c>
      <c r="I35" s="46">
        <f t="shared" si="2"/>
        <v>6.0004015262125386E-3</v>
      </c>
      <c r="J35" s="48"/>
    </row>
    <row r="36" spans="1:10" outlineLevel="1" x14ac:dyDescent="0.35">
      <c r="A36" s="16" t="s">
        <v>44</v>
      </c>
      <c r="B36" s="17" t="s">
        <v>30</v>
      </c>
      <c r="C36" s="24">
        <v>0</v>
      </c>
      <c r="D36" s="23">
        <v>0</v>
      </c>
      <c r="E36" s="25">
        <f t="shared" si="3"/>
        <v>1326.0894162132661</v>
      </c>
      <c r="F36" s="27">
        <f t="shared" si="4"/>
        <v>65217.391200000005</v>
      </c>
      <c r="G36" s="25">
        <f t="shared" si="0"/>
        <v>1326.0894162132661</v>
      </c>
      <c r="H36" s="27">
        <f t="shared" si="1"/>
        <v>65217.391200000005</v>
      </c>
      <c r="I36" s="46">
        <f t="shared" si="2"/>
        <v>6.0004015262125386E-3</v>
      </c>
      <c r="J36" s="48"/>
    </row>
    <row r="37" spans="1:10" outlineLevel="1" x14ac:dyDescent="0.35">
      <c r="A37" s="16" t="s">
        <v>45</v>
      </c>
      <c r="B37" s="17" t="s">
        <v>30</v>
      </c>
      <c r="C37" s="24">
        <v>0</v>
      </c>
      <c r="D37" s="23">
        <v>0</v>
      </c>
      <c r="E37" s="25">
        <f t="shared" si="3"/>
        <v>1326.0894162132661</v>
      </c>
      <c r="F37" s="27">
        <f t="shared" si="4"/>
        <v>65217.391200000005</v>
      </c>
      <c r="G37" s="25">
        <f t="shared" si="0"/>
        <v>1326.0894162132661</v>
      </c>
      <c r="H37" s="27">
        <f t="shared" si="1"/>
        <v>65217.391200000005</v>
      </c>
      <c r="I37" s="46">
        <f t="shared" si="2"/>
        <v>6.0004015262125386E-3</v>
      </c>
      <c r="J37" s="48"/>
    </row>
    <row r="38" spans="1:10" outlineLevel="1" x14ac:dyDescent="0.35">
      <c r="A38" s="16" t="s">
        <v>46</v>
      </c>
      <c r="B38" s="17" t="s">
        <v>30</v>
      </c>
      <c r="C38" s="24">
        <v>0</v>
      </c>
      <c r="D38" s="23">
        <v>0</v>
      </c>
      <c r="E38" s="25">
        <f t="shared" si="3"/>
        <v>1326.0894162132661</v>
      </c>
      <c r="F38" s="27">
        <f t="shared" si="4"/>
        <v>65217.391200000005</v>
      </c>
      <c r="G38" s="25">
        <f t="shared" si="0"/>
        <v>1326.0894162132661</v>
      </c>
      <c r="H38" s="27">
        <f t="shared" si="1"/>
        <v>65217.391200000005</v>
      </c>
      <c r="I38" s="46">
        <f t="shared" si="2"/>
        <v>6.0004015262125386E-3</v>
      </c>
      <c r="J38" s="48"/>
    </row>
    <row r="39" spans="1:10" outlineLevel="1" x14ac:dyDescent="0.35">
      <c r="A39" s="16" t="s">
        <v>47</v>
      </c>
      <c r="B39" s="17" t="s">
        <v>30</v>
      </c>
      <c r="C39" s="24">
        <v>0</v>
      </c>
      <c r="D39" s="23">
        <v>0</v>
      </c>
      <c r="E39" s="25">
        <f t="shared" si="3"/>
        <v>1326.0894162132661</v>
      </c>
      <c r="F39" s="27">
        <f t="shared" si="4"/>
        <v>65217.391200000005</v>
      </c>
      <c r="G39" s="25">
        <f t="shared" si="0"/>
        <v>1326.0894162132661</v>
      </c>
      <c r="H39" s="27">
        <f t="shared" si="1"/>
        <v>65217.391200000005</v>
      </c>
      <c r="I39" s="46">
        <f t="shared" si="2"/>
        <v>6.0004015262125386E-3</v>
      </c>
      <c r="J39" s="48"/>
    </row>
    <row r="40" spans="1:10" outlineLevel="1" x14ac:dyDescent="0.35">
      <c r="A40" s="16" t="s">
        <v>48</v>
      </c>
      <c r="B40" s="17" t="s">
        <v>30</v>
      </c>
      <c r="C40" s="24">
        <v>0</v>
      </c>
      <c r="D40" s="23">
        <v>0</v>
      </c>
      <c r="E40" s="25">
        <f t="shared" si="3"/>
        <v>1326.0894162132661</v>
      </c>
      <c r="F40" s="27">
        <f t="shared" si="4"/>
        <v>65217.391200000005</v>
      </c>
      <c r="G40" s="25">
        <f t="shared" si="0"/>
        <v>1326.0894162132661</v>
      </c>
      <c r="H40" s="27">
        <f t="shared" si="1"/>
        <v>65217.391200000005</v>
      </c>
      <c r="I40" s="46">
        <f t="shared" si="2"/>
        <v>6.0004015262125386E-3</v>
      </c>
      <c r="J40" s="48"/>
    </row>
    <row r="41" spans="1:10" outlineLevel="1" x14ac:dyDescent="0.35">
      <c r="A41" s="16" t="s">
        <v>49</v>
      </c>
      <c r="B41" s="17" t="s">
        <v>30</v>
      </c>
      <c r="C41" s="24">
        <v>0</v>
      </c>
      <c r="D41" s="23">
        <v>0</v>
      </c>
      <c r="E41" s="25">
        <f t="shared" si="3"/>
        <v>1326.0894162132661</v>
      </c>
      <c r="F41" s="27">
        <f t="shared" si="4"/>
        <v>65217.391200000005</v>
      </c>
      <c r="G41" s="25">
        <f t="shared" si="0"/>
        <v>1326.0894162132661</v>
      </c>
      <c r="H41" s="27">
        <f t="shared" si="1"/>
        <v>65217.391200000005</v>
      </c>
      <c r="I41" s="46">
        <f t="shared" si="2"/>
        <v>6.0004015262125386E-3</v>
      </c>
      <c r="J41" s="48"/>
    </row>
    <row r="42" spans="1:10" outlineLevel="1" x14ac:dyDescent="0.35">
      <c r="A42" s="16" t="s">
        <v>50</v>
      </c>
      <c r="B42" s="17" t="s">
        <v>30</v>
      </c>
      <c r="C42" s="24">
        <v>0</v>
      </c>
      <c r="D42" s="23">
        <v>0</v>
      </c>
      <c r="E42" s="25">
        <f t="shared" si="3"/>
        <v>1326.0894162132661</v>
      </c>
      <c r="F42" s="27">
        <f t="shared" si="4"/>
        <v>65217.391200000005</v>
      </c>
      <c r="G42" s="25">
        <f t="shared" si="0"/>
        <v>1326.0894162132661</v>
      </c>
      <c r="H42" s="27">
        <f t="shared" si="1"/>
        <v>65217.391200000005</v>
      </c>
      <c r="I42" s="46">
        <f t="shared" si="2"/>
        <v>6.0004015262125386E-3</v>
      </c>
      <c r="J42" s="48"/>
    </row>
    <row r="43" spans="1:10" outlineLevel="1" x14ac:dyDescent="0.35">
      <c r="A43" s="16" t="s">
        <v>51</v>
      </c>
      <c r="B43" s="17" t="s">
        <v>30</v>
      </c>
      <c r="C43" s="24">
        <v>0</v>
      </c>
      <c r="D43" s="23">
        <v>0</v>
      </c>
      <c r="E43" s="25">
        <f t="shared" ref="E43:E68" si="5">F43/$D$70</f>
        <v>1326.0894162132661</v>
      </c>
      <c r="F43" s="27">
        <f t="shared" si="4"/>
        <v>65217.391200000005</v>
      </c>
      <c r="G43" s="25">
        <f t="shared" si="0"/>
        <v>1326.0894162132661</v>
      </c>
      <c r="H43" s="27">
        <f t="shared" si="1"/>
        <v>65217.391200000005</v>
      </c>
      <c r="I43" s="46">
        <f t="shared" si="2"/>
        <v>6.0004015262125386E-3</v>
      </c>
      <c r="J43" s="48"/>
    </row>
    <row r="44" spans="1:10" outlineLevel="1" x14ac:dyDescent="0.35">
      <c r="A44" s="16" t="s">
        <v>52</v>
      </c>
      <c r="B44" s="17" t="s">
        <v>30</v>
      </c>
      <c r="C44" s="24">
        <v>0</v>
      </c>
      <c r="D44" s="23">
        <v>0</v>
      </c>
      <c r="E44" s="25">
        <f t="shared" si="5"/>
        <v>1326.0894162132661</v>
      </c>
      <c r="F44" s="27">
        <f t="shared" si="4"/>
        <v>65217.391200000005</v>
      </c>
      <c r="G44" s="25">
        <f t="shared" si="0"/>
        <v>1326.0894162132661</v>
      </c>
      <c r="H44" s="27">
        <f t="shared" si="1"/>
        <v>65217.391200000005</v>
      </c>
      <c r="I44" s="46">
        <f t="shared" si="2"/>
        <v>6.0004015262125386E-3</v>
      </c>
      <c r="J44" s="48"/>
    </row>
    <row r="45" spans="1:10" outlineLevel="1" x14ac:dyDescent="0.35">
      <c r="A45" s="16" t="s">
        <v>53</v>
      </c>
      <c r="B45" s="17" t="s">
        <v>30</v>
      </c>
      <c r="C45" s="24">
        <v>0</v>
      </c>
      <c r="D45" s="23">
        <v>0</v>
      </c>
      <c r="E45" s="25">
        <f t="shared" si="5"/>
        <v>1326.0894162132661</v>
      </c>
      <c r="F45" s="27">
        <f t="shared" si="4"/>
        <v>65217.391200000005</v>
      </c>
      <c r="G45" s="25">
        <f t="shared" si="0"/>
        <v>1326.0894162132661</v>
      </c>
      <c r="H45" s="27">
        <f t="shared" si="1"/>
        <v>65217.391200000005</v>
      </c>
      <c r="I45" s="46">
        <f t="shared" si="2"/>
        <v>6.0004015262125386E-3</v>
      </c>
      <c r="J45" s="48"/>
    </row>
    <row r="46" spans="1:10" outlineLevel="1" x14ac:dyDescent="0.35">
      <c r="A46" s="16" t="s">
        <v>54</v>
      </c>
      <c r="B46" s="17" t="s">
        <v>30</v>
      </c>
      <c r="C46" s="24">
        <v>0</v>
      </c>
      <c r="D46" s="23">
        <v>0</v>
      </c>
      <c r="E46" s="25">
        <f t="shared" si="5"/>
        <v>1326.0894162132661</v>
      </c>
      <c r="F46" s="27">
        <f t="shared" si="4"/>
        <v>65217.391200000005</v>
      </c>
      <c r="G46" s="25">
        <f t="shared" si="0"/>
        <v>1326.0894162132661</v>
      </c>
      <c r="H46" s="27">
        <f t="shared" si="1"/>
        <v>65217.391200000005</v>
      </c>
      <c r="I46" s="46">
        <f t="shared" si="2"/>
        <v>6.0004015262125386E-3</v>
      </c>
      <c r="J46" s="48"/>
    </row>
    <row r="47" spans="1:10" outlineLevel="1" x14ac:dyDescent="0.35">
      <c r="A47" s="16" t="s">
        <v>55</v>
      </c>
      <c r="B47" s="17" t="s">
        <v>30</v>
      </c>
      <c r="C47" s="24">
        <v>0</v>
      </c>
      <c r="D47" s="23">
        <v>0</v>
      </c>
      <c r="E47" s="25">
        <f t="shared" si="5"/>
        <v>1326.0894162132661</v>
      </c>
      <c r="F47" s="27">
        <f t="shared" si="4"/>
        <v>65217.391200000005</v>
      </c>
      <c r="G47" s="25">
        <f t="shared" si="0"/>
        <v>1326.0894162132661</v>
      </c>
      <c r="H47" s="27">
        <f t="shared" si="1"/>
        <v>65217.391200000005</v>
      </c>
      <c r="I47" s="46">
        <f t="shared" si="2"/>
        <v>6.0004015262125386E-3</v>
      </c>
      <c r="J47" s="48"/>
    </row>
    <row r="48" spans="1:10" outlineLevel="1" x14ac:dyDescent="0.35">
      <c r="A48" s="16" t="s">
        <v>56</v>
      </c>
      <c r="B48" s="17" t="s">
        <v>30</v>
      </c>
      <c r="C48" s="24">
        <v>0</v>
      </c>
      <c r="D48" s="23">
        <v>0</v>
      </c>
      <c r="E48" s="25">
        <f t="shared" si="5"/>
        <v>1326.0894162132661</v>
      </c>
      <c r="F48" s="27">
        <f t="shared" si="4"/>
        <v>65217.391200000005</v>
      </c>
      <c r="G48" s="25">
        <f t="shared" si="0"/>
        <v>1326.0894162132661</v>
      </c>
      <c r="H48" s="27">
        <f t="shared" si="1"/>
        <v>65217.391200000005</v>
      </c>
      <c r="I48" s="46">
        <f t="shared" si="2"/>
        <v>6.0004015262125386E-3</v>
      </c>
      <c r="J48" s="48"/>
    </row>
    <row r="49" spans="1:10" outlineLevel="1" x14ac:dyDescent="0.35">
      <c r="A49" s="16" t="s">
        <v>57</v>
      </c>
      <c r="B49" s="17" t="s">
        <v>30</v>
      </c>
      <c r="C49" s="24">
        <v>0</v>
      </c>
      <c r="D49" s="23">
        <v>0</v>
      </c>
      <c r="E49" s="25">
        <f t="shared" si="5"/>
        <v>1326.0894162132661</v>
      </c>
      <c r="F49" s="27">
        <f t="shared" si="4"/>
        <v>65217.391200000005</v>
      </c>
      <c r="G49" s="25">
        <f t="shared" si="0"/>
        <v>1326.0894162132661</v>
      </c>
      <c r="H49" s="27">
        <f t="shared" si="1"/>
        <v>65217.391200000005</v>
      </c>
      <c r="I49" s="46">
        <f t="shared" si="2"/>
        <v>6.0004015262125386E-3</v>
      </c>
      <c r="J49" s="48"/>
    </row>
    <row r="50" spans="1:10" outlineLevel="1" x14ac:dyDescent="0.35">
      <c r="A50" s="16" t="s">
        <v>58</v>
      </c>
      <c r="B50" s="17" t="s">
        <v>30</v>
      </c>
      <c r="C50" s="24">
        <v>0</v>
      </c>
      <c r="D50" s="23">
        <v>0</v>
      </c>
      <c r="E50" s="25">
        <f t="shared" si="5"/>
        <v>1326.0894162132661</v>
      </c>
      <c r="F50" s="27">
        <f t="shared" si="4"/>
        <v>65217.391200000005</v>
      </c>
      <c r="G50" s="25">
        <f t="shared" si="0"/>
        <v>1326.0894162132661</v>
      </c>
      <c r="H50" s="27">
        <f t="shared" si="1"/>
        <v>65217.391200000005</v>
      </c>
      <c r="I50" s="46">
        <f t="shared" si="2"/>
        <v>6.0004015262125386E-3</v>
      </c>
      <c r="J50" s="48"/>
    </row>
    <row r="51" spans="1:10" outlineLevel="1" x14ac:dyDescent="0.35">
      <c r="A51" s="16" t="s">
        <v>59</v>
      </c>
      <c r="B51" s="17" t="s">
        <v>30</v>
      </c>
      <c r="C51" s="24">
        <v>0</v>
      </c>
      <c r="D51" s="23">
        <v>0</v>
      </c>
      <c r="E51" s="25">
        <f t="shared" si="5"/>
        <v>1326.0894162132661</v>
      </c>
      <c r="F51" s="27">
        <f t="shared" si="4"/>
        <v>65217.391200000005</v>
      </c>
      <c r="G51" s="25">
        <f t="shared" ref="G51:G68" si="6">C51+E51</f>
        <v>1326.0894162132661</v>
      </c>
      <c r="H51" s="27">
        <f t="shared" ref="H51:H68" si="7">SUM(D51,F51)</f>
        <v>65217.391200000005</v>
      </c>
      <c r="I51" s="46">
        <f t="shared" ref="I51:I68" si="8">G51/$G$69</f>
        <v>6.0004015262125386E-3</v>
      </c>
      <c r="J51" s="48"/>
    </row>
    <row r="52" spans="1:10" outlineLevel="1" x14ac:dyDescent="0.35">
      <c r="A52" s="16" t="s">
        <v>60</v>
      </c>
      <c r="B52" s="17" t="s">
        <v>30</v>
      </c>
      <c r="C52" s="24">
        <v>0</v>
      </c>
      <c r="D52" s="23">
        <v>0</v>
      </c>
      <c r="E52" s="25">
        <f t="shared" si="5"/>
        <v>1326.0894162132661</v>
      </c>
      <c r="F52" s="27">
        <f t="shared" si="4"/>
        <v>65217.391200000005</v>
      </c>
      <c r="G52" s="25">
        <f t="shared" si="6"/>
        <v>1326.0894162132661</v>
      </c>
      <c r="H52" s="27">
        <f t="shared" si="7"/>
        <v>65217.391200000005</v>
      </c>
      <c r="I52" s="46">
        <f t="shared" si="8"/>
        <v>6.0004015262125386E-3</v>
      </c>
      <c r="J52" s="48"/>
    </row>
    <row r="53" spans="1:10" outlineLevel="1" x14ac:dyDescent="0.35">
      <c r="A53" s="16" t="s">
        <v>61</v>
      </c>
      <c r="B53" s="17" t="s">
        <v>30</v>
      </c>
      <c r="C53" s="24">
        <v>0</v>
      </c>
      <c r="D53" s="23">
        <v>0</v>
      </c>
      <c r="E53" s="25">
        <f t="shared" si="5"/>
        <v>1326.0894162132661</v>
      </c>
      <c r="F53" s="27">
        <f t="shared" si="4"/>
        <v>65217.391200000005</v>
      </c>
      <c r="G53" s="25">
        <f t="shared" si="6"/>
        <v>1326.0894162132661</v>
      </c>
      <c r="H53" s="27">
        <f t="shared" si="7"/>
        <v>65217.391200000005</v>
      </c>
      <c r="I53" s="46">
        <f t="shared" si="8"/>
        <v>6.0004015262125386E-3</v>
      </c>
      <c r="J53" s="48"/>
    </row>
    <row r="54" spans="1:10" outlineLevel="1" x14ac:dyDescent="0.35">
      <c r="A54" s="16" t="s">
        <v>62</v>
      </c>
      <c r="B54" s="17" t="s">
        <v>30</v>
      </c>
      <c r="C54" s="24">
        <v>0</v>
      </c>
      <c r="D54" s="23">
        <v>0</v>
      </c>
      <c r="E54" s="25">
        <f t="shared" si="5"/>
        <v>1326.0894162132661</v>
      </c>
      <c r="F54" s="27">
        <f t="shared" si="4"/>
        <v>65217.391200000005</v>
      </c>
      <c r="G54" s="25">
        <f t="shared" si="6"/>
        <v>1326.0894162132661</v>
      </c>
      <c r="H54" s="27">
        <f t="shared" si="7"/>
        <v>65217.391200000005</v>
      </c>
      <c r="I54" s="46">
        <f t="shared" si="8"/>
        <v>6.0004015262125386E-3</v>
      </c>
      <c r="J54" s="48"/>
    </row>
    <row r="55" spans="1:10" outlineLevel="1" x14ac:dyDescent="0.35">
      <c r="A55" s="16" t="s">
        <v>63</v>
      </c>
      <c r="B55" s="17" t="s">
        <v>30</v>
      </c>
      <c r="C55" s="24">
        <v>0</v>
      </c>
      <c r="D55" s="23">
        <v>0</v>
      </c>
      <c r="E55" s="25">
        <f t="shared" si="5"/>
        <v>1326.0894162132661</v>
      </c>
      <c r="F55" s="27">
        <f t="shared" si="4"/>
        <v>65217.391200000005</v>
      </c>
      <c r="G55" s="25">
        <f t="shared" si="6"/>
        <v>1326.0894162132661</v>
      </c>
      <c r="H55" s="27">
        <f t="shared" si="7"/>
        <v>65217.391200000005</v>
      </c>
      <c r="I55" s="46">
        <f t="shared" si="8"/>
        <v>6.0004015262125386E-3</v>
      </c>
      <c r="J55" s="48"/>
    </row>
    <row r="56" spans="1:10" outlineLevel="1" x14ac:dyDescent="0.35">
      <c r="A56" s="16" t="s">
        <v>64</v>
      </c>
      <c r="B56" s="17" t="s">
        <v>30</v>
      </c>
      <c r="C56" s="24">
        <v>0</v>
      </c>
      <c r="D56" s="23">
        <v>0</v>
      </c>
      <c r="E56" s="25">
        <f t="shared" si="5"/>
        <v>1326.0894162132661</v>
      </c>
      <c r="F56" s="27">
        <f t="shared" si="4"/>
        <v>65217.391200000005</v>
      </c>
      <c r="G56" s="25">
        <f t="shared" si="6"/>
        <v>1326.0894162132661</v>
      </c>
      <c r="H56" s="27">
        <f t="shared" si="7"/>
        <v>65217.391200000005</v>
      </c>
      <c r="I56" s="46">
        <f t="shared" si="8"/>
        <v>6.0004015262125386E-3</v>
      </c>
      <c r="J56" s="48"/>
    </row>
    <row r="57" spans="1:10" outlineLevel="1" x14ac:dyDescent="0.35">
      <c r="A57" s="16" t="s">
        <v>65</v>
      </c>
      <c r="B57" s="17" t="s">
        <v>30</v>
      </c>
      <c r="C57" s="24">
        <v>0</v>
      </c>
      <c r="D57" s="23">
        <v>0</v>
      </c>
      <c r="E57" s="25">
        <f t="shared" si="5"/>
        <v>1326.0894162132661</v>
      </c>
      <c r="F57" s="27">
        <f t="shared" si="4"/>
        <v>65217.391200000005</v>
      </c>
      <c r="G57" s="25">
        <f t="shared" si="6"/>
        <v>1326.0894162132661</v>
      </c>
      <c r="H57" s="27">
        <f t="shared" si="7"/>
        <v>65217.391200000005</v>
      </c>
      <c r="I57" s="46">
        <f t="shared" si="8"/>
        <v>6.0004015262125386E-3</v>
      </c>
      <c r="J57" s="48"/>
    </row>
    <row r="58" spans="1:10" outlineLevel="1" x14ac:dyDescent="0.35">
      <c r="A58" s="16" t="s">
        <v>66</v>
      </c>
      <c r="B58" s="17" t="s">
        <v>30</v>
      </c>
      <c r="C58" s="24">
        <v>0</v>
      </c>
      <c r="D58" s="23">
        <v>0</v>
      </c>
      <c r="E58" s="25">
        <f t="shared" si="5"/>
        <v>1326.0894162132661</v>
      </c>
      <c r="F58" s="27">
        <f t="shared" si="4"/>
        <v>65217.391200000005</v>
      </c>
      <c r="G58" s="25">
        <f t="shared" si="6"/>
        <v>1326.0894162132661</v>
      </c>
      <c r="H58" s="27">
        <f t="shared" si="7"/>
        <v>65217.391200000005</v>
      </c>
      <c r="I58" s="46">
        <f t="shared" si="8"/>
        <v>6.0004015262125386E-3</v>
      </c>
      <c r="J58" s="48"/>
    </row>
    <row r="59" spans="1:10" outlineLevel="1" x14ac:dyDescent="0.35">
      <c r="A59" s="16" t="s">
        <v>67</v>
      </c>
      <c r="B59" s="17" t="s">
        <v>30</v>
      </c>
      <c r="C59" s="24">
        <v>0</v>
      </c>
      <c r="D59" s="23">
        <v>0</v>
      </c>
      <c r="E59" s="25">
        <f t="shared" si="5"/>
        <v>1326.0894162132661</v>
      </c>
      <c r="F59" s="27">
        <f t="shared" si="4"/>
        <v>65217.391200000005</v>
      </c>
      <c r="G59" s="25">
        <f t="shared" si="6"/>
        <v>1326.0894162132661</v>
      </c>
      <c r="H59" s="27">
        <f t="shared" si="7"/>
        <v>65217.391200000005</v>
      </c>
      <c r="I59" s="46">
        <f t="shared" si="8"/>
        <v>6.0004015262125386E-3</v>
      </c>
      <c r="J59" s="48"/>
    </row>
    <row r="60" spans="1:10" outlineLevel="1" x14ac:dyDescent="0.35">
      <c r="A60" s="16" t="s">
        <v>68</v>
      </c>
      <c r="B60" s="17" t="s">
        <v>30</v>
      </c>
      <c r="C60" s="24">
        <v>0</v>
      </c>
      <c r="D60" s="23">
        <v>0</v>
      </c>
      <c r="E60" s="25">
        <f t="shared" si="5"/>
        <v>1326.0894162132661</v>
      </c>
      <c r="F60" s="27">
        <f t="shared" si="4"/>
        <v>65217.391200000005</v>
      </c>
      <c r="G60" s="25">
        <f t="shared" si="6"/>
        <v>1326.0894162132661</v>
      </c>
      <c r="H60" s="27">
        <f t="shared" si="7"/>
        <v>65217.391200000005</v>
      </c>
      <c r="I60" s="46">
        <f t="shared" si="8"/>
        <v>6.0004015262125386E-3</v>
      </c>
      <c r="J60" s="48"/>
    </row>
    <row r="61" spans="1:10" outlineLevel="1" x14ac:dyDescent="0.35">
      <c r="A61" s="16" t="s">
        <v>69</v>
      </c>
      <c r="B61" s="17" t="s">
        <v>30</v>
      </c>
      <c r="C61" s="24">
        <v>0</v>
      </c>
      <c r="D61" s="23">
        <v>0</v>
      </c>
      <c r="E61" s="25">
        <f t="shared" si="5"/>
        <v>1326.0894162132661</v>
      </c>
      <c r="F61" s="27">
        <f t="shared" si="4"/>
        <v>65217.391200000005</v>
      </c>
      <c r="G61" s="25">
        <f t="shared" si="6"/>
        <v>1326.0894162132661</v>
      </c>
      <c r="H61" s="27">
        <f t="shared" si="7"/>
        <v>65217.391200000005</v>
      </c>
      <c r="I61" s="46">
        <f t="shared" si="8"/>
        <v>6.0004015262125386E-3</v>
      </c>
      <c r="J61" s="48"/>
    </row>
    <row r="62" spans="1:10" outlineLevel="1" x14ac:dyDescent="0.35">
      <c r="A62" s="16" t="s">
        <v>70</v>
      </c>
      <c r="B62" s="17" t="s">
        <v>30</v>
      </c>
      <c r="C62" s="24">
        <v>0</v>
      </c>
      <c r="D62" s="23">
        <v>0</v>
      </c>
      <c r="E62" s="25">
        <f t="shared" si="5"/>
        <v>1326.0894162132661</v>
      </c>
      <c r="F62" s="27">
        <f t="shared" si="4"/>
        <v>65217.391200000005</v>
      </c>
      <c r="G62" s="25">
        <f t="shared" si="6"/>
        <v>1326.0894162132661</v>
      </c>
      <c r="H62" s="27">
        <f t="shared" si="7"/>
        <v>65217.391200000005</v>
      </c>
      <c r="I62" s="46">
        <f t="shared" si="8"/>
        <v>6.0004015262125386E-3</v>
      </c>
      <c r="J62" s="48"/>
    </row>
    <row r="63" spans="1:10" outlineLevel="1" x14ac:dyDescent="0.35">
      <c r="A63" s="16" t="s">
        <v>71</v>
      </c>
      <c r="B63" s="17" t="s">
        <v>30</v>
      </c>
      <c r="C63" s="24">
        <v>0</v>
      </c>
      <c r="D63" s="23">
        <v>0</v>
      </c>
      <c r="E63" s="25">
        <f t="shared" si="5"/>
        <v>1326.0894162132661</v>
      </c>
      <c r="F63" s="27">
        <f t="shared" si="4"/>
        <v>65217.391200000005</v>
      </c>
      <c r="G63" s="25">
        <f t="shared" si="6"/>
        <v>1326.0894162132661</v>
      </c>
      <c r="H63" s="27">
        <f t="shared" si="7"/>
        <v>65217.391200000005</v>
      </c>
      <c r="I63" s="46">
        <f t="shared" si="8"/>
        <v>6.0004015262125386E-3</v>
      </c>
      <c r="J63" s="48"/>
    </row>
    <row r="64" spans="1:10" outlineLevel="1" x14ac:dyDescent="0.35">
      <c r="A64" s="16" t="s">
        <v>72</v>
      </c>
      <c r="B64" s="17" t="s">
        <v>30</v>
      </c>
      <c r="C64" s="24">
        <v>0</v>
      </c>
      <c r="D64" s="23">
        <v>0</v>
      </c>
      <c r="E64" s="25">
        <f>F64/$D$70</f>
        <v>1326.0894162132661</v>
      </c>
      <c r="F64" s="27">
        <f t="shared" si="4"/>
        <v>65217.391200000005</v>
      </c>
      <c r="G64" s="25">
        <f t="shared" si="6"/>
        <v>1326.0894162132661</v>
      </c>
      <c r="H64" s="27">
        <f t="shared" si="7"/>
        <v>65217.391200000005</v>
      </c>
      <c r="I64" s="46">
        <f t="shared" si="8"/>
        <v>6.0004015262125386E-3</v>
      </c>
      <c r="J64" s="48"/>
    </row>
    <row r="65" spans="1:19" outlineLevel="1" x14ac:dyDescent="0.35">
      <c r="A65" s="16" t="s">
        <v>73</v>
      </c>
      <c r="B65" s="17" t="s">
        <v>30</v>
      </c>
      <c r="C65" s="24">
        <v>0</v>
      </c>
      <c r="D65" s="23">
        <v>0</v>
      </c>
      <c r="E65" s="25">
        <f t="shared" si="5"/>
        <v>1326.0894162132661</v>
      </c>
      <c r="F65" s="27">
        <f t="shared" si="4"/>
        <v>65217.391200000005</v>
      </c>
      <c r="G65" s="25">
        <f t="shared" si="6"/>
        <v>1326.0894162132661</v>
      </c>
      <c r="H65" s="27">
        <f t="shared" si="7"/>
        <v>65217.391200000005</v>
      </c>
      <c r="I65" s="46">
        <f t="shared" si="8"/>
        <v>6.0004015262125386E-3</v>
      </c>
      <c r="J65" s="48"/>
    </row>
    <row r="66" spans="1:19" outlineLevel="1" x14ac:dyDescent="0.35">
      <c r="A66" s="16" t="s">
        <v>74</v>
      </c>
      <c r="B66" s="17" t="s">
        <v>30</v>
      </c>
      <c r="C66" s="24">
        <v>0</v>
      </c>
      <c r="D66" s="23">
        <v>0</v>
      </c>
      <c r="E66" s="25">
        <f t="shared" si="5"/>
        <v>1326.0894162132661</v>
      </c>
      <c r="F66" s="27">
        <f t="shared" si="4"/>
        <v>65217.391200000005</v>
      </c>
      <c r="G66" s="25">
        <f t="shared" si="6"/>
        <v>1326.0894162132661</v>
      </c>
      <c r="H66" s="27">
        <f t="shared" si="7"/>
        <v>65217.391200000005</v>
      </c>
      <c r="I66" s="46">
        <f t="shared" si="8"/>
        <v>6.0004015262125386E-3</v>
      </c>
      <c r="J66" s="48"/>
    </row>
    <row r="67" spans="1:19" outlineLevel="1" x14ac:dyDescent="0.35">
      <c r="A67" s="16" t="s">
        <v>75</v>
      </c>
      <c r="B67" s="17" t="s">
        <v>30</v>
      </c>
      <c r="C67" s="24">
        <v>0</v>
      </c>
      <c r="D67" s="23">
        <v>0</v>
      </c>
      <c r="E67" s="25">
        <f t="shared" si="5"/>
        <v>1326.0894162132661</v>
      </c>
      <c r="F67" s="27">
        <f t="shared" si="4"/>
        <v>65217.391200000005</v>
      </c>
      <c r="G67" s="25">
        <f t="shared" si="6"/>
        <v>1326.0894162132661</v>
      </c>
      <c r="H67" s="27">
        <f t="shared" si="7"/>
        <v>65217.391200000005</v>
      </c>
      <c r="I67" s="46">
        <f t="shared" si="8"/>
        <v>6.0004015262125386E-3</v>
      </c>
      <c r="J67" s="48"/>
    </row>
    <row r="68" spans="1:19" outlineLevel="1" x14ac:dyDescent="0.35">
      <c r="A68" s="16" t="s">
        <v>76</v>
      </c>
      <c r="B68" s="17" t="s">
        <v>30</v>
      </c>
      <c r="C68" s="24">
        <v>0</v>
      </c>
      <c r="D68" s="23">
        <v>0</v>
      </c>
      <c r="E68" s="25">
        <f t="shared" si="5"/>
        <v>1326.0894162132661</v>
      </c>
      <c r="F68" s="27">
        <f t="shared" si="4"/>
        <v>65217.391200000005</v>
      </c>
      <c r="G68" s="25">
        <f t="shared" si="6"/>
        <v>1326.0894162132661</v>
      </c>
      <c r="H68" s="27">
        <f t="shared" si="7"/>
        <v>65217.391200000005</v>
      </c>
      <c r="I68" s="46">
        <f t="shared" si="8"/>
        <v>6.0004015262125386E-3</v>
      </c>
      <c r="J68" s="48"/>
    </row>
    <row r="69" spans="1:19" ht="15" outlineLevel="1" x14ac:dyDescent="0.35">
      <c r="A69" s="5" t="s">
        <v>32</v>
      </c>
      <c r="B69" s="33"/>
      <c r="C69" s="47">
        <f t="shared" ref="C69:H69" si="9">SUM(C19:C68)</f>
        <v>160000</v>
      </c>
      <c r="D69" s="47">
        <f t="shared" si="9"/>
        <v>160000</v>
      </c>
      <c r="E69" s="38">
        <f t="shared" si="9"/>
        <v>61000.113145810268</v>
      </c>
      <c r="F69" s="38">
        <f t="shared" si="9"/>
        <v>2999999.9951999984</v>
      </c>
      <c r="G69" s="38">
        <f t="shared" si="9"/>
        <v>221000.11314581067</v>
      </c>
      <c r="H69" s="74">
        <f t="shared" si="9"/>
        <v>3159999.9951999984</v>
      </c>
      <c r="I69" s="18">
        <f>SUM(I19:I68)</f>
        <v>0.99999999999999656</v>
      </c>
    </row>
    <row r="70" spans="1:19" ht="15" outlineLevel="1" x14ac:dyDescent="0.35">
      <c r="A70" s="5" t="s">
        <v>26</v>
      </c>
      <c r="B70" s="145">
        <f>'Metrics &amp; Valuation'!C33</f>
        <v>7868837.8509174725</v>
      </c>
      <c r="C70" s="5" t="s">
        <v>27</v>
      </c>
      <c r="D70" s="45">
        <f>B70/B14</f>
        <v>49.1802365682342</v>
      </c>
    </row>
    <row r="71" spans="1:19" ht="15" outlineLevel="1" x14ac:dyDescent="0.35">
      <c r="A71" s="5" t="s">
        <v>28</v>
      </c>
      <c r="B71" s="32">
        <f>D14</f>
        <v>3000000</v>
      </c>
    </row>
    <row r="72" spans="1:19" ht="15" outlineLevel="1" x14ac:dyDescent="0.35">
      <c r="A72" s="5" t="s">
        <v>29</v>
      </c>
      <c r="B72" s="32">
        <f>B70+B71</f>
        <v>10868837.850917473</v>
      </c>
      <c r="D72" s="56"/>
      <c r="E72" s="57"/>
      <c r="G72" s="56"/>
      <c r="H72" s="49"/>
      <c r="I72" s="49"/>
      <c r="J72" s="49"/>
      <c r="K72" s="49"/>
      <c r="L72" s="49"/>
      <c r="O72" s="58"/>
      <c r="Q72" s="56"/>
      <c r="R72" s="49"/>
    </row>
    <row r="73" spans="1:19" ht="42" customHeight="1" outlineLevel="1" x14ac:dyDescent="0.35">
      <c r="A73" s="15" t="s">
        <v>78</v>
      </c>
      <c r="B73" s="76">
        <f>B70/B72</f>
        <v>0.72398152947449101</v>
      </c>
      <c r="C73" s="51"/>
      <c r="E73" s="55"/>
      <c r="H73" s="42"/>
      <c r="I73" s="42"/>
      <c r="J73" s="42"/>
      <c r="K73" s="42"/>
      <c r="L73" s="42"/>
      <c r="O73" s="54"/>
      <c r="R73" s="42"/>
    </row>
    <row r="74" spans="1:19" ht="26" customHeight="1" outlineLevel="1" x14ac:dyDescent="0.35">
      <c r="A74" s="15" t="s">
        <v>77</v>
      </c>
      <c r="B74" s="76">
        <f>(1-B73)</f>
        <v>0.27601847052550899</v>
      </c>
      <c r="H74" s="55"/>
      <c r="I74" s="55"/>
      <c r="J74" s="55"/>
      <c r="K74" s="55"/>
      <c r="L74" s="55"/>
      <c r="O74" s="58"/>
      <c r="R74" s="55"/>
    </row>
    <row r="75" spans="1:19" ht="27" customHeight="1" thickBot="1" x14ac:dyDescent="0.65">
      <c r="A75" s="65" t="s">
        <v>102</v>
      </c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 spans="1:19" ht="15.5" outlineLevel="1" thickBot="1" x14ac:dyDescent="0.4">
      <c r="A76" s="5" t="s">
        <v>1</v>
      </c>
      <c r="B76" s="31">
        <f>G69</f>
        <v>221000.11314581067</v>
      </c>
      <c r="C76" s="5" t="s">
        <v>2</v>
      </c>
      <c r="D76" s="40">
        <v>5000000</v>
      </c>
      <c r="F76" s="50"/>
    </row>
    <row r="77" spans="1:19" ht="15.5" outlineLevel="1" thickBot="1" x14ac:dyDescent="0.4">
      <c r="A77" s="148" t="s">
        <v>80</v>
      </c>
      <c r="B77" s="148"/>
      <c r="C77" s="5"/>
      <c r="D77" s="6"/>
    </row>
    <row r="78" spans="1:19" ht="15.5" outlineLevel="1" thickBot="1" x14ac:dyDescent="0.4">
      <c r="A78" s="148"/>
      <c r="B78" s="148"/>
      <c r="C78" s="5"/>
      <c r="D78" s="7"/>
      <c r="E78" s="52"/>
      <c r="N78" s="53"/>
    </row>
    <row r="79" spans="1:19" ht="22" customHeight="1" outlineLevel="1" thickBot="1" x14ac:dyDescent="0.65">
      <c r="A79" s="148"/>
      <c r="B79" s="148"/>
      <c r="C79" s="5"/>
      <c r="D79" s="7"/>
      <c r="E79" s="150"/>
      <c r="F79" s="151"/>
      <c r="G79" s="151"/>
      <c r="H79" s="151"/>
      <c r="I79" s="151"/>
      <c r="J79" s="151"/>
      <c r="K79" s="151"/>
      <c r="L79" s="151"/>
      <c r="M79" s="151"/>
    </row>
    <row r="80" spans="1:19" ht="45" outlineLevel="1" x14ac:dyDescent="0.35">
      <c r="A80" s="15" t="s">
        <v>5</v>
      </c>
      <c r="B80" s="8" t="s">
        <v>9</v>
      </c>
      <c r="C80" s="15" t="s">
        <v>6</v>
      </c>
      <c r="D80" s="15" t="s">
        <v>7</v>
      </c>
      <c r="E80" s="15" t="s">
        <v>23</v>
      </c>
      <c r="F80" s="15" t="s">
        <v>24</v>
      </c>
      <c r="G80" s="15" t="s">
        <v>25</v>
      </c>
      <c r="H80" s="15" t="s">
        <v>79</v>
      </c>
      <c r="I80" s="15" t="s">
        <v>81</v>
      </c>
      <c r="J80" s="15" t="s">
        <v>82</v>
      </c>
      <c r="K80" s="15" t="s">
        <v>83</v>
      </c>
      <c r="L80" s="15" t="s">
        <v>84</v>
      </c>
      <c r="M80" s="15" t="s">
        <v>8</v>
      </c>
      <c r="N80" s="49"/>
    </row>
    <row r="81" spans="1:14" outlineLevel="1" x14ac:dyDescent="0.35">
      <c r="A81" s="11" t="s">
        <v>10</v>
      </c>
      <c r="B81" s="19" t="s">
        <v>11</v>
      </c>
      <c r="C81" s="24">
        <v>2500000</v>
      </c>
      <c r="D81" s="23">
        <v>100000</v>
      </c>
      <c r="E81" s="25"/>
      <c r="F81" s="26"/>
      <c r="G81" s="25">
        <v>2500000</v>
      </c>
      <c r="H81" s="25">
        <v>100000</v>
      </c>
      <c r="I81" s="59"/>
      <c r="J81" s="59"/>
      <c r="K81" s="59">
        <f>SUM(E81,G81,I81)</f>
        <v>2500000</v>
      </c>
      <c r="L81" s="59">
        <f>SUM(H81,J81)</f>
        <v>100000</v>
      </c>
      <c r="M81" s="46">
        <f>K81/$K$145</f>
        <v>0.12477021483651526</v>
      </c>
      <c r="N81" s="48"/>
    </row>
    <row r="82" spans="1:14" outlineLevel="1" x14ac:dyDescent="0.35">
      <c r="A82" s="11" t="s">
        <v>12</v>
      </c>
      <c r="B82" s="19" t="s">
        <v>13</v>
      </c>
      <c r="C82" s="24">
        <v>2500000</v>
      </c>
      <c r="D82" s="23">
        <v>100000</v>
      </c>
      <c r="E82" s="25"/>
      <c r="F82" s="26"/>
      <c r="G82" s="25">
        <v>2500000</v>
      </c>
      <c r="H82" s="25">
        <v>100000</v>
      </c>
      <c r="I82" s="59"/>
      <c r="J82" s="59"/>
      <c r="K82" s="59">
        <f t="shared" ref="K82:K144" si="10">SUM(E82,G82,I82)</f>
        <v>2500000</v>
      </c>
      <c r="L82" s="59">
        <f t="shared" ref="L82:L144" si="11">SUM(H82,J82)</f>
        <v>100000</v>
      </c>
      <c r="M82" s="46">
        <f t="shared" ref="M82:M144" si="12">K82/$K$145</f>
        <v>0.12477021483651526</v>
      </c>
      <c r="N82" s="48"/>
    </row>
    <row r="83" spans="1:14" outlineLevel="1" x14ac:dyDescent="0.35">
      <c r="A83" s="11" t="s">
        <v>21</v>
      </c>
      <c r="B83" s="19" t="s">
        <v>31</v>
      </c>
      <c r="C83" s="24">
        <v>2500000</v>
      </c>
      <c r="D83" s="23">
        <v>100000</v>
      </c>
      <c r="E83" s="25"/>
      <c r="F83" s="26"/>
      <c r="G83" s="25">
        <v>2500000</v>
      </c>
      <c r="H83" s="25">
        <v>100000</v>
      </c>
      <c r="I83" s="59"/>
      <c r="J83" s="59"/>
      <c r="K83" s="59">
        <f t="shared" si="10"/>
        <v>2500000</v>
      </c>
      <c r="L83" s="59">
        <f t="shared" si="11"/>
        <v>100000</v>
      </c>
      <c r="M83" s="46">
        <f t="shared" si="12"/>
        <v>0.12477021483651526</v>
      </c>
      <c r="N83" s="48"/>
    </row>
    <row r="84" spans="1:14" outlineLevel="1" x14ac:dyDescent="0.35">
      <c r="A84" s="11" t="s">
        <v>20</v>
      </c>
      <c r="B84" s="19" t="s">
        <v>14</v>
      </c>
      <c r="C84" s="24">
        <v>2500000</v>
      </c>
      <c r="D84" s="23">
        <v>100000</v>
      </c>
      <c r="E84" s="25"/>
      <c r="F84" s="26"/>
      <c r="G84" s="25">
        <v>2500000</v>
      </c>
      <c r="H84" s="25">
        <v>100000</v>
      </c>
      <c r="I84" s="59"/>
      <c r="J84" s="59"/>
      <c r="K84" s="59">
        <f t="shared" si="10"/>
        <v>2500000</v>
      </c>
      <c r="L84" s="59">
        <f t="shared" si="11"/>
        <v>100000</v>
      </c>
      <c r="M84" s="46">
        <f t="shared" si="12"/>
        <v>0.12477021483651526</v>
      </c>
      <c r="N84" s="48"/>
    </row>
    <row r="85" spans="1:14" outlineLevel="1" x14ac:dyDescent="0.35">
      <c r="A85" s="16" t="s">
        <v>17</v>
      </c>
      <c r="B85" s="17" t="s">
        <v>30</v>
      </c>
      <c r="C85" s="24">
        <v>0</v>
      </c>
      <c r="D85" s="23">
        <v>0</v>
      </c>
      <c r="E85" s="25">
        <v>108695.652</v>
      </c>
      <c r="F85" s="27">
        <v>108695.652</v>
      </c>
      <c r="G85" s="25">
        <v>108695.652</v>
      </c>
      <c r="H85" s="25">
        <v>108695.652</v>
      </c>
      <c r="I85" s="59"/>
      <c r="J85" s="59"/>
      <c r="K85" s="59">
        <f t="shared" si="10"/>
        <v>217391.304</v>
      </c>
      <c r="L85" s="59">
        <f t="shared" si="11"/>
        <v>108695.652</v>
      </c>
      <c r="M85" s="46">
        <f t="shared" si="12"/>
        <v>1.084958388146808E-2</v>
      </c>
      <c r="N85" s="48"/>
    </row>
    <row r="86" spans="1:14" outlineLevel="1" x14ac:dyDescent="0.35">
      <c r="A86" s="16" t="s">
        <v>18</v>
      </c>
      <c r="B86" s="17" t="s">
        <v>30</v>
      </c>
      <c r="C86" s="24">
        <v>0</v>
      </c>
      <c r="D86" s="23">
        <v>0</v>
      </c>
      <c r="E86" s="25">
        <v>108695.652</v>
      </c>
      <c r="F86" s="27">
        <v>108695.652</v>
      </c>
      <c r="G86" s="25">
        <v>108695.652</v>
      </c>
      <c r="H86" s="25">
        <v>108695.652</v>
      </c>
      <c r="I86" s="59"/>
      <c r="J86" s="59"/>
      <c r="K86" s="59">
        <f t="shared" si="10"/>
        <v>217391.304</v>
      </c>
      <c r="L86" s="59">
        <f t="shared" si="11"/>
        <v>108695.652</v>
      </c>
      <c r="M86" s="46">
        <f t="shared" si="12"/>
        <v>1.084958388146808E-2</v>
      </c>
      <c r="N86" s="48"/>
    </row>
    <row r="87" spans="1:14" outlineLevel="1" x14ac:dyDescent="0.35">
      <c r="A87" s="16" t="s">
        <v>33</v>
      </c>
      <c r="B87" s="17" t="s">
        <v>30</v>
      </c>
      <c r="C87" s="24">
        <v>0</v>
      </c>
      <c r="D87" s="23">
        <v>0</v>
      </c>
      <c r="E87" s="25">
        <v>108695.652</v>
      </c>
      <c r="F87" s="27">
        <v>108695.652</v>
      </c>
      <c r="G87" s="25">
        <v>108695.652</v>
      </c>
      <c r="H87" s="25">
        <v>108695.652</v>
      </c>
      <c r="I87" s="59"/>
      <c r="J87" s="59"/>
      <c r="K87" s="59">
        <f t="shared" si="10"/>
        <v>217391.304</v>
      </c>
      <c r="L87" s="59">
        <f t="shared" si="11"/>
        <v>108695.652</v>
      </c>
      <c r="M87" s="46">
        <f t="shared" si="12"/>
        <v>1.084958388146808E-2</v>
      </c>
      <c r="N87" s="48"/>
    </row>
    <row r="88" spans="1:14" outlineLevel="1" x14ac:dyDescent="0.35">
      <c r="A88" s="16" t="s">
        <v>34</v>
      </c>
      <c r="B88" s="17" t="s">
        <v>30</v>
      </c>
      <c r="C88" s="24">
        <v>0</v>
      </c>
      <c r="D88" s="23">
        <v>0</v>
      </c>
      <c r="E88" s="25">
        <v>108695.652</v>
      </c>
      <c r="F88" s="27">
        <v>108695.652</v>
      </c>
      <c r="G88" s="25">
        <v>108695.652</v>
      </c>
      <c r="H88" s="25">
        <v>108695.652</v>
      </c>
      <c r="I88" s="59"/>
      <c r="J88" s="59"/>
      <c r="K88" s="59">
        <f t="shared" si="10"/>
        <v>217391.304</v>
      </c>
      <c r="L88" s="59">
        <f t="shared" si="11"/>
        <v>108695.652</v>
      </c>
      <c r="M88" s="46">
        <f t="shared" si="12"/>
        <v>1.084958388146808E-2</v>
      </c>
      <c r="N88" s="48"/>
    </row>
    <row r="89" spans="1:14" outlineLevel="1" x14ac:dyDescent="0.35">
      <c r="A89" s="16" t="s">
        <v>35</v>
      </c>
      <c r="B89" s="17" t="s">
        <v>30</v>
      </c>
      <c r="C89" s="24">
        <v>0</v>
      </c>
      <c r="D89" s="23">
        <v>0</v>
      </c>
      <c r="E89" s="25">
        <v>108695.652</v>
      </c>
      <c r="F89" s="27">
        <v>108695.652</v>
      </c>
      <c r="G89" s="25">
        <v>108695.652</v>
      </c>
      <c r="H89" s="25">
        <v>108695.652</v>
      </c>
      <c r="I89" s="59"/>
      <c r="J89" s="59"/>
      <c r="K89" s="59">
        <f t="shared" si="10"/>
        <v>217391.304</v>
      </c>
      <c r="L89" s="59">
        <f t="shared" si="11"/>
        <v>108695.652</v>
      </c>
      <c r="M89" s="46">
        <f t="shared" si="12"/>
        <v>1.084958388146808E-2</v>
      </c>
      <c r="N89" s="48"/>
    </row>
    <row r="90" spans="1:14" outlineLevel="1" x14ac:dyDescent="0.35">
      <c r="A90" s="16" t="s">
        <v>36</v>
      </c>
      <c r="B90" s="17" t="s">
        <v>30</v>
      </c>
      <c r="C90" s="24">
        <v>0</v>
      </c>
      <c r="D90" s="23">
        <v>0</v>
      </c>
      <c r="E90" s="25">
        <v>108695.652</v>
      </c>
      <c r="F90" s="27">
        <v>108695.652</v>
      </c>
      <c r="G90" s="25">
        <v>108695.652</v>
      </c>
      <c r="H90" s="25">
        <v>108695.652</v>
      </c>
      <c r="I90" s="59"/>
      <c r="J90" s="59"/>
      <c r="K90" s="59">
        <f t="shared" si="10"/>
        <v>217391.304</v>
      </c>
      <c r="L90" s="59">
        <f t="shared" si="11"/>
        <v>108695.652</v>
      </c>
      <c r="M90" s="46">
        <f t="shared" si="12"/>
        <v>1.084958388146808E-2</v>
      </c>
      <c r="N90" s="48"/>
    </row>
    <row r="91" spans="1:14" outlineLevel="1" x14ac:dyDescent="0.35">
      <c r="A91" s="16" t="s">
        <v>37</v>
      </c>
      <c r="B91" s="17" t="s">
        <v>30</v>
      </c>
      <c r="C91" s="24">
        <v>0</v>
      </c>
      <c r="D91" s="23">
        <v>0</v>
      </c>
      <c r="E91" s="25">
        <v>108695.652</v>
      </c>
      <c r="F91" s="27">
        <v>108695.652</v>
      </c>
      <c r="G91" s="25">
        <v>108695.652</v>
      </c>
      <c r="H91" s="25">
        <v>108695.652</v>
      </c>
      <c r="I91" s="59"/>
      <c r="J91" s="59"/>
      <c r="K91" s="59">
        <f t="shared" si="10"/>
        <v>217391.304</v>
      </c>
      <c r="L91" s="59">
        <f t="shared" si="11"/>
        <v>108695.652</v>
      </c>
      <c r="M91" s="46">
        <f t="shared" si="12"/>
        <v>1.084958388146808E-2</v>
      </c>
      <c r="N91" s="48"/>
    </row>
    <row r="92" spans="1:14" outlineLevel="1" x14ac:dyDescent="0.35">
      <c r="A92" s="16" t="s">
        <v>38</v>
      </c>
      <c r="B92" s="17" t="s">
        <v>30</v>
      </c>
      <c r="C92" s="24">
        <v>0</v>
      </c>
      <c r="D92" s="23">
        <v>0</v>
      </c>
      <c r="E92" s="25">
        <v>108695.652</v>
      </c>
      <c r="F92" s="27">
        <v>108695.652</v>
      </c>
      <c r="G92" s="25">
        <v>108695.652</v>
      </c>
      <c r="H92" s="25">
        <v>108695.652</v>
      </c>
      <c r="I92" s="59"/>
      <c r="J92" s="59"/>
      <c r="K92" s="59">
        <f t="shared" si="10"/>
        <v>217391.304</v>
      </c>
      <c r="L92" s="59">
        <f t="shared" si="11"/>
        <v>108695.652</v>
      </c>
      <c r="M92" s="46">
        <f t="shared" si="12"/>
        <v>1.084958388146808E-2</v>
      </c>
      <c r="N92" s="48"/>
    </row>
    <row r="93" spans="1:14" outlineLevel="1" x14ac:dyDescent="0.35">
      <c r="A93" s="16" t="s">
        <v>39</v>
      </c>
      <c r="B93" s="17" t="s">
        <v>30</v>
      </c>
      <c r="C93" s="24">
        <v>0</v>
      </c>
      <c r="D93" s="23">
        <v>0</v>
      </c>
      <c r="E93" s="25">
        <v>108695.652</v>
      </c>
      <c r="F93" s="27">
        <v>108695.652</v>
      </c>
      <c r="G93" s="25">
        <v>108695.652</v>
      </c>
      <c r="H93" s="25">
        <v>108695.652</v>
      </c>
      <c r="I93" s="59"/>
      <c r="J93" s="59"/>
      <c r="K93" s="59">
        <f t="shared" si="10"/>
        <v>217391.304</v>
      </c>
      <c r="L93" s="59">
        <f t="shared" si="11"/>
        <v>108695.652</v>
      </c>
      <c r="M93" s="46">
        <f t="shared" si="12"/>
        <v>1.084958388146808E-2</v>
      </c>
      <c r="N93" s="48"/>
    </row>
    <row r="94" spans="1:14" outlineLevel="1" x14ac:dyDescent="0.35">
      <c r="A94" s="16" t="s">
        <v>40</v>
      </c>
      <c r="B94" s="17" t="s">
        <v>30</v>
      </c>
      <c r="C94" s="24">
        <v>0</v>
      </c>
      <c r="D94" s="23">
        <v>0</v>
      </c>
      <c r="E94" s="25">
        <v>108695.652</v>
      </c>
      <c r="F94" s="27">
        <v>108695.652</v>
      </c>
      <c r="G94" s="25">
        <v>108695.652</v>
      </c>
      <c r="H94" s="25">
        <v>108695.652</v>
      </c>
      <c r="I94" s="59"/>
      <c r="J94" s="59"/>
      <c r="K94" s="59">
        <f t="shared" si="10"/>
        <v>217391.304</v>
      </c>
      <c r="L94" s="59">
        <f t="shared" si="11"/>
        <v>108695.652</v>
      </c>
      <c r="M94" s="46">
        <f t="shared" si="12"/>
        <v>1.084958388146808E-2</v>
      </c>
      <c r="N94" s="48"/>
    </row>
    <row r="95" spans="1:14" outlineLevel="1" x14ac:dyDescent="0.35">
      <c r="A95" s="16" t="s">
        <v>41</v>
      </c>
      <c r="B95" s="17" t="s">
        <v>30</v>
      </c>
      <c r="C95" s="24">
        <v>0</v>
      </c>
      <c r="D95" s="23">
        <v>0</v>
      </c>
      <c r="E95" s="25">
        <v>108695.652</v>
      </c>
      <c r="F95" s="27">
        <v>108695.652</v>
      </c>
      <c r="G95" s="25">
        <v>108695.652</v>
      </c>
      <c r="H95" s="25">
        <v>108695.652</v>
      </c>
      <c r="I95" s="59"/>
      <c r="J95" s="59"/>
      <c r="K95" s="59">
        <f t="shared" si="10"/>
        <v>217391.304</v>
      </c>
      <c r="L95" s="59">
        <f t="shared" si="11"/>
        <v>108695.652</v>
      </c>
      <c r="M95" s="46">
        <f t="shared" si="12"/>
        <v>1.084958388146808E-2</v>
      </c>
      <c r="N95" s="48"/>
    </row>
    <row r="96" spans="1:14" outlineLevel="1" x14ac:dyDescent="0.35">
      <c r="A96" s="16" t="s">
        <v>42</v>
      </c>
      <c r="B96" s="17" t="s">
        <v>30</v>
      </c>
      <c r="C96" s="24">
        <v>0</v>
      </c>
      <c r="D96" s="23">
        <v>0</v>
      </c>
      <c r="E96" s="25">
        <v>108695.652</v>
      </c>
      <c r="F96" s="27">
        <v>108695.652</v>
      </c>
      <c r="G96" s="25">
        <v>108695.652</v>
      </c>
      <c r="H96" s="25">
        <v>108695.652</v>
      </c>
      <c r="I96" s="59"/>
      <c r="J96" s="59"/>
      <c r="K96" s="59">
        <f t="shared" si="10"/>
        <v>217391.304</v>
      </c>
      <c r="L96" s="59">
        <f t="shared" si="11"/>
        <v>108695.652</v>
      </c>
      <c r="M96" s="46">
        <f t="shared" si="12"/>
        <v>1.084958388146808E-2</v>
      </c>
      <c r="N96" s="48"/>
    </row>
    <row r="97" spans="1:14" outlineLevel="1" x14ac:dyDescent="0.35">
      <c r="A97" s="16" t="s">
        <v>43</v>
      </c>
      <c r="B97" s="17" t="s">
        <v>30</v>
      </c>
      <c r="C97" s="24">
        <v>0</v>
      </c>
      <c r="D97" s="23">
        <v>0</v>
      </c>
      <c r="E97" s="25">
        <v>108695.652</v>
      </c>
      <c r="F97" s="27">
        <v>108695.652</v>
      </c>
      <c r="G97" s="25">
        <v>108695.652</v>
      </c>
      <c r="H97" s="25">
        <v>108695.652</v>
      </c>
      <c r="I97" s="59"/>
      <c r="J97" s="59"/>
      <c r="K97" s="59">
        <f t="shared" si="10"/>
        <v>217391.304</v>
      </c>
      <c r="L97" s="59">
        <f t="shared" si="11"/>
        <v>108695.652</v>
      </c>
      <c r="M97" s="46">
        <f t="shared" si="12"/>
        <v>1.084958388146808E-2</v>
      </c>
      <c r="N97" s="48"/>
    </row>
    <row r="98" spans="1:14" outlineLevel="1" x14ac:dyDescent="0.35">
      <c r="A98" s="16" t="s">
        <v>44</v>
      </c>
      <c r="B98" s="17" t="s">
        <v>30</v>
      </c>
      <c r="C98" s="24">
        <v>0</v>
      </c>
      <c r="D98" s="23">
        <v>0</v>
      </c>
      <c r="E98" s="25">
        <v>108695.652</v>
      </c>
      <c r="F98" s="27">
        <v>108695.652</v>
      </c>
      <c r="G98" s="25">
        <v>108695.652</v>
      </c>
      <c r="H98" s="25">
        <v>108695.652</v>
      </c>
      <c r="I98" s="59"/>
      <c r="J98" s="59"/>
      <c r="K98" s="59">
        <f t="shared" si="10"/>
        <v>217391.304</v>
      </c>
      <c r="L98" s="59">
        <f t="shared" si="11"/>
        <v>108695.652</v>
      </c>
      <c r="M98" s="46">
        <f t="shared" si="12"/>
        <v>1.084958388146808E-2</v>
      </c>
      <c r="N98" s="48"/>
    </row>
    <row r="99" spans="1:14" outlineLevel="1" x14ac:dyDescent="0.35">
      <c r="A99" s="16" t="s">
        <v>45</v>
      </c>
      <c r="B99" s="17" t="s">
        <v>30</v>
      </c>
      <c r="C99" s="24">
        <v>0</v>
      </c>
      <c r="D99" s="23">
        <v>0</v>
      </c>
      <c r="E99" s="25">
        <v>108695.652</v>
      </c>
      <c r="F99" s="27">
        <v>108695.652</v>
      </c>
      <c r="G99" s="25">
        <v>108695.652</v>
      </c>
      <c r="H99" s="25">
        <v>108695.652</v>
      </c>
      <c r="I99" s="59"/>
      <c r="J99" s="59"/>
      <c r="K99" s="59">
        <f t="shared" si="10"/>
        <v>217391.304</v>
      </c>
      <c r="L99" s="59">
        <f t="shared" si="11"/>
        <v>108695.652</v>
      </c>
      <c r="M99" s="46">
        <f t="shared" si="12"/>
        <v>1.084958388146808E-2</v>
      </c>
      <c r="N99" s="48"/>
    </row>
    <row r="100" spans="1:14" outlineLevel="1" x14ac:dyDescent="0.35">
      <c r="A100" s="16" t="s">
        <v>46</v>
      </c>
      <c r="B100" s="17" t="s">
        <v>30</v>
      </c>
      <c r="C100" s="24">
        <v>0</v>
      </c>
      <c r="D100" s="23">
        <v>0</v>
      </c>
      <c r="E100" s="25">
        <v>108695.652</v>
      </c>
      <c r="F100" s="27">
        <v>108695.652</v>
      </c>
      <c r="G100" s="25">
        <v>108695.652</v>
      </c>
      <c r="H100" s="25">
        <v>108695.652</v>
      </c>
      <c r="I100" s="59"/>
      <c r="J100" s="59"/>
      <c r="K100" s="59">
        <f t="shared" si="10"/>
        <v>217391.304</v>
      </c>
      <c r="L100" s="59">
        <f t="shared" si="11"/>
        <v>108695.652</v>
      </c>
      <c r="M100" s="46">
        <f t="shared" si="12"/>
        <v>1.084958388146808E-2</v>
      </c>
      <c r="N100" s="48"/>
    </row>
    <row r="101" spans="1:14" outlineLevel="1" x14ac:dyDescent="0.35">
      <c r="A101" s="16" t="s">
        <v>47</v>
      </c>
      <c r="B101" s="17" t="s">
        <v>30</v>
      </c>
      <c r="C101" s="24">
        <v>0</v>
      </c>
      <c r="D101" s="23">
        <v>0</v>
      </c>
      <c r="E101" s="25">
        <v>108695.652</v>
      </c>
      <c r="F101" s="27">
        <v>108695.652</v>
      </c>
      <c r="G101" s="25">
        <v>108695.652</v>
      </c>
      <c r="H101" s="25">
        <v>108695.652</v>
      </c>
      <c r="I101" s="59"/>
      <c r="J101" s="59"/>
      <c r="K101" s="59">
        <f t="shared" si="10"/>
        <v>217391.304</v>
      </c>
      <c r="L101" s="59">
        <f t="shared" si="11"/>
        <v>108695.652</v>
      </c>
      <c r="M101" s="46">
        <f t="shared" si="12"/>
        <v>1.084958388146808E-2</v>
      </c>
      <c r="N101" s="48"/>
    </row>
    <row r="102" spans="1:14" outlineLevel="1" x14ac:dyDescent="0.35">
      <c r="A102" s="16" t="s">
        <v>48</v>
      </c>
      <c r="B102" s="17" t="s">
        <v>30</v>
      </c>
      <c r="C102" s="24">
        <v>0</v>
      </c>
      <c r="D102" s="23">
        <v>0</v>
      </c>
      <c r="E102" s="25">
        <v>108695.652</v>
      </c>
      <c r="F102" s="27">
        <v>108695.652</v>
      </c>
      <c r="G102" s="25">
        <v>108695.652</v>
      </c>
      <c r="H102" s="25">
        <v>108695.652</v>
      </c>
      <c r="I102" s="59"/>
      <c r="J102" s="59"/>
      <c r="K102" s="59">
        <f t="shared" si="10"/>
        <v>217391.304</v>
      </c>
      <c r="L102" s="59">
        <f t="shared" si="11"/>
        <v>108695.652</v>
      </c>
      <c r="M102" s="46">
        <f t="shared" si="12"/>
        <v>1.084958388146808E-2</v>
      </c>
      <c r="N102" s="48"/>
    </row>
    <row r="103" spans="1:14" outlineLevel="1" x14ac:dyDescent="0.35">
      <c r="A103" s="16" t="s">
        <v>49</v>
      </c>
      <c r="B103" s="17" t="s">
        <v>30</v>
      </c>
      <c r="C103" s="24">
        <v>0</v>
      </c>
      <c r="D103" s="23">
        <v>0</v>
      </c>
      <c r="E103" s="25">
        <v>108695.652</v>
      </c>
      <c r="F103" s="27">
        <v>108695.652</v>
      </c>
      <c r="G103" s="25">
        <v>108695.652</v>
      </c>
      <c r="H103" s="25">
        <v>108695.652</v>
      </c>
      <c r="I103" s="59"/>
      <c r="J103" s="59"/>
      <c r="K103" s="59">
        <f t="shared" si="10"/>
        <v>217391.304</v>
      </c>
      <c r="L103" s="59">
        <f t="shared" si="11"/>
        <v>108695.652</v>
      </c>
      <c r="M103" s="46">
        <f t="shared" si="12"/>
        <v>1.084958388146808E-2</v>
      </c>
      <c r="N103" s="48"/>
    </row>
    <row r="104" spans="1:14" outlineLevel="1" x14ac:dyDescent="0.35">
      <c r="A104" s="16" t="s">
        <v>50</v>
      </c>
      <c r="B104" s="17" t="s">
        <v>30</v>
      </c>
      <c r="C104" s="24">
        <v>0</v>
      </c>
      <c r="D104" s="23">
        <v>0</v>
      </c>
      <c r="E104" s="25">
        <v>108695.652</v>
      </c>
      <c r="F104" s="27">
        <v>108695.652</v>
      </c>
      <c r="G104" s="25">
        <v>108695.652</v>
      </c>
      <c r="H104" s="25">
        <v>108695.652</v>
      </c>
      <c r="I104" s="59"/>
      <c r="J104" s="59"/>
      <c r="K104" s="59">
        <f t="shared" si="10"/>
        <v>217391.304</v>
      </c>
      <c r="L104" s="59">
        <f t="shared" si="11"/>
        <v>108695.652</v>
      </c>
      <c r="M104" s="46">
        <f t="shared" si="12"/>
        <v>1.084958388146808E-2</v>
      </c>
      <c r="N104" s="48"/>
    </row>
    <row r="105" spans="1:14" outlineLevel="1" x14ac:dyDescent="0.35">
      <c r="A105" s="16" t="s">
        <v>51</v>
      </c>
      <c r="B105" s="17" t="s">
        <v>30</v>
      </c>
      <c r="C105" s="24">
        <v>0</v>
      </c>
      <c r="D105" s="23">
        <v>0</v>
      </c>
      <c r="E105" s="25">
        <v>108695.652</v>
      </c>
      <c r="F105" s="27">
        <v>108695.652</v>
      </c>
      <c r="G105" s="25">
        <v>108695.652</v>
      </c>
      <c r="H105" s="25">
        <v>108695.652</v>
      </c>
      <c r="I105" s="59"/>
      <c r="J105" s="59"/>
      <c r="K105" s="59">
        <f t="shared" si="10"/>
        <v>217391.304</v>
      </c>
      <c r="L105" s="59">
        <f t="shared" si="11"/>
        <v>108695.652</v>
      </c>
      <c r="M105" s="46">
        <f t="shared" si="12"/>
        <v>1.084958388146808E-2</v>
      </c>
      <c r="N105" s="48"/>
    </row>
    <row r="106" spans="1:14" outlineLevel="1" x14ac:dyDescent="0.35">
      <c r="A106" s="16" t="s">
        <v>52</v>
      </c>
      <c r="B106" s="17" t="s">
        <v>30</v>
      </c>
      <c r="C106" s="24">
        <v>0</v>
      </c>
      <c r="D106" s="23">
        <v>0</v>
      </c>
      <c r="E106" s="25">
        <v>108695.652</v>
      </c>
      <c r="F106" s="27">
        <v>108695.652</v>
      </c>
      <c r="G106" s="25">
        <v>108695.652</v>
      </c>
      <c r="H106" s="25">
        <v>108695.652</v>
      </c>
      <c r="I106" s="59"/>
      <c r="J106" s="59"/>
      <c r="K106" s="59">
        <f t="shared" si="10"/>
        <v>217391.304</v>
      </c>
      <c r="L106" s="59">
        <f t="shared" si="11"/>
        <v>108695.652</v>
      </c>
      <c r="M106" s="46">
        <f t="shared" si="12"/>
        <v>1.084958388146808E-2</v>
      </c>
      <c r="N106" s="48"/>
    </row>
    <row r="107" spans="1:14" outlineLevel="1" x14ac:dyDescent="0.35">
      <c r="A107" s="16" t="s">
        <v>53</v>
      </c>
      <c r="B107" s="17" t="s">
        <v>30</v>
      </c>
      <c r="C107" s="24">
        <v>0</v>
      </c>
      <c r="D107" s="23">
        <v>0</v>
      </c>
      <c r="E107" s="25">
        <v>108695.652</v>
      </c>
      <c r="F107" s="27">
        <v>108695.652</v>
      </c>
      <c r="G107" s="25">
        <v>108695.652</v>
      </c>
      <c r="H107" s="25">
        <v>108695.652</v>
      </c>
      <c r="I107" s="59"/>
      <c r="J107" s="59"/>
      <c r="K107" s="59">
        <f t="shared" si="10"/>
        <v>217391.304</v>
      </c>
      <c r="L107" s="59">
        <f t="shared" si="11"/>
        <v>108695.652</v>
      </c>
      <c r="M107" s="46">
        <f t="shared" si="12"/>
        <v>1.084958388146808E-2</v>
      </c>
      <c r="N107" s="48"/>
    </row>
    <row r="108" spans="1:14" outlineLevel="1" x14ac:dyDescent="0.35">
      <c r="A108" s="16" t="s">
        <v>54</v>
      </c>
      <c r="B108" s="17" t="s">
        <v>30</v>
      </c>
      <c r="C108" s="24">
        <v>0</v>
      </c>
      <c r="D108" s="23">
        <v>0</v>
      </c>
      <c r="E108" s="25">
        <v>108695.652</v>
      </c>
      <c r="F108" s="27">
        <v>108695.652</v>
      </c>
      <c r="G108" s="25">
        <v>108695.652</v>
      </c>
      <c r="H108" s="25">
        <v>108695.652</v>
      </c>
      <c r="I108" s="59"/>
      <c r="J108" s="59"/>
      <c r="K108" s="59">
        <f t="shared" si="10"/>
        <v>217391.304</v>
      </c>
      <c r="L108" s="59">
        <f t="shared" si="11"/>
        <v>108695.652</v>
      </c>
      <c r="M108" s="46">
        <f t="shared" si="12"/>
        <v>1.084958388146808E-2</v>
      </c>
      <c r="N108" s="48"/>
    </row>
    <row r="109" spans="1:14" outlineLevel="1" x14ac:dyDescent="0.35">
      <c r="A109" s="16" t="s">
        <v>55</v>
      </c>
      <c r="B109" s="17" t="s">
        <v>30</v>
      </c>
      <c r="C109" s="24">
        <v>0</v>
      </c>
      <c r="D109" s="23">
        <v>0</v>
      </c>
      <c r="E109" s="25">
        <v>108695.652</v>
      </c>
      <c r="F109" s="27">
        <v>108695.652</v>
      </c>
      <c r="G109" s="25">
        <v>108695.652</v>
      </c>
      <c r="H109" s="25">
        <v>108695.652</v>
      </c>
      <c r="I109" s="59"/>
      <c r="J109" s="59"/>
      <c r="K109" s="59">
        <f t="shared" si="10"/>
        <v>217391.304</v>
      </c>
      <c r="L109" s="59">
        <f t="shared" si="11"/>
        <v>108695.652</v>
      </c>
      <c r="M109" s="46">
        <f t="shared" si="12"/>
        <v>1.084958388146808E-2</v>
      </c>
      <c r="N109" s="48"/>
    </row>
    <row r="110" spans="1:14" outlineLevel="1" x14ac:dyDescent="0.35">
      <c r="A110" s="16" t="s">
        <v>56</v>
      </c>
      <c r="B110" s="17" t="s">
        <v>30</v>
      </c>
      <c r="C110" s="24">
        <v>0</v>
      </c>
      <c r="D110" s="23">
        <v>0</v>
      </c>
      <c r="E110" s="25">
        <v>108695.652</v>
      </c>
      <c r="F110" s="27">
        <v>108695.652</v>
      </c>
      <c r="G110" s="25">
        <v>108695.652</v>
      </c>
      <c r="H110" s="25">
        <v>108695.652</v>
      </c>
      <c r="I110" s="59"/>
      <c r="J110" s="59"/>
      <c r="K110" s="59">
        <f t="shared" si="10"/>
        <v>217391.304</v>
      </c>
      <c r="L110" s="59">
        <f t="shared" si="11"/>
        <v>108695.652</v>
      </c>
      <c r="M110" s="46">
        <f t="shared" si="12"/>
        <v>1.084958388146808E-2</v>
      </c>
      <c r="N110" s="48"/>
    </row>
    <row r="111" spans="1:14" outlineLevel="1" x14ac:dyDescent="0.35">
      <c r="A111" s="16" t="s">
        <v>57</v>
      </c>
      <c r="B111" s="17" t="s">
        <v>30</v>
      </c>
      <c r="C111" s="24">
        <v>0</v>
      </c>
      <c r="D111" s="23">
        <v>0</v>
      </c>
      <c r="E111" s="25">
        <v>108695.652</v>
      </c>
      <c r="F111" s="27">
        <v>108695.652</v>
      </c>
      <c r="G111" s="25">
        <v>108695.652</v>
      </c>
      <c r="H111" s="25">
        <v>108695.652</v>
      </c>
      <c r="I111" s="59"/>
      <c r="J111" s="59"/>
      <c r="K111" s="59">
        <f t="shared" si="10"/>
        <v>217391.304</v>
      </c>
      <c r="L111" s="59">
        <f t="shared" si="11"/>
        <v>108695.652</v>
      </c>
      <c r="M111" s="46">
        <f t="shared" si="12"/>
        <v>1.084958388146808E-2</v>
      </c>
      <c r="N111" s="48"/>
    </row>
    <row r="112" spans="1:14" outlineLevel="1" x14ac:dyDescent="0.35">
      <c r="A112" s="16" t="s">
        <v>58</v>
      </c>
      <c r="B112" s="17" t="s">
        <v>30</v>
      </c>
      <c r="C112" s="24">
        <v>0</v>
      </c>
      <c r="D112" s="23">
        <v>0</v>
      </c>
      <c r="E112" s="25">
        <v>108695.652</v>
      </c>
      <c r="F112" s="27">
        <v>108695.652</v>
      </c>
      <c r="G112" s="25">
        <v>108695.652</v>
      </c>
      <c r="H112" s="25">
        <v>108695.652</v>
      </c>
      <c r="I112" s="59"/>
      <c r="J112" s="59"/>
      <c r="K112" s="59">
        <f t="shared" si="10"/>
        <v>217391.304</v>
      </c>
      <c r="L112" s="59">
        <f t="shared" si="11"/>
        <v>108695.652</v>
      </c>
      <c r="M112" s="46">
        <f t="shared" si="12"/>
        <v>1.084958388146808E-2</v>
      </c>
      <c r="N112" s="48"/>
    </row>
    <row r="113" spans="1:14" outlineLevel="1" x14ac:dyDescent="0.35">
      <c r="A113" s="16" t="s">
        <v>59</v>
      </c>
      <c r="B113" s="17" t="s">
        <v>30</v>
      </c>
      <c r="C113" s="24">
        <v>0</v>
      </c>
      <c r="D113" s="23">
        <v>0</v>
      </c>
      <c r="E113" s="25">
        <v>108695.652</v>
      </c>
      <c r="F113" s="27">
        <v>108695.652</v>
      </c>
      <c r="G113" s="25">
        <v>108695.652</v>
      </c>
      <c r="H113" s="25">
        <v>108695.652</v>
      </c>
      <c r="I113" s="59"/>
      <c r="J113" s="59"/>
      <c r="K113" s="59">
        <f t="shared" si="10"/>
        <v>217391.304</v>
      </c>
      <c r="L113" s="59">
        <f t="shared" si="11"/>
        <v>108695.652</v>
      </c>
      <c r="M113" s="46">
        <f t="shared" si="12"/>
        <v>1.084958388146808E-2</v>
      </c>
      <c r="N113" s="48"/>
    </row>
    <row r="114" spans="1:14" outlineLevel="1" x14ac:dyDescent="0.35">
      <c r="A114" s="16" t="s">
        <v>60</v>
      </c>
      <c r="B114" s="17" t="s">
        <v>30</v>
      </c>
      <c r="C114" s="24">
        <v>0</v>
      </c>
      <c r="D114" s="23">
        <v>0</v>
      </c>
      <c r="E114" s="25">
        <v>108695.652</v>
      </c>
      <c r="F114" s="27">
        <v>108695.652</v>
      </c>
      <c r="G114" s="25">
        <v>108695.652</v>
      </c>
      <c r="H114" s="25">
        <v>108695.652</v>
      </c>
      <c r="I114" s="59"/>
      <c r="J114" s="59"/>
      <c r="K114" s="59">
        <f t="shared" si="10"/>
        <v>217391.304</v>
      </c>
      <c r="L114" s="59">
        <f t="shared" si="11"/>
        <v>108695.652</v>
      </c>
      <c r="M114" s="46">
        <f t="shared" si="12"/>
        <v>1.084958388146808E-2</v>
      </c>
      <c r="N114" s="48"/>
    </row>
    <row r="115" spans="1:14" outlineLevel="1" x14ac:dyDescent="0.35">
      <c r="A115" s="16" t="s">
        <v>61</v>
      </c>
      <c r="B115" s="17" t="s">
        <v>30</v>
      </c>
      <c r="C115" s="24">
        <v>0</v>
      </c>
      <c r="D115" s="23">
        <v>0</v>
      </c>
      <c r="E115" s="25">
        <v>108695.652</v>
      </c>
      <c r="F115" s="27">
        <v>108695.652</v>
      </c>
      <c r="G115" s="25">
        <v>108695.652</v>
      </c>
      <c r="H115" s="25">
        <v>108695.652</v>
      </c>
      <c r="I115" s="59"/>
      <c r="J115" s="59"/>
      <c r="K115" s="59">
        <f t="shared" si="10"/>
        <v>217391.304</v>
      </c>
      <c r="L115" s="59">
        <f t="shared" si="11"/>
        <v>108695.652</v>
      </c>
      <c r="M115" s="46">
        <f t="shared" si="12"/>
        <v>1.084958388146808E-2</v>
      </c>
      <c r="N115" s="48"/>
    </row>
    <row r="116" spans="1:14" outlineLevel="1" x14ac:dyDescent="0.35">
      <c r="A116" s="16" t="s">
        <v>62</v>
      </c>
      <c r="B116" s="17" t="s">
        <v>30</v>
      </c>
      <c r="C116" s="24">
        <v>0</v>
      </c>
      <c r="D116" s="23">
        <v>0</v>
      </c>
      <c r="E116" s="25">
        <v>108695.652</v>
      </c>
      <c r="F116" s="27">
        <v>108695.652</v>
      </c>
      <c r="G116" s="25">
        <v>108695.652</v>
      </c>
      <c r="H116" s="25">
        <v>108695.652</v>
      </c>
      <c r="I116" s="59"/>
      <c r="J116" s="59"/>
      <c r="K116" s="59">
        <f t="shared" si="10"/>
        <v>217391.304</v>
      </c>
      <c r="L116" s="59">
        <f t="shared" si="11"/>
        <v>108695.652</v>
      </c>
      <c r="M116" s="46">
        <f t="shared" si="12"/>
        <v>1.084958388146808E-2</v>
      </c>
      <c r="N116" s="48"/>
    </row>
    <row r="117" spans="1:14" outlineLevel="1" x14ac:dyDescent="0.35">
      <c r="A117" s="16" t="s">
        <v>63</v>
      </c>
      <c r="B117" s="17" t="s">
        <v>30</v>
      </c>
      <c r="C117" s="24">
        <v>0</v>
      </c>
      <c r="D117" s="23">
        <v>0</v>
      </c>
      <c r="E117" s="25">
        <v>108695.652</v>
      </c>
      <c r="F117" s="27">
        <v>108695.652</v>
      </c>
      <c r="G117" s="25">
        <v>108695.652</v>
      </c>
      <c r="H117" s="25">
        <v>108695.652</v>
      </c>
      <c r="I117" s="59"/>
      <c r="J117" s="59"/>
      <c r="K117" s="59">
        <f t="shared" si="10"/>
        <v>217391.304</v>
      </c>
      <c r="L117" s="59">
        <f t="shared" si="11"/>
        <v>108695.652</v>
      </c>
      <c r="M117" s="46">
        <f t="shared" si="12"/>
        <v>1.084958388146808E-2</v>
      </c>
      <c r="N117" s="48"/>
    </row>
    <row r="118" spans="1:14" outlineLevel="1" x14ac:dyDescent="0.35">
      <c r="A118" s="16" t="s">
        <v>64</v>
      </c>
      <c r="B118" s="17" t="s">
        <v>30</v>
      </c>
      <c r="C118" s="24">
        <v>0</v>
      </c>
      <c r="D118" s="23">
        <v>0</v>
      </c>
      <c r="E118" s="25">
        <v>108695.652</v>
      </c>
      <c r="F118" s="27">
        <v>108695.652</v>
      </c>
      <c r="G118" s="25">
        <v>108695.652</v>
      </c>
      <c r="H118" s="25">
        <v>108695.652</v>
      </c>
      <c r="I118" s="59"/>
      <c r="J118" s="59"/>
      <c r="K118" s="59">
        <f t="shared" si="10"/>
        <v>217391.304</v>
      </c>
      <c r="L118" s="59">
        <f t="shared" si="11"/>
        <v>108695.652</v>
      </c>
      <c r="M118" s="46">
        <f t="shared" si="12"/>
        <v>1.084958388146808E-2</v>
      </c>
      <c r="N118" s="48"/>
    </row>
    <row r="119" spans="1:14" outlineLevel="1" x14ac:dyDescent="0.35">
      <c r="A119" s="16" t="s">
        <v>65</v>
      </c>
      <c r="B119" s="17" t="s">
        <v>30</v>
      </c>
      <c r="C119" s="24">
        <v>0</v>
      </c>
      <c r="D119" s="23">
        <v>0</v>
      </c>
      <c r="E119" s="25">
        <v>108695.652</v>
      </c>
      <c r="F119" s="27">
        <v>108695.652</v>
      </c>
      <c r="G119" s="25">
        <v>108695.652</v>
      </c>
      <c r="H119" s="25">
        <v>108695.652</v>
      </c>
      <c r="I119" s="59"/>
      <c r="J119" s="59"/>
      <c r="K119" s="59">
        <f t="shared" si="10"/>
        <v>217391.304</v>
      </c>
      <c r="L119" s="59">
        <f t="shared" si="11"/>
        <v>108695.652</v>
      </c>
      <c r="M119" s="46">
        <f t="shared" si="12"/>
        <v>1.084958388146808E-2</v>
      </c>
      <c r="N119" s="48"/>
    </row>
    <row r="120" spans="1:14" outlineLevel="1" x14ac:dyDescent="0.35">
      <c r="A120" s="16" t="s">
        <v>66</v>
      </c>
      <c r="B120" s="17" t="s">
        <v>30</v>
      </c>
      <c r="C120" s="24">
        <v>0</v>
      </c>
      <c r="D120" s="23">
        <v>0</v>
      </c>
      <c r="E120" s="25">
        <v>108695.652</v>
      </c>
      <c r="F120" s="27">
        <v>108695.652</v>
      </c>
      <c r="G120" s="25">
        <v>108695.652</v>
      </c>
      <c r="H120" s="25">
        <v>108695.652</v>
      </c>
      <c r="I120" s="59"/>
      <c r="J120" s="59"/>
      <c r="K120" s="59">
        <f t="shared" si="10"/>
        <v>217391.304</v>
      </c>
      <c r="L120" s="59">
        <f t="shared" si="11"/>
        <v>108695.652</v>
      </c>
      <c r="M120" s="46">
        <f t="shared" si="12"/>
        <v>1.084958388146808E-2</v>
      </c>
      <c r="N120" s="48"/>
    </row>
    <row r="121" spans="1:14" outlineLevel="1" x14ac:dyDescent="0.35">
      <c r="A121" s="16" t="s">
        <v>67</v>
      </c>
      <c r="B121" s="17" t="s">
        <v>30</v>
      </c>
      <c r="C121" s="24">
        <v>0</v>
      </c>
      <c r="D121" s="23">
        <v>0</v>
      </c>
      <c r="E121" s="25">
        <v>108695.652</v>
      </c>
      <c r="F121" s="27">
        <v>108695.652</v>
      </c>
      <c r="G121" s="25">
        <v>108695.652</v>
      </c>
      <c r="H121" s="25">
        <v>108695.652</v>
      </c>
      <c r="I121" s="59"/>
      <c r="J121" s="59"/>
      <c r="K121" s="59">
        <f t="shared" si="10"/>
        <v>217391.304</v>
      </c>
      <c r="L121" s="59">
        <f t="shared" si="11"/>
        <v>108695.652</v>
      </c>
      <c r="M121" s="46">
        <f t="shared" si="12"/>
        <v>1.084958388146808E-2</v>
      </c>
      <c r="N121" s="48"/>
    </row>
    <row r="122" spans="1:14" outlineLevel="1" x14ac:dyDescent="0.35">
      <c r="A122" s="16" t="s">
        <v>68</v>
      </c>
      <c r="B122" s="17" t="s">
        <v>30</v>
      </c>
      <c r="C122" s="24">
        <v>0</v>
      </c>
      <c r="D122" s="23">
        <v>0</v>
      </c>
      <c r="E122" s="25">
        <v>108695.652</v>
      </c>
      <c r="F122" s="27">
        <v>108695.652</v>
      </c>
      <c r="G122" s="25">
        <v>108695.652</v>
      </c>
      <c r="H122" s="25">
        <v>108695.652</v>
      </c>
      <c r="I122" s="59"/>
      <c r="J122" s="59"/>
      <c r="K122" s="59">
        <f t="shared" si="10"/>
        <v>217391.304</v>
      </c>
      <c r="L122" s="59">
        <f t="shared" si="11"/>
        <v>108695.652</v>
      </c>
      <c r="M122" s="46">
        <f t="shared" si="12"/>
        <v>1.084958388146808E-2</v>
      </c>
      <c r="N122" s="48"/>
    </row>
    <row r="123" spans="1:14" outlineLevel="1" x14ac:dyDescent="0.35">
      <c r="A123" s="16" t="s">
        <v>69</v>
      </c>
      <c r="B123" s="17" t="s">
        <v>30</v>
      </c>
      <c r="C123" s="24">
        <v>0</v>
      </c>
      <c r="D123" s="23">
        <v>0</v>
      </c>
      <c r="E123" s="25">
        <v>108695.652</v>
      </c>
      <c r="F123" s="27">
        <v>108695.652</v>
      </c>
      <c r="G123" s="25">
        <v>108695.652</v>
      </c>
      <c r="H123" s="25">
        <v>108695.652</v>
      </c>
      <c r="I123" s="59"/>
      <c r="J123" s="59"/>
      <c r="K123" s="59">
        <f t="shared" si="10"/>
        <v>217391.304</v>
      </c>
      <c r="L123" s="59">
        <f t="shared" si="11"/>
        <v>108695.652</v>
      </c>
      <c r="M123" s="46">
        <f t="shared" si="12"/>
        <v>1.084958388146808E-2</v>
      </c>
      <c r="N123" s="48"/>
    </row>
    <row r="124" spans="1:14" outlineLevel="1" x14ac:dyDescent="0.35">
      <c r="A124" s="16" t="s">
        <v>70</v>
      </c>
      <c r="B124" s="17" t="s">
        <v>30</v>
      </c>
      <c r="C124" s="24">
        <v>0</v>
      </c>
      <c r="D124" s="23">
        <v>0</v>
      </c>
      <c r="E124" s="25">
        <v>108695.652</v>
      </c>
      <c r="F124" s="27">
        <v>108695.652</v>
      </c>
      <c r="G124" s="25">
        <v>108695.652</v>
      </c>
      <c r="H124" s="25">
        <v>108695.652</v>
      </c>
      <c r="I124" s="59"/>
      <c r="J124" s="59"/>
      <c r="K124" s="59">
        <f t="shared" si="10"/>
        <v>217391.304</v>
      </c>
      <c r="L124" s="59">
        <f t="shared" si="11"/>
        <v>108695.652</v>
      </c>
      <c r="M124" s="46">
        <f t="shared" si="12"/>
        <v>1.084958388146808E-2</v>
      </c>
      <c r="N124" s="48"/>
    </row>
    <row r="125" spans="1:14" outlineLevel="1" x14ac:dyDescent="0.35">
      <c r="A125" s="16" t="s">
        <v>71</v>
      </c>
      <c r="B125" s="17" t="s">
        <v>30</v>
      </c>
      <c r="C125" s="24">
        <v>0</v>
      </c>
      <c r="D125" s="23">
        <v>0</v>
      </c>
      <c r="E125" s="25">
        <v>108695.652</v>
      </c>
      <c r="F125" s="27">
        <v>108695.652</v>
      </c>
      <c r="G125" s="25">
        <v>108695.652</v>
      </c>
      <c r="H125" s="25">
        <v>108695.652</v>
      </c>
      <c r="I125" s="59"/>
      <c r="J125" s="59"/>
      <c r="K125" s="59">
        <f t="shared" si="10"/>
        <v>217391.304</v>
      </c>
      <c r="L125" s="59">
        <f t="shared" si="11"/>
        <v>108695.652</v>
      </c>
      <c r="M125" s="46">
        <f t="shared" si="12"/>
        <v>1.084958388146808E-2</v>
      </c>
      <c r="N125" s="48"/>
    </row>
    <row r="126" spans="1:14" outlineLevel="1" x14ac:dyDescent="0.35">
      <c r="A126" s="16" t="s">
        <v>72</v>
      </c>
      <c r="B126" s="17" t="s">
        <v>30</v>
      </c>
      <c r="C126" s="24">
        <v>0</v>
      </c>
      <c r="D126" s="23">
        <v>0</v>
      </c>
      <c r="E126" s="25">
        <v>108695.652</v>
      </c>
      <c r="F126" s="27">
        <v>108695.652</v>
      </c>
      <c r="G126" s="25">
        <v>108695.652</v>
      </c>
      <c r="H126" s="25">
        <v>108695.652</v>
      </c>
      <c r="I126" s="59"/>
      <c r="J126" s="59"/>
      <c r="K126" s="59">
        <f t="shared" si="10"/>
        <v>217391.304</v>
      </c>
      <c r="L126" s="59">
        <f t="shared" si="11"/>
        <v>108695.652</v>
      </c>
      <c r="M126" s="46">
        <f t="shared" si="12"/>
        <v>1.084958388146808E-2</v>
      </c>
      <c r="N126" s="48"/>
    </row>
    <row r="127" spans="1:14" outlineLevel="1" x14ac:dyDescent="0.35">
      <c r="A127" s="16" t="s">
        <v>73</v>
      </c>
      <c r="B127" s="17" t="s">
        <v>30</v>
      </c>
      <c r="C127" s="24">
        <v>0</v>
      </c>
      <c r="D127" s="23">
        <v>0</v>
      </c>
      <c r="E127" s="25">
        <v>108695.652</v>
      </c>
      <c r="F127" s="27">
        <v>108695.652</v>
      </c>
      <c r="G127" s="25">
        <v>108695.652</v>
      </c>
      <c r="H127" s="25">
        <v>108695.652</v>
      </c>
      <c r="I127" s="59"/>
      <c r="J127" s="59"/>
      <c r="K127" s="59">
        <f t="shared" si="10"/>
        <v>217391.304</v>
      </c>
      <c r="L127" s="59">
        <f t="shared" si="11"/>
        <v>108695.652</v>
      </c>
      <c r="M127" s="46">
        <f t="shared" si="12"/>
        <v>1.084958388146808E-2</v>
      </c>
      <c r="N127" s="48"/>
    </row>
    <row r="128" spans="1:14" outlineLevel="1" x14ac:dyDescent="0.35">
      <c r="A128" s="16" t="s">
        <v>74</v>
      </c>
      <c r="B128" s="17" t="s">
        <v>30</v>
      </c>
      <c r="C128" s="24">
        <v>0</v>
      </c>
      <c r="D128" s="23">
        <v>0</v>
      </c>
      <c r="E128" s="25">
        <v>108695.652</v>
      </c>
      <c r="F128" s="27">
        <v>108695.652</v>
      </c>
      <c r="G128" s="25">
        <v>108695.652</v>
      </c>
      <c r="H128" s="25">
        <v>108695.652</v>
      </c>
      <c r="I128" s="59"/>
      <c r="J128" s="59"/>
      <c r="K128" s="59">
        <f t="shared" si="10"/>
        <v>217391.304</v>
      </c>
      <c r="L128" s="59">
        <f t="shared" si="11"/>
        <v>108695.652</v>
      </c>
      <c r="M128" s="46">
        <f t="shared" si="12"/>
        <v>1.084958388146808E-2</v>
      </c>
      <c r="N128" s="48"/>
    </row>
    <row r="129" spans="1:14" outlineLevel="1" x14ac:dyDescent="0.35">
      <c r="A129" s="16" t="s">
        <v>75</v>
      </c>
      <c r="B129" s="17" t="s">
        <v>30</v>
      </c>
      <c r="C129" s="24">
        <v>0</v>
      </c>
      <c r="D129" s="23">
        <v>0</v>
      </c>
      <c r="E129" s="25">
        <v>108695.652</v>
      </c>
      <c r="F129" s="27">
        <v>108695.652</v>
      </c>
      <c r="G129" s="25">
        <v>108695.652</v>
      </c>
      <c r="H129" s="25">
        <v>108695.652</v>
      </c>
      <c r="I129" s="59"/>
      <c r="J129" s="59"/>
      <c r="K129" s="59">
        <f t="shared" si="10"/>
        <v>217391.304</v>
      </c>
      <c r="L129" s="59">
        <f t="shared" si="11"/>
        <v>108695.652</v>
      </c>
      <c r="M129" s="46">
        <f t="shared" si="12"/>
        <v>1.084958388146808E-2</v>
      </c>
      <c r="N129" s="48"/>
    </row>
    <row r="130" spans="1:14" outlineLevel="1" x14ac:dyDescent="0.35">
      <c r="A130" s="16" t="s">
        <v>76</v>
      </c>
      <c r="B130" s="17" t="s">
        <v>30</v>
      </c>
      <c r="C130" s="24">
        <v>0</v>
      </c>
      <c r="D130" s="23">
        <v>0</v>
      </c>
      <c r="E130" s="25">
        <v>108695.652</v>
      </c>
      <c r="F130" s="27">
        <v>108695.652</v>
      </c>
      <c r="G130" s="25">
        <v>108695.652</v>
      </c>
      <c r="H130" s="25">
        <v>108695.652</v>
      </c>
      <c r="I130" s="59"/>
      <c r="J130" s="59"/>
      <c r="K130" s="59">
        <f t="shared" si="10"/>
        <v>217391.304</v>
      </c>
      <c r="L130" s="59">
        <f t="shared" si="11"/>
        <v>108695.652</v>
      </c>
      <c r="M130" s="46">
        <f t="shared" si="12"/>
        <v>1.084958388146808E-2</v>
      </c>
      <c r="N130" s="48"/>
    </row>
    <row r="131" spans="1:14" outlineLevel="1" x14ac:dyDescent="0.35">
      <c r="A131" s="16" t="s">
        <v>85</v>
      </c>
      <c r="B131" s="17" t="s">
        <v>30</v>
      </c>
      <c r="C131" s="24">
        <v>0</v>
      </c>
      <c r="D131" s="23">
        <v>0</v>
      </c>
      <c r="E131" s="25" t="s">
        <v>99</v>
      </c>
      <c r="F131" s="25" t="s">
        <v>99</v>
      </c>
      <c r="G131" s="25" t="s">
        <v>99</v>
      </c>
      <c r="H131" s="25" t="s">
        <v>99</v>
      </c>
      <c r="I131" s="59">
        <f>$J$131/$D$146</f>
        <v>2630.9537279263177</v>
      </c>
      <c r="J131" s="59">
        <f>$D$76/14</f>
        <v>357142.85714285716</v>
      </c>
      <c r="K131" s="59">
        <f t="shared" si="10"/>
        <v>2630.9537279263177</v>
      </c>
      <c r="L131" s="59">
        <f>SUM(H131,J131)</f>
        <v>357142.85714285716</v>
      </c>
      <c r="M131" s="46">
        <f>K131/$K$145</f>
        <v>1.3130586474331896E-4</v>
      </c>
      <c r="N131" s="48"/>
    </row>
    <row r="132" spans="1:14" outlineLevel="1" x14ac:dyDescent="0.35">
      <c r="A132" s="16" t="s">
        <v>86</v>
      </c>
      <c r="B132" s="17" t="s">
        <v>30</v>
      </c>
      <c r="C132" s="24">
        <v>0</v>
      </c>
      <c r="D132" s="23">
        <v>0</v>
      </c>
      <c r="E132" s="25" t="s">
        <v>99</v>
      </c>
      <c r="F132" s="25" t="s">
        <v>99</v>
      </c>
      <c r="G132" s="25" t="s">
        <v>99</v>
      </c>
      <c r="H132" s="25" t="s">
        <v>99</v>
      </c>
      <c r="I132" s="59">
        <f t="shared" ref="I132:I144" si="13">$J$131/$D$146</f>
        <v>2630.9537279263177</v>
      </c>
      <c r="J132" s="59">
        <f t="shared" ref="J132:J144" si="14">$D$76/14</f>
        <v>357142.85714285716</v>
      </c>
      <c r="K132" s="59">
        <f t="shared" si="10"/>
        <v>2630.9537279263177</v>
      </c>
      <c r="L132" s="59">
        <f t="shared" si="11"/>
        <v>357142.85714285716</v>
      </c>
      <c r="M132" s="46">
        <f t="shared" si="12"/>
        <v>1.3130586474331896E-4</v>
      </c>
      <c r="N132" s="48"/>
    </row>
    <row r="133" spans="1:14" outlineLevel="1" x14ac:dyDescent="0.35">
      <c r="A133" s="16" t="s">
        <v>87</v>
      </c>
      <c r="B133" s="17" t="s">
        <v>30</v>
      </c>
      <c r="C133" s="24">
        <v>0</v>
      </c>
      <c r="D133" s="23">
        <v>0</v>
      </c>
      <c r="E133" s="25" t="s">
        <v>99</v>
      </c>
      <c r="F133" s="25" t="s">
        <v>99</v>
      </c>
      <c r="G133" s="25" t="s">
        <v>99</v>
      </c>
      <c r="H133" s="25" t="s">
        <v>99</v>
      </c>
      <c r="I133" s="59">
        <f t="shared" si="13"/>
        <v>2630.9537279263177</v>
      </c>
      <c r="J133" s="59">
        <f t="shared" si="14"/>
        <v>357142.85714285716</v>
      </c>
      <c r="K133" s="59">
        <f t="shared" si="10"/>
        <v>2630.9537279263177</v>
      </c>
      <c r="L133" s="59">
        <f t="shared" si="11"/>
        <v>357142.85714285716</v>
      </c>
      <c r="M133" s="46">
        <f t="shared" si="12"/>
        <v>1.3130586474331896E-4</v>
      </c>
      <c r="N133" s="48"/>
    </row>
    <row r="134" spans="1:14" outlineLevel="1" x14ac:dyDescent="0.35">
      <c r="A134" s="16" t="s">
        <v>88</v>
      </c>
      <c r="B134" s="17" t="s">
        <v>30</v>
      </c>
      <c r="C134" s="24">
        <v>0</v>
      </c>
      <c r="D134" s="23">
        <v>0</v>
      </c>
      <c r="E134" s="25" t="s">
        <v>99</v>
      </c>
      <c r="F134" s="25" t="s">
        <v>99</v>
      </c>
      <c r="G134" s="25" t="s">
        <v>99</v>
      </c>
      <c r="H134" s="25" t="s">
        <v>99</v>
      </c>
      <c r="I134" s="59">
        <f t="shared" si="13"/>
        <v>2630.9537279263177</v>
      </c>
      <c r="J134" s="59">
        <f t="shared" si="14"/>
        <v>357142.85714285716</v>
      </c>
      <c r="K134" s="59">
        <f t="shared" si="10"/>
        <v>2630.9537279263177</v>
      </c>
      <c r="L134" s="59">
        <f t="shared" si="11"/>
        <v>357142.85714285716</v>
      </c>
      <c r="M134" s="46">
        <f t="shared" si="12"/>
        <v>1.3130586474331896E-4</v>
      </c>
      <c r="N134" s="48"/>
    </row>
    <row r="135" spans="1:14" outlineLevel="1" x14ac:dyDescent="0.35">
      <c r="A135" s="16" t="s">
        <v>89</v>
      </c>
      <c r="B135" s="17" t="s">
        <v>30</v>
      </c>
      <c r="C135" s="24">
        <v>0</v>
      </c>
      <c r="D135" s="23">
        <v>0</v>
      </c>
      <c r="E135" s="25" t="s">
        <v>99</v>
      </c>
      <c r="F135" s="25" t="s">
        <v>99</v>
      </c>
      <c r="G135" s="25" t="s">
        <v>99</v>
      </c>
      <c r="H135" s="25" t="s">
        <v>99</v>
      </c>
      <c r="I135" s="59">
        <f t="shared" si="13"/>
        <v>2630.9537279263177</v>
      </c>
      <c r="J135" s="59">
        <f t="shared" si="14"/>
        <v>357142.85714285716</v>
      </c>
      <c r="K135" s="59">
        <f t="shared" si="10"/>
        <v>2630.9537279263177</v>
      </c>
      <c r="L135" s="59">
        <f t="shared" si="11"/>
        <v>357142.85714285716</v>
      </c>
      <c r="M135" s="46">
        <f t="shared" si="12"/>
        <v>1.3130586474331896E-4</v>
      </c>
      <c r="N135" s="48"/>
    </row>
    <row r="136" spans="1:14" outlineLevel="1" x14ac:dyDescent="0.35">
      <c r="A136" s="16" t="s">
        <v>90</v>
      </c>
      <c r="B136" s="17" t="s">
        <v>30</v>
      </c>
      <c r="C136" s="24">
        <v>0</v>
      </c>
      <c r="D136" s="23">
        <v>0</v>
      </c>
      <c r="E136" s="25" t="s">
        <v>99</v>
      </c>
      <c r="F136" s="25" t="s">
        <v>99</v>
      </c>
      <c r="G136" s="25" t="s">
        <v>99</v>
      </c>
      <c r="H136" s="25" t="s">
        <v>99</v>
      </c>
      <c r="I136" s="59">
        <f t="shared" si="13"/>
        <v>2630.9537279263177</v>
      </c>
      <c r="J136" s="59">
        <f t="shared" si="14"/>
        <v>357142.85714285716</v>
      </c>
      <c r="K136" s="59">
        <f t="shared" si="10"/>
        <v>2630.9537279263177</v>
      </c>
      <c r="L136" s="59">
        <f t="shared" si="11"/>
        <v>357142.85714285716</v>
      </c>
      <c r="M136" s="46">
        <f t="shared" si="12"/>
        <v>1.3130586474331896E-4</v>
      </c>
      <c r="N136" s="48"/>
    </row>
    <row r="137" spans="1:14" outlineLevel="1" x14ac:dyDescent="0.35">
      <c r="A137" s="16" t="s">
        <v>91</v>
      </c>
      <c r="B137" s="17" t="s">
        <v>30</v>
      </c>
      <c r="C137" s="24">
        <v>0</v>
      </c>
      <c r="D137" s="23">
        <v>0</v>
      </c>
      <c r="E137" s="25" t="s">
        <v>99</v>
      </c>
      <c r="F137" s="25" t="s">
        <v>99</v>
      </c>
      <c r="G137" s="25" t="s">
        <v>99</v>
      </c>
      <c r="H137" s="25" t="s">
        <v>99</v>
      </c>
      <c r="I137" s="59">
        <f t="shared" si="13"/>
        <v>2630.9537279263177</v>
      </c>
      <c r="J137" s="59">
        <f t="shared" si="14"/>
        <v>357142.85714285716</v>
      </c>
      <c r="K137" s="59">
        <f t="shared" si="10"/>
        <v>2630.9537279263177</v>
      </c>
      <c r="L137" s="59">
        <f t="shared" si="11"/>
        <v>357142.85714285716</v>
      </c>
      <c r="M137" s="46">
        <f t="shared" si="12"/>
        <v>1.3130586474331896E-4</v>
      </c>
      <c r="N137" s="48"/>
    </row>
    <row r="138" spans="1:14" outlineLevel="1" x14ac:dyDescent="0.35">
      <c r="A138" s="16" t="s">
        <v>92</v>
      </c>
      <c r="B138" s="17" t="s">
        <v>30</v>
      </c>
      <c r="C138" s="24">
        <v>0</v>
      </c>
      <c r="D138" s="23">
        <v>0</v>
      </c>
      <c r="E138" s="25" t="s">
        <v>99</v>
      </c>
      <c r="F138" s="25" t="s">
        <v>99</v>
      </c>
      <c r="G138" s="25" t="s">
        <v>99</v>
      </c>
      <c r="H138" s="25" t="s">
        <v>99</v>
      </c>
      <c r="I138" s="59">
        <f t="shared" si="13"/>
        <v>2630.9537279263177</v>
      </c>
      <c r="J138" s="59">
        <f t="shared" si="14"/>
        <v>357142.85714285716</v>
      </c>
      <c r="K138" s="59">
        <f t="shared" si="10"/>
        <v>2630.9537279263177</v>
      </c>
      <c r="L138" s="59">
        <f t="shared" si="11"/>
        <v>357142.85714285716</v>
      </c>
      <c r="M138" s="46">
        <f t="shared" si="12"/>
        <v>1.3130586474331896E-4</v>
      </c>
      <c r="N138" s="48"/>
    </row>
    <row r="139" spans="1:14" outlineLevel="1" x14ac:dyDescent="0.35">
      <c r="A139" s="16" t="s">
        <v>93</v>
      </c>
      <c r="B139" s="17" t="s">
        <v>30</v>
      </c>
      <c r="C139" s="24">
        <v>0</v>
      </c>
      <c r="D139" s="23">
        <v>0</v>
      </c>
      <c r="E139" s="25" t="s">
        <v>99</v>
      </c>
      <c r="F139" s="25" t="s">
        <v>99</v>
      </c>
      <c r="G139" s="25" t="s">
        <v>99</v>
      </c>
      <c r="H139" s="25" t="s">
        <v>99</v>
      </c>
      <c r="I139" s="59">
        <f t="shared" si="13"/>
        <v>2630.9537279263177</v>
      </c>
      <c r="J139" s="59">
        <f t="shared" si="14"/>
        <v>357142.85714285716</v>
      </c>
      <c r="K139" s="59">
        <f t="shared" si="10"/>
        <v>2630.9537279263177</v>
      </c>
      <c r="L139" s="59">
        <f t="shared" si="11"/>
        <v>357142.85714285716</v>
      </c>
      <c r="M139" s="46">
        <f t="shared" si="12"/>
        <v>1.3130586474331896E-4</v>
      </c>
      <c r="N139" s="48"/>
    </row>
    <row r="140" spans="1:14" outlineLevel="1" x14ac:dyDescent="0.35">
      <c r="A140" s="16" t="s">
        <v>94</v>
      </c>
      <c r="B140" s="17" t="s">
        <v>30</v>
      </c>
      <c r="C140" s="24">
        <v>0</v>
      </c>
      <c r="D140" s="23">
        <v>0</v>
      </c>
      <c r="E140" s="25" t="s">
        <v>99</v>
      </c>
      <c r="F140" s="25" t="s">
        <v>99</v>
      </c>
      <c r="G140" s="25" t="s">
        <v>99</v>
      </c>
      <c r="H140" s="25" t="s">
        <v>99</v>
      </c>
      <c r="I140" s="59">
        <f t="shared" si="13"/>
        <v>2630.9537279263177</v>
      </c>
      <c r="J140" s="59">
        <f t="shared" si="14"/>
        <v>357142.85714285716</v>
      </c>
      <c r="K140" s="59">
        <f t="shared" si="10"/>
        <v>2630.9537279263177</v>
      </c>
      <c r="L140" s="59">
        <f t="shared" si="11"/>
        <v>357142.85714285716</v>
      </c>
      <c r="M140" s="46">
        <f t="shared" si="12"/>
        <v>1.3130586474331896E-4</v>
      </c>
      <c r="N140" s="48"/>
    </row>
    <row r="141" spans="1:14" outlineLevel="1" x14ac:dyDescent="0.35">
      <c r="A141" s="16" t="s">
        <v>95</v>
      </c>
      <c r="B141" s="17" t="s">
        <v>30</v>
      </c>
      <c r="C141" s="24">
        <v>0</v>
      </c>
      <c r="D141" s="23">
        <v>0</v>
      </c>
      <c r="E141" s="25" t="s">
        <v>99</v>
      </c>
      <c r="F141" s="25" t="s">
        <v>99</v>
      </c>
      <c r="G141" s="25" t="s">
        <v>99</v>
      </c>
      <c r="H141" s="25" t="s">
        <v>99</v>
      </c>
      <c r="I141" s="59">
        <f t="shared" si="13"/>
        <v>2630.9537279263177</v>
      </c>
      <c r="J141" s="59">
        <f t="shared" si="14"/>
        <v>357142.85714285716</v>
      </c>
      <c r="K141" s="59">
        <f t="shared" si="10"/>
        <v>2630.9537279263177</v>
      </c>
      <c r="L141" s="59">
        <f t="shared" si="11"/>
        <v>357142.85714285716</v>
      </c>
      <c r="M141" s="46">
        <f t="shared" si="12"/>
        <v>1.3130586474331896E-4</v>
      </c>
      <c r="N141" s="48"/>
    </row>
    <row r="142" spans="1:14" outlineLevel="1" x14ac:dyDescent="0.35">
      <c r="A142" s="16" t="s">
        <v>96</v>
      </c>
      <c r="B142" s="17" t="s">
        <v>30</v>
      </c>
      <c r="C142" s="24">
        <v>0</v>
      </c>
      <c r="D142" s="23">
        <v>0</v>
      </c>
      <c r="E142" s="25" t="s">
        <v>99</v>
      </c>
      <c r="F142" s="25" t="s">
        <v>99</v>
      </c>
      <c r="G142" s="25" t="s">
        <v>99</v>
      </c>
      <c r="H142" s="25" t="s">
        <v>99</v>
      </c>
      <c r="I142" s="59">
        <f t="shared" si="13"/>
        <v>2630.9537279263177</v>
      </c>
      <c r="J142" s="59">
        <f t="shared" si="14"/>
        <v>357142.85714285716</v>
      </c>
      <c r="K142" s="59">
        <f t="shared" si="10"/>
        <v>2630.9537279263177</v>
      </c>
      <c r="L142" s="59">
        <f t="shared" si="11"/>
        <v>357142.85714285716</v>
      </c>
      <c r="M142" s="46">
        <f t="shared" si="12"/>
        <v>1.3130586474331896E-4</v>
      </c>
      <c r="N142" s="48"/>
    </row>
    <row r="143" spans="1:14" outlineLevel="1" x14ac:dyDescent="0.35">
      <c r="A143" s="16" t="s">
        <v>97</v>
      </c>
      <c r="B143" s="17" t="s">
        <v>30</v>
      </c>
      <c r="C143" s="24">
        <v>0</v>
      </c>
      <c r="D143" s="23">
        <v>0</v>
      </c>
      <c r="E143" s="25" t="s">
        <v>99</v>
      </c>
      <c r="F143" s="25" t="s">
        <v>99</v>
      </c>
      <c r="G143" s="25" t="s">
        <v>99</v>
      </c>
      <c r="H143" s="25" t="s">
        <v>99</v>
      </c>
      <c r="I143" s="59">
        <f t="shared" si="13"/>
        <v>2630.9537279263177</v>
      </c>
      <c r="J143" s="59">
        <f t="shared" si="14"/>
        <v>357142.85714285716</v>
      </c>
      <c r="K143" s="59">
        <f t="shared" si="10"/>
        <v>2630.9537279263177</v>
      </c>
      <c r="L143" s="59">
        <f t="shared" si="11"/>
        <v>357142.85714285716</v>
      </c>
      <c r="M143" s="46">
        <f t="shared" si="12"/>
        <v>1.3130586474331896E-4</v>
      </c>
      <c r="N143" s="48"/>
    </row>
    <row r="144" spans="1:14" outlineLevel="1" x14ac:dyDescent="0.35">
      <c r="A144" s="16" t="s">
        <v>98</v>
      </c>
      <c r="B144" s="17" t="s">
        <v>30</v>
      </c>
      <c r="C144" s="24">
        <v>0</v>
      </c>
      <c r="D144" s="23">
        <v>0</v>
      </c>
      <c r="E144" s="25" t="s">
        <v>99</v>
      </c>
      <c r="F144" s="25" t="s">
        <v>99</v>
      </c>
      <c r="G144" s="25" t="s">
        <v>99</v>
      </c>
      <c r="H144" s="25" t="s">
        <v>99</v>
      </c>
      <c r="I144" s="59">
        <f t="shared" si="13"/>
        <v>2630.9537279263177</v>
      </c>
      <c r="J144" s="59">
        <f t="shared" si="14"/>
        <v>357142.85714285716</v>
      </c>
      <c r="K144" s="59">
        <f t="shared" si="10"/>
        <v>2630.9537279263177</v>
      </c>
      <c r="L144" s="59">
        <f t="shared" si="11"/>
        <v>357142.85714285716</v>
      </c>
      <c r="M144" s="46">
        <f t="shared" si="12"/>
        <v>1.3130586474331896E-4</v>
      </c>
      <c r="N144" s="48"/>
    </row>
    <row r="145" spans="1:18" ht="15" outlineLevel="1" x14ac:dyDescent="0.35">
      <c r="A145" s="5" t="s">
        <v>32</v>
      </c>
      <c r="B145" s="33"/>
      <c r="C145" s="47">
        <v>10000000</v>
      </c>
      <c r="D145" s="47">
        <v>400000</v>
      </c>
      <c r="E145" s="38">
        <v>4999999.991999994</v>
      </c>
      <c r="F145" s="38">
        <v>4999999.991999994</v>
      </c>
      <c r="G145" s="38">
        <v>14999999.992000032</v>
      </c>
      <c r="H145" s="38">
        <v>5399999.9919999931</v>
      </c>
      <c r="I145" s="60">
        <f>SUM(I81:I144)</f>
        <v>36833.352190968442</v>
      </c>
      <c r="J145" s="60">
        <f>SUM(J81:J144)</f>
        <v>5000000.0000000009</v>
      </c>
      <c r="K145" s="60">
        <f>SUM(K81:K144)</f>
        <v>20036833.336190984</v>
      </c>
      <c r="L145" s="60">
        <f>SUM(L81:L144)</f>
        <v>10399999.991999989</v>
      </c>
      <c r="M145" s="61">
        <f>SUM(M81:M144)</f>
        <v>0.99999999999999811</v>
      </c>
    </row>
    <row r="146" spans="1:18" ht="15" outlineLevel="1" x14ac:dyDescent="0.35">
      <c r="A146" s="5" t="s">
        <v>26</v>
      </c>
      <c r="B146" s="37">
        <f>10000000+20000000</f>
        <v>30000000</v>
      </c>
      <c r="C146" s="5" t="s">
        <v>27</v>
      </c>
      <c r="D146" s="45">
        <f>B146/B76</f>
        <v>135.74653683641648</v>
      </c>
    </row>
    <row r="147" spans="1:18" ht="15" outlineLevel="1" x14ac:dyDescent="0.35">
      <c r="A147" s="5" t="s">
        <v>28</v>
      </c>
      <c r="B147" s="32">
        <f>D76</f>
        <v>5000000</v>
      </c>
    </row>
    <row r="148" spans="1:18" ht="15" outlineLevel="1" x14ac:dyDescent="0.35">
      <c r="A148" s="5" t="s">
        <v>29</v>
      </c>
      <c r="B148" s="32">
        <f>B146+B147</f>
        <v>35000000</v>
      </c>
      <c r="D148" s="56"/>
      <c r="E148" s="57"/>
      <c r="G148" s="56"/>
      <c r="H148" s="49"/>
      <c r="I148" s="49"/>
      <c r="J148" s="49"/>
      <c r="K148" s="49"/>
      <c r="L148" s="49"/>
      <c r="O148" s="58"/>
      <c r="Q148" s="56"/>
      <c r="R148" s="49"/>
    </row>
    <row r="149" spans="1:18" ht="42" customHeight="1" outlineLevel="1" x14ac:dyDescent="0.35">
      <c r="A149" s="15" t="s">
        <v>78</v>
      </c>
      <c r="B149" s="51">
        <f>B146/B148</f>
        <v>0.8571428571428571</v>
      </c>
      <c r="C149" s="51"/>
      <c r="E149" s="55"/>
      <c r="H149" s="42"/>
      <c r="I149" s="42"/>
      <c r="J149" s="42"/>
      <c r="K149" s="42"/>
      <c r="L149" s="42"/>
      <c r="O149" s="54"/>
      <c r="R149" s="42"/>
    </row>
    <row r="150" spans="1:18" ht="26" customHeight="1" outlineLevel="1" x14ac:dyDescent="0.35">
      <c r="A150" s="15" t="s">
        <v>77</v>
      </c>
      <c r="B150" s="54">
        <f>(1-B149)</f>
        <v>0.1428571428571429</v>
      </c>
      <c r="H150" s="55"/>
      <c r="I150" s="55"/>
      <c r="J150" s="55"/>
      <c r="K150" s="55"/>
      <c r="L150" s="55"/>
      <c r="O150" s="58"/>
      <c r="R150" s="55"/>
    </row>
    <row r="152" spans="1:18" x14ac:dyDescent="0.35">
      <c r="B152" s="76"/>
    </row>
    <row r="153" spans="1:18" x14ac:dyDescent="0.35">
      <c r="B153" s="42"/>
      <c r="C153" s="51"/>
    </row>
    <row r="154" spans="1:18" x14ac:dyDescent="0.35">
      <c r="B154" s="76"/>
    </row>
    <row r="157" spans="1:18" x14ac:dyDescent="0.35">
      <c r="D157" s="51"/>
    </row>
  </sheetData>
  <mergeCells count="5">
    <mergeCell ref="A15:B17"/>
    <mergeCell ref="A4:B6"/>
    <mergeCell ref="E17:M17"/>
    <mergeCell ref="A77:B79"/>
    <mergeCell ref="E79:M79"/>
  </mergeCells>
  <phoneticPr fontId="7" type="noConversion"/>
  <dataValidations disablePrompts="1" count="1">
    <dataValidation type="list" allowBlank="1" showInputMessage="1" showErrorMessage="1" sqref="F8:F11" xr:uid="{379DE650-3911-490A-B479-FDAE110F5B45}">
      <formula1>$V$4:$V$8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441C-AE42-4564-95FC-DDD928F4B4E7}">
  <dimension ref="A1:BO242"/>
  <sheetViews>
    <sheetView showGridLines="0" tabSelected="1" zoomScale="77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C93" sqref="C93"/>
    </sheetView>
  </sheetViews>
  <sheetFormatPr defaultRowHeight="14.5" outlineLevelRow="1" outlineLevelCol="1" x14ac:dyDescent="0.35"/>
  <cols>
    <col min="1" max="1" width="33.453125" bestFit="1" customWidth="1"/>
    <col min="2" max="2" width="6.7265625" customWidth="1"/>
    <col min="3" max="4" width="12.7265625" customWidth="1" outlineLevel="1"/>
    <col min="5" max="5" width="12.54296875" customWidth="1" outlineLevel="1"/>
    <col min="6" max="6" width="12.7265625" customWidth="1" outlineLevel="1"/>
    <col min="7" max="8" width="12.54296875" customWidth="1" outlineLevel="1"/>
    <col min="9" max="9" width="12.7265625" customWidth="1" outlineLevel="1"/>
    <col min="10" max="14" width="12.54296875" customWidth="1" outlineLevel="1"/>
    <col min="15" max="15" width="13.81640625" style="99" bestFit="1" customWidth="1"/>
    <col min="16" max="16" width="14" bestFit="1" customWidth="1" outlineLevel="1"/>
    <col min="17" max="18" width="13.81640625" bestFit="1" customWidth="1" outlineLevel="1"/>
    <col min="19" max="25" width="13.90625" bestFit="1" customWidth="1" outlineLevel="1"/>
    <col min="26" max="27" width="14.81640625" bestFit="1" customWidth="1" outlineLevel="1"/>
    <col min="28" max="28" width="14.81640625" style="99" customWidth="1" outlineLevel="1"/>
    <col min="29" max="29" width="7.36328125" bestFit="1" customWidth="1" outlineLevel="1"/>
    <col min="30" max="30" width="8.36328125" bestFit="1" customWidth="1" outlineLevel="1"/>
    <col min="31" max="31" width="6.26953125" bestFit="1" customWidth="1" outlineLevel="1"/>
    <col min="32" max="32" width="4.90625" bestFit="1" customWidth="1" outlineLevel="1"/>
    <col min="33" max="33" width="4.453125" bestFit="1" customWidth="1" outlineLevel="1"/>
    <col min="34" max="34" width="4.6328125" bestFit="1" customWidth="1" outlineLevel="1"/>
    <col min="35" max="35" width="4" bestFit="1" customWidth="1" outlineLevel="1"/>
    <col min="36" max="36" width="6.6328125" bestFit="1" customWidth="1" outlineLevel="1"/>
    <col min="37" max="37" width="10" bestFit="1" customWidth="1" outlineLevel="1"/>
    <col min="38" max="38" width="7.6328125" bestFit="1" customWidth="1" outlineLevel="1"/>
    <col min="39" max="39" width="9.7265625" bestFit="1" customWidth="1" outlineLevel="1"/>
    <col min="40" max="40" width="9.453125" bestFit="1" customWidth="1" outlineLevel="1"/>
    <col min="41" max="41" width="5.26953125" style="99" bestFit="1" customWidth="1"/>
    <col min="42" max="42" width="7.36328125" bestFit="1" customWidth="1" outlineLevel="1"/>
    <col min="43" max="43" width="8.36328125" bestFit="1" customWidth="1" outlineLevel="1"/>
    <col min="44" max="44" width="6.26953125" bestFit="1" customWidth="1" outlineLevel="1"/>
    <col min="45" max="45" width="4.90625" bestFit="1" customWidth="1" outlineLevel="1"/>
    <col min="46" max="46" width="4.453125" bestFit="1" customWidth="1" outlineLevel="1"/>
    <col min="47" max="47" width="4.6328125" bestFit="1" customWidth="1" outlineLevel="1"/>
    <col min="48" max="48" width="4" bestFit="1" customWidth="1" outlineLevel="1"/>
    <col min="49" max="49" width="6.6328125" bestFit="1" customWidth="1" outlineLevel="1"/>
    <col min="50" max="50" width="10" bestFit="1" customWidth="1" outlineLevel="1"/>
    <col min="51" max="51" width="7.6328125" bestFit="1" customWidth="1" outlineLevel="1"/>
    <col min="52" max="52" width="9.7265625" bestFit="1" customWidth="1" outlineLevel="1"/>
    <col min="53" max="53" width="9.453125" bestFit="1" customWidth="1" outlineLevel="1"/>
    <col min="54" max="54" width="5.26953125" style="99" bestFit="1" customWidth="1"/>
    <col min="55" max="55" width="7.36328125" bestFit="1" customWidth="1" outlineLevel="1"/>
    <col min="56" max="56" width="8.36328125" bestFit="1" customWidth="1" outlineLevel="1"/>
    <col min="57" max="57" width="6.26953125" bestFit="1" customWidth="1" outlineLevel="1"/>
    <col min="58" max="58" width="4.90625" bestFit="1" customWidth="1" outlineLevel="1"/>
    <col min="59" max="59" width="4.453125" bestFit="1" customWidth="1" outlineLevel="1"/>
    <col min="60" max="60" width="4.6328125" bestFit="1" customWidth="1" outlineLevel="1"/>
    <col min="61" max="61" width="4" bestFit="1" customWidth="1" outlineLevel="1"/>
    <col min="62" max="62" width="6.6328125" bestFit="1" customWidth="1" outlineLevel="1"/>
    <col min="63" max="63" width="10" bestFit="1" customWidth="1" outlineLevel="1"/>
    <col min="64" max="64" width="7.6328125" bestFit="1" customWidth="1" outlineLevel="1"/>
    <col min="65" max="65" width="9.7265625" bestFit="1" customWidth="1" outlineLevel="1"/>
    <col min="66" max="66" width="9.453125" bestFit="1" customWidth="1" outlineLevel="1"/>
    <col min="67" max="67" width="4.81640625" style="99" bestFit="1" customWidth="1"/>
  </cols>
  <sheetData>
    <row r="1" spans="1:67" s="70" customFormat="1" x14ac:dyDescent="0.35">
      <c r="C1" s="69" t="s">
        <v>230</v>
      </c>
      <c r="D1" s="69" t="s">
        <v>231</v>
      </c>
      <c r="E1" s="69" t="s">
        <v>232</v>
      </c>
      <c r="F1" s="69" t="s">
        <v>233</v>
      </c>
      <c r="G1" s="69" t="s">
        <v>234</v>
      </c>
      <c r="H1" s="69" t="s">
        <v>235</v>
      </c>
      <c r="I1" s="69" t="s">
        <v>236</v>
      </c>
      <c r="J1" s="69" t="s">
        <v>237</v>
      </c>
      <c r="K1" s="69" t="s">
        <v>238</v>
      </c>
      <c r="L1" s="69" t="s">
        <v>239</v>
      </c>
      <c r="M1" s="69" t="s">
        <v>240</v>
      </c>
      <c r="N1" s="69" t="s">
        <v>241</v>
      </c>
      <c r="O1" s="105">
        <v>2024</v>
      </c>
      <c r="P1" s="69" t="s">
        <v>230</v>
      </c>
      <c r="Q1" s="69" t="s">
        <v>231</v>
      </c>
      <c r="R1" s="69" t="s">
        <v>232</v>
      </c>
      <c r="S1" s="69" t="s">
        <v>233</v>
      </c>
      <c r="T1" s="69" t="s">
        <v>234</v>
      </c>
      <c r="U1" s="69" t="s">
        <v>235</v>
      </c>
      <c r="V1" s="69" t="s">
        <v>236</v>
      </c>
      <c r="W1" s="69" t="s">
        <v>237</v>
      </c>
      <c r="X1" s="69" t="s">
        <v>238</v>
      </c>
      <c r="Y1" s="69" t="s">
        <v>239</v>
      </c>
      <c r="Z1" s="69" t="s">
        <v>240</v>
      </c>
      <c r="AA1" s="69" t="s">
        <v>241</v>
      </c>
      <c r="AB1" s="105">
        <v>2025</v>
      </c>
      <c r="AC1" s="69" t="s">
        <v>230</v>
      </c>
      <c r="AD1" s="69" t="s">
        <v>231</v>
      </c>
      <c r="AE1" s="69" t="s">
        <v>232</v>
      </c>
      <c r="AF1" s="69" t="s">
        <v>233</v>
      </c>
      <c r="AG1" s="69" t="s">
        <v>234</v>
      </c>
      <c r="AH1" s="69" t="s">
        <v>235</v>
      </c>
      <c r="AI1" s="69" t="s">
        <v>236</v>
      </c>
      <c r="AJ1" s="69" t="s">
        <v>237</v>
      </c>
      <c r="AK1" s="69" t="s">
        <v>238</v>
      </c>
      <c r="AL1" s="69" t="s">
        <v>239</v>
      </c>
      <c r="AM1" s="69" t="s">
        <v>240</v>
      </c>
      <c r="AN1" s="69" t="s">
        <v>241</v>
      </c>
      <c r="AO1" s="105">
        <v>2026</v>
      </c>
      <c r="AP1" s="69" t="s">
        <v>230</v>
      </c>
      <c r="AQ1" s="69" t="s">
        <v>231</v>
      </c>
      <c r="AR1" s="69" t="s">
        <v>232</v>
      </c>
      <c r="AS1" s="69" t="s">
        <v>233</v>
      </c>
      <c r="AT1" s="69" t="s">
        <v>234</v>
      </c>
      <c r="AU1" s="69" t="s">
        <v>235</v>
      </c>
      <c r="AV1" s="69" t="s">
        <v>236</v>
      </c>
      <c r="AW1" s="69" t="s">
        <v>237</v>
      </c>
      <c r="AX1" s="69" t="s">
        <v>238</v>
      </c>
      <c r="AY1" s="69" t="s">
        <v>239</v>
      </c>
      <c r="AZ1" s="69" t="s">
        <v>240</v>
      </c>
      <c r="BA1" s="69" t="s">
        <v>241</v>
      </c>
      <c r="BB1" s="105">
        <v>2027</v>
      </c>
      <c r="BC1" s="69" t="s">
        <v>230</v>
      </c>
      <c r="BD1" s="69" t="s">
        <v>231</v>
      </c>
      <c r="BE1" s="69" t="s">
        <v>232</v>
      </c>
      <c r="BF1" s="69" t="s">
        <v>233</v>
      </c>
      <c r="BG1" s="69" t="s">
        <v>234</v>
      </c>
      <c r="BH1" s="69" t="s">
        <v>235</v>
      </c>
      <c r="BI1" s="69" t="s">
        <v>236</v>
      </c>
      <c r="BJ1" s="69" t="s">
        <v>237</v>
      </c>
      <c r="BK1" s="69" t="s">
        <v>238</v>
      </c>
      <c r="BL1" s="69" t="s">
        <v>239</v>
      </c>
      <c r="BM1" s="69" t="s">
        <v>240</v>
      </c>
      <c r="BN1" s="69" t="s">
        <v>241</v>
      </c>
      <c r="BO1" s="105">
        <v>2028</v>
      </c>
    </row>
    <row r="2" spans="1:67" s="56" customFormat="1" x14ac:dyDescent="0.35">
      <c r="A2" s="56" t="s">
        <v>104</v>
      </c>
      <c r="C2" s="152" t="str">
        <f t="shared" ref="C2:AH2" si="0">IFERROR(IF(ABS(C156)&gt;1,"ERROR","OK"),"OK")</f>
        <v>OK</v>
      </c>
      <c r="D2" s="152" t="str">
        <f t="shared" si="0"/>
        <v>OK</v>
      </c>
      <c r="E2" s="152" t="str">
        <f t="shared" si="0"/>
        <v>OK</v>
      </c>
      <c r="F2" s="152" t="str">
        <f t="shared" si="0"/>
        <v>OK</v>
      </c>
      <c r="G2" s="152" t="str">
        <f t="shared" si="0"/>
        <v>OK</v>
      </c>
      <c r="H2" s="152" t="str">
        <f t="shared" si="0"/>
        <v>OK</v>
      </c>
      <c r="I2" s="152" t="str">
        <f t="shared" si="0"/>
        <v>OK</v>
      </c>
      <c r="J2" s="152" t="str">
        <f t="shared" si="0"/>
        <v>OK</v>
      </c>
      <c r="K2" s="152" t="str">
        <f t="shared" si="0"/>
        <v>OK</v>
      </c>
      <c r="L2" s="152" t="str">
        <f t="shared" si="0"/>
        <v>OK</v>
      </c>
      <c r="M2" s="152" t="str">
        <f t="shared" si="0"/>
        <v>OK</v>
      </c>
      <c r="N2" s="152" t="str">
        <f t="shared" si="0"/>
        <v>OK</v>
      </c>
      <c r="O2" s="153" t="str">
        <f t="shared" si="0"/>
        <v>OK</v>
      </c>
      <c r="P2" s="152" t="str">
        <f t="shared" si="0"/>
        <v>OK</v>
      </c>
      <c r="Q2" s="152" t="str">
        <f t="shared" si="0"/>
        <v>OK</v>
      </c>
      <c r="R2" s="152" t="str">
        <f t="shared" si="0"/>
        <v>OK</v>
      </c>
      <c r="S2" s="152" t="str">
        <f t="shared" si="0"/>
        <v>OK</v>
      </c>
      <c r="T2" s="152" t="str">
        <f t="shared" si="0"/>
        <v>OK</v>
      </c>
      <c r="U2" s="152" t="str">
        <f t="shared" si="0"/>
        <v>OK</v>
      </c>
      <c r="V2" s="152" t="str">
        <f t="shared" si="0"/>
        <v>OK</v>
      </c>
      <c r="W2" s="152" t="str">
        <f t="shared" si="0"/>
        <v>OK</v>
      </c>
      <c r="X2" s="152" t="str">
        <f t="shared" si="0"/>
        <v>OK</v>
      </c>
      <c r="Y2" s="152" t="str">
        <f t="shared" si="0"/>
        <v>OK</v>
      </c>
      <c r="Z2" s="152" t="str">
        <f t="shared" si="0"/>
        <v>OK</v>
      </c>
      <c r="AA2" s="152" t="str">
        <f t="shared" si="0"/>
        <v>OK</v>
      </c>
      <c r="AB2" s="153"/>
      <c r="AC2" s="152" t="str">
        <f t="shared" si="0"/>
        <v>OK</v>
      </c>
      <c r="AD2" s="152" t="str">
        <f t="shared" si="0"/>
        <v>OK</v>
      </c>
      <c r="AE2" s="152" t="str">
        <f t="shared" si="0"/>
        <v>OK</v>
      </c>
      <c r="AF2" s="152" t="str">
        <f t="shared" si="0"/>
        <v>OK</v>
      </c>
      <c r="AG2" s="152" t="str">
        <f t="shared" si="0"/>
        <v>OK</v>
      </c>
      <c r="AH2" s="152" t="str">
        <f t="shared" si="0"/>
        <v>OK</v>
      </c>
      <c r="AI2" s="152" t="str">
        <f t="shared" ref="AI2:BO2" si="1">IFERROR(IF(ABS(AI156)&gt;1,"ERROR","OK"),"OK")</f>
        <v>OK</v>
      </c>
      <c r="AJ2" s="152" t="str">
        <f t="shared" si="1"/>
        <v>OK</v>
      </c>
      <c r="AK2" s="152" t="str">
        <f t="shared" si="1"/>
        <v>OK</v>
      </c>
      <c r="AL2" s="152" t="str">
        <f t="shared" si="1"/>
        <v>OK</v>
      </c>
      <c r="AM2" s="152" t="str">
        <f t="shared" si="1"/>
        <v>OK</v>
      </c>
      <c r="AN2" s="152" t="str">
        <f t="shared" si="1"/>
        <v>OK</v>
      </c>
      <c r="AO2" s="153" t="str">
        <f t="shared" si="1"/>
        <v>OK</v>
      </c>
      <c r="AP2" s="152" t="str">
        <f t="shared" si="1"/>
        <v>OK</v>
      </c>
      <c r="AQ2" s="152" t="str">
        <f t="shared" si="1"/>
        <v>OK</v>
      </c>
      <c r="AR2" s="152" t="str">
        <f t="shared" si="1"/>
        <v>OK</v>
      </c>
      <c r="AS2" s="152" t="str">
        <f t="shared" si="1"/>
        <v>OK</v>
      </c>
      <c r="AT2" s="152" t="str">
        <f t="shared" si="1"/>
        <v>OK</v>
      </c>
      <c r="AU2" s="152" t="str">
        <f t="shared" si="1"/>
        <v>OK</v>
      </c>
      <c r="AV2" s="152" t="str">
        <f t="shared" si="1"/>
        <v>OK</v>
      </c>
      <c r="AW2" s="152" t="str">
        <f t="shared" si="1"/>
        <v>OK</v>
      </c>
      <c r="AX2" s="152" t="str">
        <f t="shared" si="1"/>
        <v>OK</v>
      </c>
      <c r="AY2" s="152" t="str">
        <f t="shared" si="1"/>
        <v>OK</v>
      </c>
      <c r="AZ2" s="152" t="str">
        <f t="shared" si="1"/>
        <v>OK</v>
      </c>
      <c r="BA2" s="152" t="str">
        <f t="shared" si="1"/>
        <v>OK</v>
      </c>
      <c r="BB2" s="153" t="str">
        <f t="shared" si="1"/>
        <v>OK</v>
      </c>
      <c r="BC2" s="152" t="str">
        <f t="shared" si="1"/>
        <v>OK</v>
      </c>
      <c r="BD2" s="152" t="str">
        <f t="shared" si="1"/>
        <v>OK</v>
      </c>
      <c r="BE2" s="152" t="str">
        <f t="shared" si="1"/>
        <v>OK</v>
      </c>
      <c r="BF2" s="152" t="str">
        <f t="shared" si="1"/>
        <v>OK</v>
      </c>
      <c r="BG2" s="152" t="str">
        <f t="shared" si="1"/>
        <v>OK</v>
      </c>
      <c r="BH2" s="152" t="str">
        <f t="shared" si="1"/>
        <v>OK</v>
      </c>
      <c r="BI2" s="152" t="str">
        <f t="shared" si="1"/>
        <v>OK</v>
      </c>
      <c r="BJ2" s="152" t="str">
        <f t="shared" si="1"/>
        <v>OK</v>
      </c>
      <c r="BK2" s="152" t="str">
        <f t="shared" si="1"/>
        <v>OK</v>
      </c>
      <c r="BL2" s="152" t="str">
        <f t="shared" si="1"/>
        <v>OK</v>
      </c>
      <c r="BM2" s="152" t="str">
        <f t="shared" si="1"/>
        <v>OK</v>
      </c>
      <c r="BN2" s="152" t="str">
        <f t="shared" si="1"/>
        <v>OK</v>
      </c>
      <c r="BO2" s="153" t="str">
        <f t="shared" si="1"/>
        <v>OK</v>
      </c>
    </row>
    <row r="3" spans="1:67" s="70" customFormat="1" x14ac:dyDescent="0.35">
      <c r="A3" s="70" t="s">
        <v>105</v>
      </c>
      <c r="C3" s="69"/>
      <c r="D3" s="69"/>
      <c r="E3" s="69"/>
      <c r="F3" s="69"/>
      <c r="G3" s="69"/>
      <c r="O3" s="98"/>
      <c r="AB3" s="98"/>
      <c r="AO3" s="98"/>
      <c r="BB3" s="98"/>
      <c r="BO3" s="98"/>
    </row>
    <row r="4" spans="1:67" outlineLevel="1" x14ac:dyDescent="0.35">
      <c r="A4" s="56" t="s">
        <v>135</v>
      </c>
    </row>
    <row r="5" spans="1:67" outlineLevel="1" x14ac:dyDescent="0.35">
      <c r="A5" s="56" t="s">
        <v>107</v>
      </c>
      <c r="D5" s="82">
        <v>0.02</v>
      </c>
      <c r="E5" s="82">
        <v>0.02</v>
      </c>
      <c r="F5" s="82">
        <v>0.02</v>
      </c>
      <c r="G5" s="82">
        <v>0.02</v>
      </c>
      <c r="H5" s="82">
        <v>0.02</v>
      </c>
      <c r="I5" s="82">
        <v>0.02</v>
      </c>
      <c r="J5" s="82">
        <v>0.02</v>
      </c>
      <c r="K5" s="82">
        <v>0.02</v>
      </c>
      <c r="L5" s="82">
        <v>0.02</v>
      </c>
      <c r="M5" s="82">
        <v>0.02</v>
      </c>
      <c r="N5" s="82">
        <v>0.02</v>
      </c>
      <c r="P5" s="82">
        <v>0.02</v>
      </c>
      <c r="Q5" s="82">
        <v>0.02</v>
      </c>
      <c r="R5" s="82">
        <v>0.02</v>
      </c>
      <c r="S5" s="82">
        <v>0.02</v>
      </c>
      <c r="T5" s="82">
        <v>0.02</v>
      </c>
      <c r="U5" s="82">
        <v>0.02</v>
      </c>
      <c r="V5" s="82">
        <v>0.02</v>
      </c>
      <c r="W5" s="82">
        <v>0.02</v>
      </c>
      <c r="X5" s="82">
        <v>0.02</v>
      </c>
      <c r="Y5" s="82">
        <v>0.02</v>
      </c>
      <c r="Z5" s="82">
        <v>0.02</v>
      </c>
      <c r="AA5" s="82">
        <v>0.02</v>
      </c>
      <c r="AB5" s="112"/>
    </row>
    <row r="6" spans="1:67" outlineLevel="1" x14ac:dyDescent="0.35">
      <c r="A6" t="s">
        <v>136</v>
      </c>
      <c r="C6" s="77">
        <v>500</v>
      </c>
      <c r="D6" s="95">
        <f t="shared" ref="D6:N6" si="2">C6*(1+D5)</f>
        <v>510</v>
      </c>
      <c r="E6" s="95">
        <f t="shared" si="2"/>
        <v>520.20000000000005</v>
      </c>
      <c r="F6" s="95">
        <f t="shared" si="2"/>
        <v>530.60400000000004</v>
      </c>
      <c r="G6" s="95">
        <f t="shared" si="2"/>
        <v>541.21608000000003</v>
      </c>
      <c r="H6" s="95">
        <f t="shared" si="2"/>
        <v>552.0404016</v>
      </c>
      <c r="I6" s="95">
        <f t="shared" si="2"/>
        <v>563.08120963199997</v>
      </c>
      <c r="J6" s="95">
        <f t="shared" si="2"/>
        <v>574.34283382464002</v>
      </c>
      <c r="K6" s="95">
        <f t="shared" si="2"/>
        <v>585.82969050113286</v>
      </c>
      <c r="L6" s="95">
        <f t="shared" si="2"/>
        <v>597.54628431115555</v>
      </c>
      <c r="M6" s="95">
        <f t="shared" si="2"/>
        <v>609.49720999737872</v>
      </c>
      <c r="N6" s="95">
        <f t="shared" si="2"/>
        <v>621.68715419732632</v>
      </c>
      <c r="P6" s="95">
        <f>N6*(1+P5)</f>
        <v>634.12089728127285</v>
      </c>
      <c r="Q6" s="95">
        <f>P6*(1+Q5)</f>
        <v>646.80331522689835</v>
      </c>
      <c r="R6" s="95">
        <f t="shared" ref="R6:AA6" si="3">Q6*(1+R5)</f>
        <v>659.73938153143638</v>
      </c>
      <c r="S6" s="95">
        <f t="shared" si="3"/>
        <v>672.93416916206513</v>
      </c>
      <c r="T6" s="95">
        <f t="shared" si="3"/>
        <v>686.39285254530648</v>
      </c>
      <c r="U6" s="95">
        <f t="shared" si="3"/>
        <v>700.12070959621258</v>
      </c>
      <c r="V6" s="95">
        <f t="shared" si="3"/>
        <v>714.12312378813681</v>
      </c>
      <c r="W6" s="95">
        <f t="shared" si="3"/>
        <v>728.40558626389952</v>
      </c>
      <c r="X6" s="95">
        <f t="shared" si="3"/>
        <v>742.97369798917748</v>
      </c>
      <c r="Y6" s="95">
        <f t="shared" si="3"/>
        <v>757.83317194896108</v>
      </c>
      <c r="Z6" s="95">
        <f t="shared" si="3"/>
        <v>772.98983538794027</v>
      </c>
      <c r="AA6" s="95">
        <f t="shared" si="3"/>
        <v>788.44963209569914</v>
      </c>
      <c r="AB6" s="113"/>
    </row>
    <row r="7" spans="1:67" outlineLevel="1" x14ac:dyDescent="0.35">
      <c r="A7" s="56" t="s">
        <v>107</v>
      </c>
      <c r="C7" s="77"/>
      <c r="D7" s="82">
        <v>0.01</v>
      </c>
      <c r="E7" s="82">
        <v>0.01</v>
      </c>
      <c r="F7" s="82">
        <v>0.01</v>
      </c>
      <c r="G7" s="82">
        <v>0.01</v>
      </c>
      <c r="H7" s="82">
        <v>0.01</v>
      </c>
      <c r="I7" s="82">
        <v>0.01</v>
      </c>
      <c r="J7" s="82">
        <v>0.01</v>
      </c>
      <c r="K7" s="82">
        <v>0.01</v>
      </c>
      <c r="L7" s="82">
        <v>0.01</v>
      </c>
      <c r="M7" s="82">
        <v>0.01</v>
      </c>
      <c r="N7" s="82">
        <v>0.01</v>
      </c>
      <c r="P7" s="82">
        <v>0.01</v>
      </c>
      <c r="Q7" s="82">
        <v>0.01</v>
      </c>
      <c r="R7" s="82">
        <v>0.01</v>
      </c>
      <c r="S7" s="82">
        <v>0.01</v>
      </c>
      <c r="T7" s="82">
        <v>0.01</v>
      </c>
      <c r="U7" s="82">
        <v>0.01</v>
      </c>
      <c r="V7" s="82">
        <v>0.01</v>
      </c>
      <c r="W7" s="82">
        <v>0.01</v>
      </c>
      <c r="X7" s="82">
        <v>0.01</v>
      </c>
      <c r="Y7" s="82">
        <v>0.01</v>
      </c>
      <c r="Z7" s="82">
        <v>0.01</v>
      </c>
      <c r="AA7" s="82">
        <v>0.01</v>
      </c>
      <c r="AB7" s="112"/>
    </row>
    <row r="8" spans="1:67" outlineLevel="1" x14ac:dyDescent="0.35">
      <c r="A8" t="s">
        <v>137</v>
      </c>
      <c r="C8" s="78">
        <v>10000</v>
      </c>
      <c r="D8" s="78">
        <f t="shared" ref="D8:N8" si="4">C8*(1+D7)</f>
        <v>10100</v>
      </c>
      <c r="E8" s="78">
        <f t="shared" si="4"/>
        <v>10201</v>
      </c>
      <c r="F8" s="78">
        <f t="shared" si="4"/>
        <v>10303.01</v>
      </c>
      <c r="G8" s="78">
        <f t="shared" si="4"/>
        <v>10406.0401</v>
      </c>
      <c r="H8" s="78">
        <f t="shared" si="4"/>
        <v>10510.100501000001</v>
      </c>
      <c r="I8" s="78">
        <f t="shared" si="4"/>
        <v>10615.20150601</v>
      </c>
      <c r="J8" s="78">
        <f t="shared" si="4"/>
        <v>10721.353521070101</v>
      </c>
      <c r="K8" s="78">
        <f t="shared" si="4"/>
        <v>10828.567056280803</v>
      </c>
      <c r="L8" s="78">
        <f t="shared" si="4"/>
        <v>10936.85272684361</v>
      </c>
      <c r="M8" s="78">
        <f t="shared" si="4"/>
        <v>11046.221254112046</v>
      </c>
      <c r="N8" s="78">
        <f t="shared" si="4"/>
        <v>11156.683466653167</v>
      </c>
      <c r="P8" s="95">
        <f>N8*(1+P7)</f>
        <v>11268.250301319698</v>
      </c>
      <c r="Q8" s="78">
        <f>P8*(1+Q7)</f>
        <v>11380.932804332895</v>
      </c>
      <c r="R8" s="78">
        <f t="shared" ref="R8:AA8" si="5">Q8*(1+R7)</f>
        <v>11494.742132376225</v>
      </c>
      <c r="S8" s="78">
        <f t="shared" si="5"/>
        <v>11609.689553699987</v>
      </c>
      <c r="T8" s="78">
        <f t="shared" si="5"/>
        <v>11725.786449236988</v>
      </c>
      <c r="U8" s="78">
        <f t="shared" si="5"/>
        <v>11843.044313729359</v>
      </c>
      <c r="V8" s="78">
        <f t="shared" si="5"/>
        <v>11961.474756866652</v>
      </c>
      <c r="W8" s="78">
        <f t="shared" si="5"/>
        <v>12081.089504435318</v>
      </c>
      <c r="X8" s="78">
        <f t="shared" si="5"/>
        <v>12201.900399479671</v>
      </c>
      <c r="Y8" s="78">
        <f t="shared" si="5"/>
        <v>12323.919403474469</v>
      </c>
      <c r="Z8" s="78">
        <f t="shared" si="5"/>
        <v>12447.158597509213</v>
      </c>
      <c r="AA8" s="78">
        <f t="shared" si="5"/>
        <v>12571.630183484305</v>
      </c>
      <c r="AB8" s="114"/>
    </row>
    <row r="9" spans="1:67" s="72" customFormat="1" outlineLevel="1" x14ac:dyDescent="0.35">
      <c r="A9" s="72" t="s">
        <v>106</v>
      </c>
      <c r="C9" s="79">
        <f t="shared" ref="C9:N9" si="6">SUM(C6,C8)</f>
        <v>10500</v>
      </c>
      <c r="D9" s="79">
        <f t="shared" si="6"/>
        <v>10610</v>
      </c>
      <c r="E9" s="79">
        <f t="shared" si="6"/>
        <v>10721.2</v>
      </c>
      <c r="F9" s="79">
        <f t="shared" si="6"/>
        <v>10833.614</v>
      </c>
      <c r="G9" s="79">
        <f t="shared" si="6"/>
        <v>10947.25618</v>
      </c>
      <c r="H9" s="79">
        <f t="shared" si="6"/>
        <v>11062.1409026</v>
      </c>
      <c r="I9" s="79">
        <f t="shared" si="6"/>
        <v>11178.282715642001</v>
      </c>
      <c r="J9" s="79">
        <f t="shared" si="6"/>
        <v>11295.696354894741</v>
      </c>
      <c r="K9" s="79">
        <f t="shared" si="6"/>
        <v>11414.396746781935</v>
      </c>
      <c r="L9" s="79">
        <f t="shared" si="6"/>
        <v>11534.399011154766</v>
      </c>
      <c r="M9" s="79">
        <f t="shared" si="6"/>
        <v>11655.718464109425</v>
      </c>
      <c r="N9" s="79">
        <f t="shared" si="6"/>
        <v>11778.370620850494</v>
      </c>
      <c r="O9" s="100"/>
      <c r="P9" s="79">
        <f>SUM(P6,P8)</f>
        <v>11902.371198600971</v>
      </c>
      <c r="Q9" s="79">
        <f t="shared" ref="Q9:AA9" si="7">SUM(Q6,Q8)</f>
        <v>12027.736119559793</v>
      </c>
      <c r="R9" s="79">
        <f t="shared" si="7"/>
        <v>12154.481513907662</v>
      </c>
      <c r="S9" s="79">
        <f t="shared" si="7"/>
        <v>12282.623722862052</v>
      </c>
      <c r="T9" s="79">
        <f t="shared" si="7"/>
        <v>12412.179301782295</v>
      </c>
      <c r="U9" s="79">
        <f t="shared" si="7"/>
        <v>12543.165023325571</v>
      </c>
      <c r="V9" s="79">
        <f t="shared" si="7"/>
        <v>12675.597880654788</v>
      </c>
      <c r="W9" s="79">
        <f t="shared" si="7"/>
        <v>12809.495090699218</v>
      </c>
      <c r="X9" s="79">
        <f t="shared" si="7"/>
        <v>12944.874097468848</v>
      </c>
      <c r="Y9" s="79">
        <f t="shared" si="7"/>
        <v>13081.75257542343</v>
      </c>
      <c r="Z9" s="79">
        <f t="shared" si="7"/>
        <v>13220.148432897153</v>
      </c>
      <c r="AA9" s="79">
        <f t="shared" si="7"/>
        <v>13360.079815580004</v>
      </c>
      <c r="AB9" s="115"/>
      <c r="AO9" s="100"/>
      <c r="BB9" s="100"/>
      <c r="BO9" s="100"/>
    </row>
    <row r="10" spans="1:67" outlineLevel="1" x14ac:dyDescent="0.35"/>
    <row r="11" spans="1:67" outlineLevel="1" x14ac:dyDescent="0.35">
      <c r="A11" s="56" t="s">
        <v>108</v>
      </c>
      <c r="B11" s="77">
        <v>1</v>
      </c>
    </row>
    <row r="12" spans="1:67" outlineLevel="1" x14ac:dyDescent="0.35">
      <c r="A12" t="s">
        <v>136</v>
      </c>
      <c r="C12">
        <f t="shared" ref="C12:N12" si="8">$B$11*C6</f>
        <v>500</v>
      </c>
      <c r="D12">
        <f t="shared" si="8"/>
        <v>510</v>
      </c>
      <c r="E12" s="86">
        <f t="shared" si="8"/>
        <v>520.20000000000005</v>
      </c>
      <c r="F12" s="86">
        <f t="shared" si="8"/>
        <v>530.60400000000004</v>
      </c>
      <c r="G12" s="86">
        <f t="shared" si="8"/>
        <v>541.21608000000003</v>
      </c>
      <c r="H12" s="86">
        <f t="shared" si="8"/>
        <v>552.0404016</v>
      </c>
      <c r="I12" s="86">
        <f t="shared" si="8"/>
        <v>563.08120963199997</v>
      </c>
      <c r="J12" s="86">
        <f t="shared" si="8"/>
        <v>574.34283382464002</v>
      </c>
      <c r="K12" s="86">
        <f t="shared" si="8"/>
        <v>585.82969050113286</v>
      </c>
      <c r="L12" s="86">
        <f t="shared" si="8"/>
        <v>597.54628431115555</v>
      </c>
      <c r="M12" s="86">
        <f t="shared" si="8"/>
        <v>609.49720999737872</v>
      </c>
      <c r="N12" s="86">
        <f t="shared" si="8"/>
        <v>621.68715419732632</v>
      </c>
      <c r="P12" s="86">
        <f>$B$11*P6</f>
        <v>634.12089728127285</v>
      </c>
      <c r="Q12" s="86">
        <f t="shared" ref="Q12:AA12" si="9">$B$11*Q6</f>
        <v>646.80331522689835</v>
      </c>
      <c r="R12" s="86">
        <f t="shared" si="9"/>
        <v>659.73938153143638</v>
      </c>
      <c r="S12" s="86">
        <f t="shared" si="9"/>
        <v>672.93416916206513</v>
      </c>
      <c r="T12" s="86">
        <f t="shared" si="9"/>
        <v>686.39285254530648</v>
      </c>
      <c r="U12" s="86">
        <f t="shared" si="9"/>
        <v>700.12070959621258</v>
      </c>
      <c r="V12" s="86">
        <f t="shared" si="9"/>
        <v>714.12312378813681</v>
      </c>
      <c r="W12" s="86">
        <f t="shared" si="9"/>
        <v>728.40558626389952</v>
      </c>
      <c r="X12" s="86">
        <f t="shared" si="9"/>
        <v>742.97369798917748</v>
      </c>
      <c r="Y12" s="86">
        <f t="shared" si="9"/>
        <v>757.83317194896108</v>
      </c>
      <c r="Z12" s="86">
        <f t="shared" si="9"/>
        <v>772.98983538794027</v>
      </c>
      <c r="AA12" s="86">
        <f t="shared" si="9"/>
        <v>788.44963209569914</v>
      </c>
      <c r="AB12" s="116"/>
    </row>
    <row r="13" spans="1:67" outlineLevel="1" x14ac:dyDescent="0.35">
      <c r="A13" t="s">
        <v>137</v>
      </c>
      <c r="C13" s="58">
        <f t="shared" ref="C13:N13" si="10">$B$11*C8</f>
        <v>10000</v>
      </c>
      <c r="D13" s="58">
        <f t="shared" si="10"/>
        <v>10100</v>
      </c>
      <c r="E13" s="58">
        <f t="shared" si="10"/>
        <v>10201</v>
      </c>
      <c r="F13" s="58">
        <f t="shared" si="10"/>
        <v>10303.01</v>
      </c>
      <c r="G13" s="58">
        <f t="shared" si="10"/>
        <v>10406.0401</v>
      </c>
      <c r="H13" s="58">
        <f t="shared" si="10"/>
        <v>10510.100501000001</v>
      </c>
      <c r="I13" s="58">
        <f t="shared" si="10"/>
        <v>10615.20150601</v>
      </c>
      <c r="J13" s="58">
        <f t="shared" si="10"/>
        <v>10721.353521070101</v>
      </c>
      <c r="K13" s="58">
        <f t="shared" si="10"/>
        <v>10828.567056280803</v>
      </c>
      <c r="L13" s="58">
        <f t="shared" si="10"/>
        <v>10936.85272684361</v>
      </c>
      <c r="M13" s="58">
        <f t="shared" si="10"/>
        <v>11046.221254112046</v>
      </c>
      <c r="N13" s="58">
        <f t="shared" si="10"/>
        <v>11156.683466653167</v>
      </c>
      <c r="P13" s="58">
        <f>$B$11*P8</f>
        <v>11268.250301319698</v>
      </c>
      <c r="Q13" s="58">
        <f t="shared" ref="Q13:AA13" si="11">$B$11*Q8</f>
        <v>11380.932804332895</v>
      </c>
      <c r="R13" s="58">
        <f t="shared" si="11"/>
        <v>11494.742132376225</v>
      </c>
      <c r="S13" s="58">
        <f t="shared" si="11"/>
        <v>11609.689553699987</v>
      </c>
      <c r="T13" s="58">
        <f t="shared" si="11"/>
        <v>11725.786449236988</v>
      </c>
      <c r="U13" s="58">
        <f t="shared" si="11"/>
        <v>11843.044313729359</v>
      </c>
      <c r="V13" s="58">
        <f t="shared" si="11"/>
        <v>11961.474756866652</v>
      </c>
      <c r="W13" s="58">
        <f t="shared" si="11"/>
        <v>12081.089504435318</v>
      </c>
      <c r="X13" s="58">
        <f t="shared" si="11"/>
        <v>12201.900399479671</v>
      </c>
      <c r="Y13" s="58">
        <f t="shared" si="11"/>
        <v>12323.919403474469</v>
      </c>
      <c r="Z13" s="58">
        <f t="shared" si="11"/>
        <v>12447.158597509213</v>
      </c>
      <c r="AA13" s="58">
        <f t="shared" si="11"/>
        <v>12571.630183484305</v>
      </c>
      <c r="AB13" s="111"/>
    </row>
    <row r="14" spans="1:67" s="71" customFormat="1" outlineLevel="1" x14ac:dyDescent="0.35">
      <c r="A14" s="72" t="s">
        <v>109</v>
      </c>
      <c r="C14" s="79">
        <f t="shared" ref="C14:N14" si="12">SUM(C12:C13)</f>
        <v>10500</v>
      </c>
      <c r="D14" s="79">
        <f t="shared" si="12"/>
        <v>10610</v>
      </c>
      <c r="E14" s="79">
        <f t="shared" si="12"/>
        <v>10721.2</v>
      </c>
      <c r="F14" s="79">
        <f t="shared" si="12"/>
        <v>10833.614</v>
      </c>
      <c r="G14" s="79">
        <f t="shared" si="12"/>
        <v>10947.25618</v>
      </c>
      <c r="H14" s="79">
        <f t="shared" si="12"/>
        <v>11062.1409026</v>
      </c>
      <c r="I14" s="79">
        <f t="shared" si="12"/>
        <v>11178.282715642001</v>
      </c>
      <c r="J14" s="79">
        <f t="shared" si="12"/>
        <v>11295.696354894741</v>
      </c>
      <c r="K14" s="79">
        <f t="shared" si="12"/>
        <v>11414.396746781935</v>
      </c>
      <c r="L14" s="79">
        <f t="shared" si="12"/>
        <v>11534.399011154766</v>
      </c>
      <c r="M14" s="79">
        <f t="shared" si="12"/>
        <v>11655.718464109425</v>
      </c>
      <c r="N14" s="79">
        <f t="shared" si="12"/>
        <v>11778.370620850494</v>
      </c>
      <c r="O14" s="101"/>
      <c r="P14" s="79">
        <f>SUM(P12:P13)</f>
        <v>11902.371198600971</v>
      </c>
      <c r="Q14" s="79">
        <f t="shared" ref="Q14:AA14" si="13">SUM(Q12:Q13)</f>
        <v>12027.736119559793</v>
      </c>
      <c r="R14" s="79">
        <f t="shared" si="13"/>
        <v>12154.481513907662</v>
      </c>
      <c r="S14" s="79">
        <f t="shared" si="13"/>
        <v>12282.623722862052</v>
      </c>
      <c r="T14" s="79">
        <f t="shared" si="13"/>
        <v>12412.179301782295</v>
      </c>
      <c r="U14" s="79">
        <f t="shared" si="13"/>
        <v>12543.165023325571</v>
      </c>
      <c r="V14" s="79">
        <f t="shared" si="13"/>
        <v>12675.597880654788</v>
      </c>
      <c r="W14" s="79">
        <f t="shared" si="13"/>
        <v>12809.495090699218</v>
      </c>
      <c r="X14" s="79">
        <f t="shared" si="13"/>
        <v>12944.874097468848</v>
      </c>
      <c r="Y14" s="79">
        <f t="shared" si="13"/>
        <v>13081.75257542343</v>
      </c>
      <c r="Z14" s="79">
        <f t="shared" si="13"/>
        <v>13220.148432897153</v>
      </c>
      <c r="AA14" s="79">
        <f t="shared" si="13"/>
        <v>13360.079815580004</v>
      </c>
      <c r="AB14" s="115"/>
      <c r="AO14" s="101"/>
      <c r="BB14" s="101"/>
      <c r="BO14" s="101"/>
    </row>
    <row r="15" spans="1:67" outlineLevel="1" x14ac:dyDescent="0.35"/>
    <row r="16" spans="1:67" outlineLevel="1" x14ac:dyDescent="0.35">
      <c r="A16" s="56" t="s">
        <v>110</v>
      </c>
      <c r="B16" s="77">
        <v>12</v>
      </c>
    </row>
    <row r="17" spans="1:67" outlineLevel="1" x14ac:dyDescent="0.35">
      <c r="A17" t="s">
        <v>136</v>
      </c>
      <c r="C17" s="81">
        <v>0.01</v>
      </c>
      <c r="D17" s="81">
        <v>0.02</v>
      </c>
      <c r="E17" s="81">
        <v>0.03</v>
      </c>
      <c r="F17" s="81">
        <v>0.04</v>
      </c>
      <c r="G17" s="81">
        <v>0.05</v>
      </c>
      <c r="H17" s="81">
        <v>0.05</v>
      </c>
      <c r="I17" s="81">
        <v>0.05</v>
      </c>
      <c r="J17" s="81">
        <v>0.05</v>
      </c>
      <c r="K17" s="81">
        <v>0.05</v>
      </c>
      <c r="L17" s="81">
        <v>0.05</v>
      </c>
      <c r="M17" s="81">
        <v>0.05</v>
      </c>
      <c r="N17" s="81">
        <v>0.05</v>
      </c>
      <c r="P17" s="81">
        <v>0.08</v>
      </c>
      <c r="Q17" s="81">
        <v>0.08</v>
      </c>
      <c r="R17" s="81">
        <v>0.08</v>
      </c>
      <c r="S17" s="81">
        <v>0.08</v>
      </c>
      <c r="T17" s="81">
        <v>0.08</v>
      </c>
      <c r="U17" s="81">
        <v>0.08</v>
      </c>
      <c r="V17" s="81">
        <v>0.08</v>
      </c>
      <c r="W17" s="81">
        <v>0.08</v>
      </c>
      <c r="X17" s="81">
        <v>0.08</v>
      </c>
      <c r="Y17" s="81">
        <v>0.08</v>
      </c>
      <c r="Z17" s="81">
        <v>0.08</v>
      </c>
      <c r="AA17" s="81">
        <v>0.08</v>
      </c>
      <c r="AB17" s="117"/>
    </row>
    <row r="18" spans="1:67" outlineLevel="1" x14ac:dyDescent="0.35">
      <c r="A18" t="s">
        <v>137</v>
      </c>
      <c r="C18" s="81">
        <v>0.01</v>
      </c>
      <c r="D18" s="81">
        <v>0.04</v>
      </c>
      <c r="E18" s="81">
        <v>0.04</v>
      </c>
      <c r="F18" s="81">
        <v>0.04</v>
      </c>
      <c r="G18" s="81">
        <v>0.05</v>
      </c>
      <c r="H18" s="81">
        <v>0.05</v>
      </c>
      <c r="I18" s="81">
        <v>0.05</v>
      </c>
      <c r="J18" s="81">
        <v>0.06</v>
      </c>
      <c r="K18" s="81">
        <v>0.06</v>
      </c>
      <c r="L18" s="81">
        <v>0.06</v>
      </c>
      <c r="M18" s="81">
        <v>0.06</v>
      </c>
      <c r="N18" s="81">
        <v>0.06</v>
      </c>
      <c r="P18" s="81">
        <v>8.5000000000000006E-2</v>
      </c>
      <c r="Q18" s="81">
        <v>8.5000000000000006E-2</v>
      </c>
      <c r="R18" s="81">
        <v>8.5000000000000006E-2</v>
      </c>
      <c r="S18" s="81">
        <v>8.5000000000000006E-2</v>
      </c>
      <c r="T18" s="81">
        <v>8.5000000000000006E-2</v>
      </c>
      <c r="U18" s="81">
        <v>8.5000000000000006E-2</v>
      </c>
      <c r="V18" s="81">
        <v>8.5000000000000006E-2</v>
      </c>
      <c r="W18" s="81">
        <v>8.5000000000000006E-2</v>
      </c>
      <c r="X18" s="81">
        <v>8.5000000000000006E-2</v>
      </c>
      <c r="Y18" s="81">
        <v>8.5000000000000006E-2</v>
      </c>
      <c r="Z18" s="81">
        <v>8.5000000000000006E-2</v>
      </c>
      <c r="AA18" s="81">
        <v>8.5000000000000006E-2</v>
      </c>
      <c r="AB18" s="117"/>
    </row>
    <row r="19" spans="1:67" s="71" customFormat="1" outlineLevel="1" x14ac:dyDescent="0.35">
      <c r="A19" s="72" t="s">
        <v>106</v>
      </c>
      <c r="C19" s="88">
        <f t="shared" ref="C19:N19" si="14">C24/C14</f>
        <v>0.01</v>
      </c>
      <c r="D19" s="88">
        <f t="shared" si="14"/>
        <v>3.9038642789820922E-2</v>
      </c>
      <c r="E19" s="88">
        <f t="shared" si="14"/>
        <v>3.9514793120173114E-2</v>
      </c>
      <c r="F19" s="88">
        <f t="shared" si="14"/>
        <v>0.04</v>
      </c>
      <c r="G19" s="88">
        <f t="shared" si="14"/>
        <v>4.9999999999999996E-2</v>
      </c>
      <c r="H19" s="88">
        <f t="shared" si="14"/>
        <v>0.05</v>
      </c>
      <c r="I19" s="88">
        <f t="shared" si="14"/>
        <v>0.05</v>
      </c>
      <c r="J19" s="88">
        <f t="shared" si="14"/>
        <v>5.9491538356043219E-2</v>
      </c>
      <c r="K19" s="88">
        <f t="shared" si="14"/>
        <v>5.9486762460165668E-2</v>
      </c>
      <c r="L19" s="88">
        <f t="shared" si="14"/>
        <v>5.9481944153541702E-2</v>
      </c>
      <c r="M19" s="88">
        <f t="shared" si="14"/>
        <v>5.9477083105709733E-2</v>
      </c>
      <c r="N19" s="88">
        <f t="shared" si="14"/>
        <v>5.9472178984505047E-2</v>
      </c>
      <c r="O19" s="101"/>
      <c r="P19" s="88">
        <f>P24/P14</f>
        <v>8.4733615728034173E-2</v>
      </c>
      <c r="Q19" s="88">
        <f t="shared" ref="Q19:AA19" si="15">Q24/Q14</f>
        <v>8.4731120092427434E-2</v>
      </c>
      <c r="R19" s="88">
        <f t="shared" si="15"/>
        <v>8.4728602416821924E-2</v>
      </c>
      <c r="S19" s="88">
        <f t="shared" si="15"/>
        <v>8.4726062531774254E-2</v>
      </c>
      <c r="T19" s="88">
        <f t="shared" si="15"/>
        <v>8.4723500267013252E-2</v>
      </c>
      <c r="U19" s="88">
        <f t="shared" si="15"/>
        <v>8.4720915451445375E-2</v>
      </c>
      <c r="V19" s="88">
        <f t="shared" si="15"/>
        <v>8.4718307913160457E-2</v>
      </c>
      <c r="W19" s="88">
        <f t="shared" si="15"/>
        <v>8.471567747943759E-2</v>
      </c>
      <c r="X19" s="88">
        <f t="shared" si="15"/>
        <v>8.4713023976751359E-2</v>
      </c>
      <c r="Y19" s="88">
        <f t="shared" si="15"/>
        <v>8.4710347230778277E-2</v>
      </c>
      <c r="Z19" s="88">
        <f t="shared" si="15"/>
        <v>8.4707647066403421E-2</v>
      </c>
      <c r="AA19" s="88">
        <f t="shared" si="15"/>
        <v>8.470492330772747E-2</v>
      </c>
      <c r="AB19" s="118"/>
      <c r="AO19" s="101"/>
      <c r="BB19" s="101"/>
      <c r="BO19" s="101"/>
    </row>
    <row r="20" spans="1:67" outlineLevel="1" x14ac:dyDescent="0.35"/>
    <row r="21" spans="1:67" outlineLevel="1" x14ac:dyDescent="0.35">
      <c r="A21" s="56" t="s">
        <v>111</v>
      </c>
    </row>
    <row r="22" spans="1:67" outlineLevel="1" x14ac:dyDescent="0.35">
      <c r="A22" t="s">
        <v>136</v>
      </c>
      <c r="C22">
        <f>C12*C17</f>
        <v>5</v>
      </c>
      <c r="D22" s="86">
        <f t="shared" ref="D22:N22" si="16">D12*D17</f>
        <v>10.200000000000001</v>
      </c>
      <c r="E22" s="86">
        <f t="shared" si="16"/>
        <v>15.606000000000002</v>
      </c>
      <c r="F22" s="86">
        <f t="shared" si="16"/>
        <v>21.224160000000001</v>
      </c>
      <c r="G22" s="86">
        <f t="shared" si="16"/>
        <v>27.060804000000005</v>
      </c>
      <c r="H22" s="86">
        <f t="shared" si="16"/>
        <v>27.602020080000003</v>
      </c>
      <c r="I22" s="86">
        <f t="shared" si="16"/>
        <v>28.154060481599998</v>
      </c>
      <c r="J22" s="86">
        <f t="shared" si="16"/>
        <v>28.717141691232001</v>
      </c>
      <c r="K22" s="86">
        <f t="shared" si="16"/>
        <v>29.291484525056646</v>
      </c>
      <c r="L22" s="86">
        <f t="shared" si="16"/>
        <v>29.877314215557778</v>
      </c>
      <c r="M22" s="86">
        <f t="shared" si="16"/>
        <v>30.474860499868939</v>
      </c>
      <c r="N22" s="86">
        <f t="shared" si="16"/>
        <v>31.084357709866318</v>
      </c>
      <c r="P22" s="86">
        <f>P12*P17</f>
        <v>50.729671782501832</v>
      </c>
      <c r="Q22" s="86">
        <f t="shared" ref="Q22:AA22" si="17">Q12*Q17</f>
        <v>51.744265218151867</v>
      </c>
      <c r="R22" s="86">
        <f t="shared" si="17"/>
        <v>52.779150522514911</v>
      </c>
      <c r="S22" s="86">
        <f t="shared" si="17"/>
        <v>53.83473353296521</v>
      </c>
      <c r="T22" s="86">
        <f t="shared" si="17"/>
        <v>54.911428203624517</v>
      </c>
      <c r="U22" s="86">
        <f t="shared" si="17"/>
        <v>56.00965676769701</v>
      </c>
      <c r="V22" s="86">
        <f t="shared" si="17"/>
        <v>57.129849903050946</v>
      </c>
      <c r="W22" s="86">
        <f t="shared" si="17"/>
        <v>58.272446901111962</v>
      </c>
      <c r="X22" s="86">
        <f t="shared" si="17"/>
        <v>59.4378958391342</v>
      </c>
      <c r="Y22" s="86">
        <f t="shared" si="17"/>
        <v>60.626653755916891</v>
      </c>
      <c r="Z22" s="86">
        <f t="shared" si="17"/>
        <v>61.839186831035221</v>
      </c>
      <c r="AA22" s="86">
        <f t="shared" si="17"/>
        <v>63.075970567655936</v>
      </c>
      <c r="AB22" s="116"/>
    </row>
    <row r="23" spans="1:67" outlineLevel="1" x14ac:dyDescent="0.35">
      <c r="A23" t="s">
        <v>137</v>
      </c>
      <c r="C23" s="58">
        <f t="shared" ref="C23:N23" si="18">C13*C18</f>
        <v>100</v>
      </c>
      <c r="D23" s="58">
        <f t="shared" si="18"/>
        <v>404</v>
      </c>
      <c r="E23" s="58">
        <f t="shared" si="18"/>
        <v>408.04</v>
      </c>
      <c r="F23" s="58">
        <f t="shared" si="18"/>
        <v>412.12040000000002</v>
      </c>
      <c r="G23" s="58">
        <f t="shared" si="18"/>
        <v>520.30200500000001</v>
      </c>
      <c r="H23" s="58">
        <f t="shared" si="18"/>
        <v>525.50502505000009</v>
      </c>
      <c r="I23" s="58">
        <f t="shared" si="18"/>
        <v>530.76007530050003</v>
      </c>
      <c r="J23" s="58">
        <f t="shared" si="18"/>
        <v>643.28121126420604</v>
      </c>
      <c r="K23" s="58">
        <f t="shared" si="18"/>
        <v>649.7140233768481</v>
      </c>
      <c r="L23" s="58">
        <f t="shared" si="18"/>
        <v>656.21116361061661</v>
      </c>
      <c r="M23" s="58">
        <f t="shared" si="18"/>
        <v>662.77327524672273</v>
      </c>
      <c r="N23" s="58">
        <f t="shared" si="18"/>
        <v>669.40100799919003</v>
      </c>
      <c r="P23" s="58">
        <f>P13*P18</f>
        <v>957.80127561217444</v>
      </c>
      <c r="Q23" s="58">
        <f t="shared" ref="Q23:AA23" si="19">Q13*Q18</f>
        <v>967.3792883682961</v>
      </c>
      <c r="R23" s="58">
        <f t="shared" si="19"/>
        <v>977.05308125197917</v>
      </c>
      <c r="S23" s="58">
        <f t="shared" si="19"/>
        <v>986.823612064499</v>
      </c>
      <c r="T23" s="58">
        <f t="shared" si="19"/>
        <v>996.69184818514407</v>
      </c>
      <c r="U23" s="58">
        <f t="shared" si="19"/>
        <v>1006.6587666669956</v>
      </c>
      <c r="V23" s="58">
        <f t="shared" si="19"/>
        <v>1016.7253543336655</v>
      </c>
      <c r="W23" s="58">
        <f t="shared" si="19"/>
        <v>1026.8926078770021</v>
      </c>
      <c r="X23" s="58">
        <f t="shared" si="19"/>
        <v>1037.161533955772</v>
      </c>
      <c r="Y23" s="58">
        <f t="shared" si="19"/>
        <v>1047.5331492953298</v>
      </c>
      <c r="Z23" s="58">
        <f t="shared" si="19"/>
        <v>1058.0084807882831</v>
      </c>
      <c r="AA23" s="58">
        <f t="shared" si="19"/>
        <v>1068.5885655961661</v>
      </c>
      <c r="AB23" s="111"/>
    </row>
    <row r="24" spans="1:67" s="71" customFormat="1" outlineLevel="1" x14ac:dyDescent="0.35">
      <c r="A24" s="72" t="s">
        <v>112</v>
      </c>
      <c r="C24" s="79">
        <f t="shared" ref="C24:N24" si="20">SUM(C22:C23)</f>
        <v>105</v>
      </c>
      <c r="D24" s="79">
        <f t="shared" si="20"/>
        <v>414.2</v>
      </c>
      <c r="E24" s="79">
        <f t="shared" si="20"/>
        <v>423.64600000000002</v>
      </c>
      <c r="F24" s="79">
        <f t="shared" si="20"/>
        <v>433.34456</v>
      </c>
      <c r="G24" s="79">
        <f t="shared" si="20"/>
        <v>547.36280899999997</v>
      </c>
      <c r="H24" s="79">
        <f t="shared" si="20"/>
        <v>553.10704513000007</v>
      </c>
      <c r="I24" s="79">
        <f t="shared" si="20"/>
        <v>558.91413578210006</v>
      </c>
      <c r="J24" s="79">
        <f t="shared" si="20"/>
        <v>671.99835295543801</v>
      </c>
      <c r="K24" s="79">
        <f t="shared" si="20"/>
        <v>679.00550790190471</v>
      </c>
      <c r="L24" s="79">
        <f t="shared" si="20"/>
        <v>686.08847782617443</v>
      </c>
      <c r="M24" s="79">
        <f t="shared" si="20"/>
        <v>693.24813574659163</v>
      </c>
      <c r="N24" s="79">
        <f t="shared" si="20"/>
        <v>700.4853657090564</v>
      </c>
      <c r="O24" s="101"/>
      <c r="P24" s="79">
        <f>SUM(P22:P23)</f>
        <v>1008.5309473946762</v>
      </c>
      <c r="Q24" s="79">
        <f t="shared" ref="Q24:AA24" si="21">SUM(Q22:Q23)</f>
        <v>1019.123553586448</v>
      </c>
      <c r="R24" s="79">
        <f t="shared" si="21"/>
        <v>1029.8322317744942</v>
      </c>
      <c r="S24" s="79">
        <f t="shared" si="21"/>
        <v>1040.6583455974642</v>
      </c>
      <c r="T24" s="79">
        <f t="shared" si="21"/>
        <v>1051.6032763887686</v>
      </c>
      <c r="U24" s="79">
        <f t="shared" si="21"/>
        <v>1062.6684234346926</v>
      </c>
      <c r="V24" s="79">
        <f t="shared" si="21"/>
        <v>1073.8552042367164</v>
      </c>
      <c r="W24" s="79">
        <f t="shared" si="21"/>
        <v>1085.1650547781142</v>
      </c>
      <c r="X24" s="79">
        <f t="shared" si="21"/>
        <v>1096.5994297949062</v>
      </c>
      <c r="Y24" s="79">
        <f t="shared" si="21"/>
        <v>1108.1598030512469</v>
      </c>
      <c r="Z24" s="79">
        <f t="shared" si="21"/>
        <v>1119.8476676193184</v>
      </c>
      <c r="AA24" s="79">
        <f t="shared" si="21"/>
        <v>1131.664536163822</v>
      </c>
      <c r="AB24" s="115"/>
      <c r="AO24" s="101"/>
      <c r="BB24" s="101"/>
      <c r="BO24" s="101"/>
    </row>
    <row r="25" spans="1:67" outlineLevel="1" x14ac:dyDescent="0.35"/>
    <row r="26" spans="1:67" outlineLevel="1" x14ac:dyDescent="0.35">
      <c r="A26" s="56" t="s">
        <v>113</v>
      </c>
    </row>
    <row r="27" spans="1:67" outlineLevel="1" x14ac:dyDescent="0.35">
      <c r="A27" t="s">
        <v>138</v>
      </c>
      <c r="C27" s="78">
        <v>3000</v>
      </c>
      <c r="D27" s="78">
        <v>3000</v>
      </c>
      <c r="E27" s="78">
        <v>3000</v>
      </c>
      <c r="F27" s="78">
        <v>3000</v>
      </c>
      <c r="G27" s="78">
        <v>3000</v>
      </c>
      <c r="H27" s="78">
        <v>3000</v>
      </c>
      <c r="I27" s="78">
        <v>3000</v>
      </c>
      <c r="J27" s="78">
        <v>3000</v>
      </c>
      <c r="K27" s="78">
        <v>3000</v>
      </c>
      <c r="L27" s="78">
        <v>3000</v>
      </c>
      <c r="M27" s="78">
        <v>3000</v>
      </c>
      <c r="N27" s="78">
        <v>3000</v>
      </c>
      <c r="P27" s="78">
        <v>3000</v>
      </c>
      <c r="Q27" s="78">
        <v>3000</v>
      </c>
      <c r="R27" s="78">
        <v>3000</v>
      </c>
      <c r="S27" s="78">
        <v>3000</v>
      </c>
      <c r="T27" s="78">
        <v>3000</v>
      </c>
      <c r="U27" s="78">
        <v>3500</v>
      </c>
      <c r="V27" s="78">
        <v>3500</v>
      </c>
      <c r="W27" s="78">
        <v>3500</v>
      </c>
      <c r="X27" s="78">
        <v>3500</v>
      </c>
      <c r="Y27" s="78">
        <v>3500</v>
      </c>
      <c r="Z27" s="78">
        <v>3500</v>
      </c>
      <c r="AA27" s="78">
        <v>3500</v>
      </c>
      <c r="AB27" s="114"/>
      <c r="AC27" s="78"/>
    </row>
    <row r="28" spans="1:67" outlineLevel="1" x14ac:dyDescent="0.35">
      <c r="A28" t="s">
        <v>139</v>
      </c>
      <c r="C28" s="92">
        <v>1</v>
      </c>
      <c r="D28" s="92">
        <v>1</v>
      </c>
      <c r="E28" s="92">
        <v>1</v>
      </c>
      <c r="F28" s="92">
        <v>1</v>
      </c>
      <c r="G28" s="92">
        <v>1</v>
      </c>
      <c r="H28" s="92">
        <v>1</v>
      </c>
      <c r="I28" s="92">
        <v>1</v>
      </c>
      <c r="J28" s="92">
        <v>1</v>
      </c>
      <c r="K28" s="92">
        <v>1</v>
      </c>
      <c r="L28" s="92">
        <v>1</v>
      </c>
      <c r="M28" s="92">
        <v>1</v>
      </c>
      <c r="N28" s="92">
        <v>1</v>
      </c>
      <c r="P28" s="92">
        <v>1</v>
      </c>
      <c r="Q28" s="92">
        <v>1</v>
      </c>
      <c r="R28" s="92">
        <v>1</v>
      </c>
      <c r="S28" s="92">
        <v>1</v>
      </c>
      <c r="T28" s="92">
        <v>1</v>
      </c>
      <c r="U28" s="92">
        <v>1</v>
      </c>
      <c r="V28" s="92">
        <v>1</v>
      </c>
      <c r="W28" s="92">
        <v>1</v>
      </c>
      <c r="X28" s="92">
        <v>1</v>
      </c>
      <c r="Y28" s="92">
        <v>1</v>
      </c>
      <c r="Z28" s="92">
        <v>1</v>
      </c>
      <c r="AA28" s="92">
        <v>1</v>
      </c>
      <c r="AB28" s="119"/>
    </row>
    <row r="29" spans="1:67" outlineLevel="1" x14ac:dyDescent="0.35">
      <c r="A29" t="s">
        <v>140</v>
      </c>
      <c r="C29" s="82">
        <v>0.15</v>
      </c>
      <c r="D29" s="82">
        <v>0.15</v>
      </c>
      <c r="E29" s="82">
        <v>0.15</v>
      </c>
      <c r="F29" s="82">
        <v>0.15</v>
      </c>
      <c r="G29" s="82">
        <v>0.1</v>
      </c>
      <c r="H29" s="82">
        <v>0.1</v>
      </c>
      <c r="I29" s="82">
        <v>0.1</v>
      </c>
      <c r="J29" s="82">
        <v>0.05</v>
      </c>
      <c r="K29" s="82">
        <v>0.05</v>
      </c>
      <c r="L29" s="82">
        <v>0.05</v>
      </c>
      <c r="M29" s="82">
        <v>0.05</v>
      </c>
      <c r="N29" s="82">
        <v>0.05</v>
      </c>
      <c r="P29" s="82">
        <v>0.05</v>
      </c>
      <c r="Q29" s="82">
        <v>0.05</v>
      </c>
      <c r="R29" s="82">
        <v>0.05</v>
      </c>
      <c r="S29" s="82">
        <v>0.05</v>
      </c>
      <c r="T29" s="82">
        <v>0.05</v>
      </c>
      <c r="U29" s="82">
        <v>0.05</v>
      </c>
      <c r="V29" s="82">
        <v>0.05</v>
      </c>
      <c r="W29" s="82">
        <v>0.05</v>
      </c>
      <c r="X29" s="82">
        <v>0.05</v>
      </c>
      <c r="Y29" s="82">
        <v>0.05</v>
      </c>
      <c r="Z29" s="82">
        <v>0.05</v>
      </c>
      <c r="AA29" s="82">
        <v>0.05</v>
      </c>
      <c r="AB29" s="112"/>
    </row>
    <row r="30" spans="1:67" outlineLevel="1" x14ac:dyDescent="0.35">
      <c r="A30" t="s">
        <v>141</v>
      </c>
      <c r="C30" s="82">
        <v>0.1</v>
      </c>
      <c r="D30" s="82">
        <v>0.1</v>
      </c>
      <c r="E30" s="82">
        <v>0.1</v>
      </c>
      <c r="F30" s="82">
        <v>0.1</v>
      </c>
      <c r="G30" s="82">
        <v>0.1</v>
      </c>
      <c r="H30" s="82">
        <v>0.1</v>
      </c>
      <c r="I30" s="82">
        <v>0.1</v>
      </c>
      <c r="J30" s="82">
        <v>0.05</v>
      </c>
      <c r="K30" s="82">
        <v>0.05</v>
      </c>
      <c r="L30" s="82">
        <v>0.05</v>
      </c>
      <c r="M30" s="82">
        <v>0.05</v>
      </c>
      <c r="N30" s="82">
        <v>0.05</v>
      </c>
      <c r="P30" s="82">
        <v>0.05</v>
      </c>
      <c r="Q30" s="82">
        <v>0.05</v>
      </c>
      <c r="R30" s="82">
        <v>0.05</v>
      </c>
      <c r="S30" s="82">
        <v>0.05</v>
      </c>
      <c r="T30" s="82">
        <v>0.05</v>
      </c>
      <c r="U30" s="82">
        <v>0.05</v>
      </c>
      <c r="V30" s="82">
        <v>0.05</v>
      </c>
      <c r="W30" s="82">
        <v>0.05</v>
      </c>
      <c r="X30" s="82">
        <v>0.05</v>
      </c>
      <c r="Y30" s="82">
        <v>0.05</v>
      </c>
      <c r="Z30" s="82">
        <v>0.05</v>
      </c>
      <c r="AA30" s="82">
        <v>0.05</v>
      </c>
      <c r="AB30" s="112"/>
    </row>
    <row r="31" spans="1:67" outlineLevel="1" x14ac:dyDescent="0.35">
      <c r="A31" t="s">
        <v>228</v>
      </c>
      <c r="C31" s="82">
        <v>0.5</v>
      </c>
      <c r="D31" s="82">
        <v>0.5</v>
      </c>
      <c r="E31" s="82">
        <v>0.5</v>
      </c>
      <c r="F31" s="82">
        <v>0.5</v>
      </c>
      <c r="G31" s="82">
        <v>0.5</v>
      </c>
      <c r="H31" s="82">
        <v>0.5</v>
      </c>
      <c r="I31" s="82">
        <v>0.5</v>
      </c>
      <c r="J31" s="82">
        <v>0.5</v>
      </c>
      <c r="K31" s="82">
        <v>0.5</v>
      </c>
      <c r="L31" s="82">
        <v>0.5</v>
      </c>
      <c r="M31" s="82">
        <v>0.5</v>
      </c>
      <c r="N31" s="82">
        <v>0.5</v>
      </c>
      <c r="P31" s="82">
        <v>0.5</v>
      </c>
      <c r="Q31" s="82">
        <v>0.5</v>
      </c>
      <c r="R31" s="82">
        <v>0.5</v>
      </c>
      <c r="S31" s="82">
        <v>0.5</v>
      </c>
      <c r="T31" s="82">
        <v>0.5</v>
      </c>
      <c r="U31" s="82">
        <v>0.5</v>
      </c>
      <c r="V31" s="82">
        <v>0.5</v>
      </c>
      <c r="W31" s="82">
        <v>0.5</v>
      </c>
      <c r="X31" s="82">
        <v>0.5</v>
      </c>
      <c r="Y31" s="82">
        <v>0.5</v>
      </c>
      <c r="Z31" s="82">
        <v>0.5</v>
      </c>
      <c r="AA31" s="82">
        <v>0.5</v>
      </c>
      <c r="AB31" s="112"/>
    </row>
    <row r="32" spans="1:67" outlineLevel="1" x14ac:dyDescent="0.35"/>
    <row r="33" spans="1:67" outlineLevel="1" x14ac:dyDescent="0.35">
      <c r="A33" t="s">
        <v>142</v>
      </c>
      <c r="C33" s="58">
        <f t="shared" ref="C33:N33" si="22">C27*C28</f>
        <v>3000</v>
      </c>
      <c r="D33" s="58">
        <f t="shared" si="22"/>
        <v>3000</v>
      </c>
      <c r="E33" s="58">
        <f t="shared" si="22"/>
        <v>3000</v>
      </c>
      <c r="F33" s="58">
        <f t="shared" si="22"/>
        <v>3000</v>
      </c>
      <c r="G33" s="58">
        <f t="shared" si="22"/>
        <v>3000</v>
      </c>
      <c r="H33" s="58">
        <f t="shared" si="22"/>
        <v>3000</v>
      </c>
      <c r="I33" s="58">
        <f t="shared" si="22"/>
        <v>3000</v>
      </c>
      <c r="J33" s="58">
        <f t="shared" si="22"/>
        <v>3000</v>
      </c>
      <c r="K33" s="58">
        <f t="shared" si="22"/>
        <v>3000</v>
      </c>
      <c r="L33" s="58">
        <f t="shared" si="22"/>
        <v>3000</v>
      </c>
      <c r="M33" s="58">
        <f t="shared" si="22"/>
        <v>3000</v>
      </c>
      <c r="N33" s="58">
        <f t="shared" si="22"/>
        <v>3000</v>
      </c>
      <c r="P33" s="58">
        <f>P27*P28</f>
        <v>3000</v>
      </c>
      <c r="Q33" s="58">
        <f t="shared" ref="Q33:AA33" si="23">Q27*Q28</f>
        <v>3000</v>
      </c>
      <c r="R33" s="58">
        <f t="shared" si="23"/>
        <v>3000</v>
      </c>
      <c r="S33" s="58">
        <f t="shared" si="23"/>
        <v>3000</v>
      </c>
      <c r="T33" s="58">
        <f t="shared" si="23"/>
        <v>3000</v>
      </c>
      <c r="U33" s="58">
        <f t="shared" si="23"/>
        <v>3500</v>
      </c>
      <c r="V33" s="58">
        <f t="shared" si="23"/>
        <v>3500</v>
      </c>
      <c r="W33" s="58">
        <f t="shared" si="23"/>
        <v>3500</v>
      </c>
      <c r="X33" s="58">
        <f t="shared" si="23"/>
        <v>3500</v>
      </c>
      <c r="Y33" s="58">
        <f t="shared" si="23"/>
        <v>3500</v>
      </c>
      <c r="Z33" s="58">
        <f t="shared" si="23"/>
        <v>3500</v>
      </c>
      <c r="AA33" s="58">
        <f t="shared" si="23"/>
        <v>3500</v>
      </c>
      <c r="AB33" s="111"/>
    </row>
    <row r="34" spans="1:67" outlineLevel="1" x14ac:dyDescent="0.35">
      <c r="A34" t="s">
        <v>143</v>
      </c>
      <c r="C34" s="58">
        <f>C33*(1-C30-C29)</f>
        <v>2250</v>
      </c>
      <c r="D34" s="58">
        <f t="shared" ref="D34:N34" si="24">D33*(1-D30-D29)</f>
        <v>2250</v>
      </c>
      <c r="E34" s="58">
        <f t="shared" si="24"/>
        <v>2250</v>
      </c>
      <c r="F34" s="58">
        <f t="shared" si="24"/>
        <v>2250</v>
      </c>
      <c r="G34" s="58">
        <f t="shared" si="24"/>
        <v>2400</v>
      </c>
      <c r="H34" s="58">
        <f t="shared" si="24"/>
        <v>2400</v>
      </c>
      <c r="I34" s="58">
        <f t="shared" si="24"/>
        <v>2400</v>
      </c>
      <c r="J34" s="58">
        <f t="shared" si="24"/>
        <v>2699.9999999999995</v>
      </c>
      <c r="K34" s="58">
        <f t="shared" si="24"/>
        <v>2699.9999999999995</v>
      </c>
      <c r="L34" s="58">
        <f t="shared" si="24"/>
        <v>2699.9999999999995</v>
      </c>
      <c r="M34" s="58">
        <f t="shared" si="24"/>
        <v>2699.9999999999995</v>
      </c>
      <c r="N34" s="58">
        <f t="shared" si="24"/>
        <v>2699.9999999999995</v>
      </c>
      <c r="P34" s="58">
        <f>P33*(1-P30-P29)</f>
        <v>2699.9999999999995</v>
      </c>
      <c r="Q34" s="58">
        <f t="shared" ref="Q34:AA34" si="25">Q33*(1-Q30-Q29)</f>
        <v>2699.9999999999995</v>
      </c>
      <c r="R34" s="58">
        <f t="shared" si="25"/>
        <v>2699.9999999999995</v>
      </c>
      <c r="S34" s="58">
        <f t="shared" si="25"/>
        <v>2699.9999999999995</v>
      </c>
      <c r="T34" s="58">
        <f t="shared" si="25"/>
        <v>2699.9999999999995</v>
      </c>
      <c r="U34" s="58">
        <f t="shared" si="25"/>
        <v>3149.9999999999995</v>
      </c>
      <c r="V34" s="58">
        <f t="shared" si="25"/>
        <v>3149.9999999999995</v>
      </c>
      <c r="W34" s="58">
        <f t="shared" si="25"/>
        <v>3149.9999999999995</v>
      </c>
      <c r="X34" s="58">
        <f t="shared" si="25"/>
        <v>3149.9999999999995</v>
      </c>
      <c r="Y34" s="58">
        <f t="shared" si="25"/>
        <v>3149.9999999999995</v>
      </c>
      <c r="Z34" s="58">
        <f t="shared" si="25"/>
        <v>3149.9999999999995</v>
      </c>
      <c r="AA34" s="58">
        <f t="shared" si="25"/>
        <v>3149.9999999999995</v>
      </c>
      <c r="AB34" s="111"/>
    </row>
    <row r="35" spans="1:67" outlineLevel="1" x14ac:dyDescent="0.35"/>
    <row r="36" spans="1:67" outlineLevel="1" x14ac:dyDescent="0.35">
      <c r="A36" s="56" t="s">
        <v>144</v>
      </c>
    </row>
    <row r="37" spans="1:67" outlineLevel="1" x14ac:dyDescent="0.35">
      <c r="A37" t="s">
        <v>114</v>
      </c>
      <c r="C37" s="82">
        <v>0.98</v>
      </c>
      <c r="D37" s="82">
        <v>0.98</v>
      </c>
      <c r="E37" s="82">
        <v>0.98</v>
      </c>
      <c r="F37" s="82">
        <v>0.98</v>
      </c>
      <c r="G37" s="82">
        <v>0.95</v>
      </c>
      <c r="H37" s="82">
        <v>0.95</v>
      </c>
      <c r="I37" s="82">
        <v>0.95</v>
      </c>
      <c r="J37" s="82">
        <v>0.93</v>
      </c>
      <c r="K37" s="82">
        <v>0.93</v>
      </c>
      <c r="L37" s="82">
        <v>0.93</v>
      </c>
      <c r="M37" s="82">
        <v>0.93</v>
      </c>
      <c r="N37" s="82">
        <v>0.93</v>
      </c>
      <c r="P37" s="82">
        <v>0.8</v>
      </c>
      <c r="Q37" s="82">
        <v>0.8</v>
      </c>
      <c r="R37" s="82">
        <v>0.8</v>
      </c>
      <c r="S37" s="82">
        <v>0.8</v>
      </c>
      <c r="T37" s="82">
        <v>0.8</v>
      </c>
      <c r="U37" s="82">
        <v>0.8</v>
      </c>
      <c r="V37" s="82">
        <v>0.8</v>
      </c>
      <c r="W37" s="82">
        <v>0.8</v>
      </c>
      <c r="X37" s="82">
        <v>0.8</v>
      </c>
      <c r="Y37" s="82">
        <v>0.8</v>
      </c>
      <c r="Z37" s="82">
        <v>0.8</v>
      </c>
      <c r="AA37" s="82">
        <v>0.8</v>
      </c>
      <c r="AB37" s="112"/>
    </row>
    <row r="38" spans="1:67" outlineLevel="1" x14ac:dyDescent="0.35">
      <c r="A38" t="s">
        <v>145</v>
      </c>
      <c r="C38" s="78">
        <v>0</v>
      </c>
      <c r="D38" s="93">
        <f t="shared" ref="D38:N38" si="26">C42</f>
        <v>2.1000000000000085</v>
      </c>
      <c r="E38" s="93">
        <f t="shared" si="26"/>
        <v>8.3260000000000218</v>
      </c>
      <c r="F38" s="93">
        <f t="shared" si="26"/>
        <v>8.639440000000036</v>
      </c>
      <c r="G38" s="93">
        <f t="shared" si="26"/>
        <v>8.8396799999999871</v>
      </c>
      <c r="H38" s="93">
        <f t="shared" si="26"/>
        <v>27.810124449999989</v>
      </c>
      <c r="I38" s="93">
        <f t="shared" si="26"/>
        <v>29.045858479000003</v>
      </c>
      <c r="J38" s="93">
        <f t="shared" si="26"/>
        <v>29.397999713055015</v>
      </c>
      <c r="K38" s="93">
        <f t="shared" si="26"/>
        <v>49.097744686794499</v>
      </c>
      <c r="L38" s="93">
        <f t="shared" si="26"/>
        <v>50.967227681208897</v>
      </c>
      <c r="M38" s="93">
        <f t="shared" si="26"/>
        <v>51.593899385516806</v>
      </c>
      <c r="N38" s="93">
        <f t="shared" si="26"/>
        <v>52.138942459247573</v>
      </c>
      <c r="P38" s="93">
        <f>N42</f>
        <v>52.683701571781285</v>
      </c>
      <c r="Q38" s="93">
        <f>P42</f>
        <v>212.24292979329141</v>
      </c>
      <c r="R38" s="93">
        <f t="shared" ref="R38:AA38" si="27">Q42</f>
        <v>246.27329667594779</v>
      </c>
      <c r="S38" s="93">
        <f t="shared" si="27"/>
        <v>255.22110569008828</v>
      </c>
      <c r="T38" s="93">
        <f t="shared" si="27"/>
        <v>259.17589025751045</v>
      </c>
      <c r="U38" s="93">
        <f t="shared" si="27"/>
        <v>262.15583332925576</v>
      </c>
      <c r="V38" s="93">
        <f t="shared" si="27"/>
        <v>264.96485135278954</v>
      </c>
      <c r="W38" s="93">
        <f t="shared" si="27"/>
        <v>267.76401111790119</v>
      </c>
      <c r="X38" s="93">
        <f t="shared" si="27"/>
        <v>270.58581317920311</v>
      </c>
      <c r="Y38" s="93">
        <f t="shared" si="27"/>
        <v>273.43704859482182</v>
      </c>
      <c r="Z38" s="93">
        <f t="shared" si="27"/>
        <v>276.3193703292136</v>
      </c>
      <c r="AA38" s="93">
        <f t="shared" si="27"/>
        <v>279.2334075897063</v>
      </c>
      <c r="AB38" s="120"/>
    </row>
    <row r="39" spans="1:67" outlineLevel="1" x14ac:dyDescent="0.35">
      <c r="A39" t="s">
        <v>146</v>
      </c>
      <c r="C39" s="58">
        <f t="shared" ref="C39:N39" si="28">SUM(C22:C23)</f>
        <v>105</v>
      </c>
      <c r="D39" s="58">
        <f t="shared" si="28"/>
        <v>414.2</v>
      </c>
      <c r="E39" s="58">
        <f t="shared" si="28"/>
        <v>423.64600000000002</v>
      </c>
      <c r="F39" s="58">
        <f t="shared" si="28"/>
        <v>433.34456</v>
      </c>
      <c r="G39" s="58">
        <f t="shared" si="28"/>
        <v>547.36280899999997</v>
      </c>
      <c r="H39" s="58">
        <f t="shared" si="28"/>
        <v>553.10704513000007</v>
      </c>
      <c r="I39" s="58">
        <f t="shared" si="28"/>
        <v>558.91413578210006</v>
      </c>
      <c r="J39" s="58">
        <f t="shared" si="28"/>
        <v>671.99835295543801</v>
      </c>
      <c r="K39" s="58">
        <f t="shared" si="28"/>
        <v>679.00550790190471</v>
      </c>
      <c r="L39" s="58">
        <f t="shared" si="28"/>
        <v>686.08847782617443</v>
      </c>
      <c r="M39" s="58">
        <f t="shared" si="28"/>
        <v>693.24813574659163</v>
      </c>
      <c r="N39" s="58">
        <f t="shared" si="28"/>
        <v>700.4853657090564</v>
      </c>
      <c r="P39" s="58">
        <f>SUM(P22:P23)</f>
        <v>1008.5309473946762</v>
      </c>
      <c r="Q39" s="58">
        <f t="shared" ref="Q39:AA39" si="29">SUM(Q22:Q23)</f>
        <v>1019.123553586448</v>
      </c>
      <c r="R39" s="58">
        <f t="shared" si="29"/>
        <v>1029.8322317744942</v>
      </c>
      <c r="S39" s="58">
        <f t="shared" si="29"/>
        <v>1040.6583455974642</v>
      </c>
      <c r="T39" s="58">
        <f t="shared" si="29"/>
        <v>1051.6032763887686</v>
      </c>
      <c r="U39" s="58">
        <f t="shared" si="29"/>
        <v>1062.6684234346926</v>
      </c>
      <c r="V39" s="58">
        <f t="shared" si="29"/>
        <v>1073.8552042367164</v>
      </c>
      <c r="W39" s="58">
        <f t="shared" si="29"/>
        <v>1085.1650547781142</v>
      </c>
      <c r="X39" s="58">
        <f t="shared" si="29"/>
        <v>1096.5994297949062</v>
      </c>
      <c r="Y39" s="58">
        <f t="shared" si="29"/>
        <v>1108.1598030512469</v>
      </c>
      <c r="Z39" s="58">
        <f t="shared" si="29"/>
        <v>1119.8476676193184</v>
      </c>
      <c r="AA39" s="58">
        <f t="shared" si="29"/>
        <v>1131.664536163822</v>
      </c>
      <c r="AB39" s="111"/>
    </row>
    <row r="40" spans="1:67" s="71" customFormat="1" outlineLevel="1" x14ac:dyDescent="0.35">
      <c r="A40" s="71" t="s">
        <v>115</v>
      </c>
      <c r="C40" s="83">
        <f t="shared" ref="C40:N40" si="30">SUM(C38:C39)</f>
        <v>105</v>
      </c>
      <c r="D40" s="83">
        <f t="shared" si="30"/>
        <v>416.3</v>
      </c>
      <c r="E40" s="83">
        <f t="shared" si="30"/>
        <v>431.97200000000004</v>
      </c>
      <c r="F40" s="83">
        <f t="shared" si="30"/>
        <v>441.98400000000004</v>
      </c>
      <c r="G40" s="83">
        <f t="shared" si="30"/>
        <v>556.20248900000001</v>
      </c>
      <c r="H40" s="83">
        <f t="shared" si="30"/>
        <v>580.91716958000006</v>
      </c>
      <c r="I40" s="83">
        <f t="shared" si="30"/>
        <v>587.95999426110006</v>
      </c>
      <c r="J40" s="83">
        <f t="shared" si="30"/>
        <v>701.39635266849302</v>
      </c>
      <c r="K40" s="83">
        <f t="shared" si="30"/>
        <v>728.10325258869921</v>
      </c>
      <c r="L40" s="83">
        <f t="shared" si="30"/>
        <v>737.05570550738332</v>
      </c>
      <c r="M40" s="83">
        <f t="shared" si="30"/>
        <v>744.84203513210844</v>
      </c>
      <c r="N40" s="83">
        <f t="shared" si="30"/>
        <v>752.62430816830397</v>
      </c>
      <c r="O40" s="101"/>
      <c r="P40" s="83">
        <f>SUM(P38:P39)</f>
        <v>1061.2146489664574</v>
      </c>
      <c r="Q40" s="83">
        <f t="shared" ref="Q40:AA40" si="31">SUM(Q38:Q39)</f>
        <v>1231.3664833797393</v>
      </c>
      <c r="R40" s="83">
        <f t="shared" si="31"/>
        <v>1276.1055284504419</v>
      </c>
      <c r="S40" s="83">
        <f t="shared" si="31"/>
        <v>1295.8794512875525</v>
      </c>
      <c r="T40" s="83">
        <f t="shared" si="31"/>
        <v>1310.779166646279</v>
      </c>
      <c r="U40" s="83">
        <f t="shared" si="31"/>
        <v>1324.8242567639484</v>
      </c>
      <c r="V40" s="83">
        <f t="shared" si="31"/>
        <v>1338.820055589506</v>
      </c>
      <c r="W40" s="83">
        <f t="shared" si="31"/>
        <v>1352.9290658960153</v>
      </c>
      <c r="X40" s="83">
        <f t="shared" si="31"/>
        <v>1367.1852429741093</v>
      </c>
      <c r="Y40" s="83">
        <f t="shared" si="31"/>
        <v>1381.5968516460687</v>
      </c>
      <c r="Z40" s="83">
        <f t="shared" si="31"/>
        <v>1396.167037948532</v>
      </c>
      <c r="AA40" s="83">
        <f t="shared" si="31"/>
        <v>1410.8979437535284</v>
      </c>
      <c r="AB40" s="121"/>
      <c r="AO40" s="101"/>
      <c r="BB40" s="101"/>
      <c r="BO40" s="101"/>
    </row>
    <row r="41" spans="1:67" outlineLevel="1" x14ac:dyDescent="0.35">
      <c r="A41" t="s">
        <v>147</v>
      </c>
      <c r="C41" s="55">
        <f t="shared" ref="C41:N41" si="32">C37*C40</f>
        <v>102.89999999999999</v>
      </c>
      <c r="D41" s="55">
        <f t="shared" si="32"/>
        <v>407.97399999999999</v>
      </c>
      <c r="E41" s="55">
        <f t="shared" si="32"/>
        <v>423.33256</v>
      </c>
      <c r="F41" s="55">
        <f t="shared" si="32"/>
        <v>433.14432000000005</v>
      </c>
      <c r="G41" s="55">
        <f t="shared" si="32"/>
        <v>528.39236455000002</v>
      </c>
      <c r="H41" s="55">
        <f t="shared" si="32"/>
        <v>551.87131110100006</v>
      </c>
      <c r="I41" s="55">
        <f t="shared" si="32"/>
        <v>558.56199454804505</v>
      </c>
      <c r="J41" s="55">
        <f t="shared" si="32"/>
        <v>652.29860798169852</v>
      </c>
      <c r="K41" s="55">
        <f t="shared" si="32"/>
        <v>677.13602490749031</v>
      </c>
      <c r="L41" s="55">
        <f t="shared" si="32"/>
        <v>685.46180612186652</v>
      </c>
      <c r="M41" s="55">
        <f t="shared" si="32"/>
        <v>692.70309267286086</v>
      </c>
      <c r="N41" s="55">
        <f t="shared" si="32"/>
        <v>699.94060659652268</v>
      </c>
      <c r="P41" s="55">
        <f>P37*P40</f>
        <v>848.97171917316598</v>
      </c>
      <c r="Q41" s="55">
        <f t="shared" ref="Q41:AA41" si="33">Q37*Q40</f>
        <v>985.0931867037915</v>
      </c>
      <c r="R41" s="55">
        <f t="shared" si="33"/>
        <v>1020.8844227603536</v>
      </c>
      <c r="S41" s="55">
        <f t="shared" si="33"/>
        <v>1036.703561030042</v>
      </c>
      <c r="T41" s="55">
        <f t="shared" si="33"/>
        <v>1048.6233333170233</v>
      </c>
      <c r="U41" s="55">
        <f t="shared" si="33"/>
        <v>1059.8594054111588</v>
      </c>
      <c r="V41" s="55">
        <f t="shared" si="33"/>
        <v>1071.0560444716048</v>
      </c>
      <c r="W41" s="55">
        <f t="shared" si="33"/>
        <v>1082.3432527168122</v>
      </c>
      <c r="X41" s="55">
        <f t="shared" si="33"/>
        <v>1093.7481943792875</v>
      </c>
      <c r="Y41" s="55">
        <f t="shared" si="33"/>
        <v>1105.2774813168551</v>
      </c>
      <c r="Z41" s="55">
        <f t="shared" si="33"/>
        <v>1116.9336303588257</v>
      </c>
      <c r="AA41" s="55">
        <f t="shared" si="33"/>
        <v>1128.7183550028228</v>
      </c>
      <c r="AB41" s="104"/>
    </row>
    <row r="42" spans="1:67" s="56" customFormat="1" outlineLevel="1" x14ac:dyDescent="0.35">
      <c r="A42" s="56" t="s">
        <v>148</v>
      </c>
      <c r="C42" s="57">
        <f t="shared" ref="C42:N42" si="34">C40-C41</f>
        <v>2.1000000000000085</v>
      </c>
      <c r="D42" s="57">
        <f t="shared" si="34"/>
        <v>8.3260000000000218</v>
      </c>
      <c r="E42" s="57">
        <f t="shared" si="34"/>
        <v>8.639440000000036</v>
      </c>
      <c r="F42" s="57">
        <f t="shared" si="34"/>
        <v>8.8396799999999871</v>
      </c>
      <c r="G42" s="57">
        <f t="shared" si="34"/>
        <v>27.810124449999989</v>
      </c>
      <c r="H42" s="57">
        <f t="shared" si="34"/>
        <v>29.045858479000003</v>
      </c>
      <c r="I42" s="57">
        <f t="shared" si="34"/>
        <v>29.397999713055015</v>
      </c>
      <c r="J42" s="57">
        <f t="shared" si="34"/>
        <v>49.097744686794499</v>
      </c>
      <c r="K42" s="57">
        <f t="shared" si="34"/>
        <v>50.967227681208897</v>
      </c>
      <c r="L42" s="57">
        <f t="shared" si="34"/>
        <v>51.593899385516806</v>
      </c>
      <c r="M42" s="57">
        <f t="shared" si="34"/>
        <v>52.138942459247573</v>
      </c>
      <c r="N42" s="57">
        <f t="shared" si="34"/>
        <v>52.683701571781285</v>
      </c>
      <c r="O42" s="102"/>
      <c r="P42" s="57">
        <f>P40-P41</f>
        <v>212.24292979329141</v>
      </c>
      <c r="Q42" s="57">
        <f t="shared" ref="Q42:AA42" si="35">Q40-Q41</f>
        <v>246.27329667594779</v>
      </c>
      <c r="R42" s="57">
        <f t="shared" si="35"/>
        <v>255.22110569008828</v>
      </c>
      <c r="S42" s="57">
        <f t="shared" si="35"/>
        <v>259.17589025751045</v>
      </c>
      <c r="T42" s="57">
        <f t="shared" si="35"/>
        <v>262.15583332925576</v>
      </c>
      <c r="U42" s="57">
        <f t="shared" si="35"/>
        <v>264.96485135278954</v>
      </c>
      <c r="V42" s="57">
        <f t="shared" si="35"/>
        <v>267.76401111790119</v>
      </c>
      <c r="W42" s="57">
        <f t="shared" si="35"/>
        <v>270.58581317920311</v>
      </c>
      <c r="X42" s="57">
        <f t="shared" si="35"/>
        <v>273.43704859482182</v>
      </c>
      <c r="Y42" s="57">
        <f t="shared" si="35"/>
        <v>276.3193703292136</v>
      </c>
      <c r="Z42" s="57">
        <f t="shared" si="35"/>
        <v>279.2334075897063</v>
      </c>
      <c r="AA42" s="57">
        <f t="shared" si="35"/>
        <v>282.17958875070553</v>
      </c>
      <c r="AB42" s="103"/>
      <c r="AO42" s="102"/>
      <c r="BB42" s="102"/>
      <c r="BO42" s="102"/>
    </row>
    <row r="43" spans="1:67" outlineLevel="1" x14ac:dyDescent="0.35"/>
    <row r="44" spans="1:67" outlineLevel="1" x14ac:dyDescent="0.35">
      <c r="A44" s="56" t="s">
        <v>149</v>
      </c>
    </row>
    <row r="45" spans="1:67" outlineLevel="1" x14ac:dyDescent="0.35">
      <c r="A45" s="56" t="s">
        <v>150</v>
      </c>
    </row>
    <row r="46" spans="1:67" outlineLevel="1" x14ac:dyDescent="0.35">
      <c r="A46" t="s">
        <v>151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122"/>
    </row>
    <row r="47" spans="1:67" outlineLevel="1" x14ac:dyDescent="0.35">
      <c r="A47" t="s">
        <v>152</v>
      </c>
      <c r="C47" s="84">
        <v>0.05</v>
      </c>
      <c r="D47" s="84">
        <v>0.05</v>
      </c>
      <c r="E47" s="84">
        <v>0.05</v>
      </c>
      <c r="F47" s="84">
        <v>0.05</v>
      </c>
      <c r="G47" s="84">
        <v>0.05</v>
      </c>
      <c r="H47" s="84">
        <v>0.05</v>
      </c>
      <c r="I47" s="84">
        <v>0.05</v>
      </c>
      <c r="J47" s="84">
        <v>0.05</v>
      </c>
      <c r="K47" s="84">
        <v>0.05</v>
      </c>
      <c r="L47" s="84">
        <v>0.05</v>
      </c>
      <c r="M47" s="84">
        <v>0.05</v>
      </c>
      <c r="N47" s="84">
        <v>0.05</v>
      </c>
      <c r="P47" s="84">
        <v>0.05</v>
      </c>
      <c r="Q47" s="84">
        <v>0.05</v>
      </c>
      <c r="R47" s="84">
        <v>0.05</v>
      </c>
      <c r="S47" s="84">
        <v>0.05</v>
      </c>
      <c r="T47" s="84">
        <v>0.05</v>
      </c>
      <c r="U47" s="84">
        <v>0.05</v>
      </c>
      <c r="V47" s="84">
        <v>0.05</v>
      </c>
      <c r="W47" s="84">
        <v>0.05</v>
      </c>
      <c r="X47" s="84">
        <v>0.05</v>
      </c>
      <c r="Y47" s="84">
        <v>0.05</v>
      </c>
      <c r="Z47" s="84">
        <v>0.05</v>
      </c>
      <c r="AA47" s="84">
        <v>0.05</v>
      </c>
      <c r="AB47" s="122"/>
    </row>
    <row r="48" spans="1:67" outlineLevel="1" x14ac:dyDescent="0.35">
      <c r="A48" t="s">
        <v>247</v>
      </c>
      <c r="C48" s="84">
        <v>112</v>
      </c>
      <c r="D48" s="84">
        <v>112</v>
      </c>
      <c r="E48" s="84">
        <v>112</v>
      </c>
      <c r="F48" s="84">
        <v>112</v>
      </c>
      <c r="G48" s="84">
        <v>112</v>
      </c>
      <c r="H48" s="84">
        <v>112</v>
      </c>
      <c r="I48" s="84">
        <v>112</v>
      </c>
      <c r="J48" s="84">
        <v>112</v>
      </c>
      <c r="K48" s="84">
        <v>112</v>
      </c>
      <c r="L48" s="84">
        <v>112</v>
      </c>
      <c r="M48" s="84">
        <v>112</v>
      </c>
      <c r="N48" s="84">
        <v>112</v>
      </c>
      <c r="P48" s="84">
        <v>114</v>
      </c>
      <c r="Q48" s="84">
        <v>114</v>
      </c>
      <c r="R48" s="84">
        <v>114</v>
      </c>
      <c r="S48" s="84">
        <v>114</v>
      </c>
      <c r="T48" s="84">
        <v>114</v>
      </c>
      <c r="U48" s="84">
        <v>114</v>
      </c>
      <c r="V48" s="84">
        <v>114</v>
      </c>
      <c r="W48" s="84">
        <v>114</v>
      </c>
      <c r="X48" s="84">
        <v>114</v>
      </c>
      <c r="Y48" s="84">
        <v>114</v>
      </c>
      <c r="Z48" s="84">
        <v>114</v>
      </c>
      <c r="AA48" s="84">
        <v>114</v>
      </c>
      <c r="AB48" s="122"/>
    </row>
    <row r="49" spans="1:67" outlineLevel="1" x14ac:dyDescent="0.35">
      <c r="A49" t="s">
        <v>248</v>
      </c>
      <c r="C49" s="108">
        <f>C46*C48</f>
        <v>0</v>
      </c>
      <c r="D49" s="108">
        <f t="shared" ref="D49:P49" si="36">D46*D48</f>
        <v>0</v>
      </c>
      <c r="E49" s="108">
        <f t="shared" si="36"/>
        <v>0</v>
      </c>
      <c r="F49" s="108">
        <f t="shared" si="36"/>
        <v>0</v>
      </c>
      <c r="G49" s="108">
        <f t="shared" si="36"/>
        <v>0</v>
      </c>
      <c r="H49" s="108">
        <f t="shared" si="36"/>
        <v>0</v>
      </c>
      <c r="I49" s="108">
        <f t="shared" si="36"/>
        <v>0</v>
      </c>
      <c r="J49" s="108">
        <f t="shared" si="36"/>
        <v>0</v>
      </c>
      <c r="K49" s="108">
        <f t="shared" si="36"/>
        <v>0</v>
      </c>
      <c r="L49" s="108">
        <f t="shared" si="36"/>
        <v>0</v>
      </c>
      <c r="M49" s="108">
        <f t="shared" si="36"/>
        <v>0</v>
      </c>
      <c r="N49" s="108">
        <f t="shared" si="36"/>
        <v>0</v>
      </c>
      <c r="O49" s="109"/>
      <c r="P49" s="108">
        <f t="shared" si="36"/>
        <v>0</v>
      </c>
      <c r="Q49" s="108">
        <f t="shared" ref="Q49" si="37">Q46*Q48</f>
        <v>0</v>
      </c>
      <c r="R49" s="108">
        <f t="shared" ref="R49" si="38">R46*R48</f>
        <v>0</v>
      </c>
      <c r="S49" s="108">
        <f t="shared" ref="S49" si="39">S46*S48</f>
        <v>0</v>
      </c>
      <c r="T49" s="108">
        <f t="shared" ref="T49" si="40">T46*T48</f>
        <v>0</v>
      </c>
      <c r="U49" s="108">
        <f t="shared" ref="U49" si="41">U46*U48</f>
        <v>0</v>
      </c>
      <c r="V49" s="108">
        <f t="shared" ref="V49" si="42">V46*V48</f>
        <v>0</v>
      </c>
      <c r="W49" s="108">
        <f t="shared" ref="W49" si="43">W46*W48</f>
        <v>0</v>
      </c>
      <c r="X49" s="108">
        <f t="shared" ref="X49" si="44">X46*X48</f>
        <v>0</v>
      </c>
      <c r="Y49" s="108">
        <f t="shared" ref="Y49" si="45">Y46*Y48</f>
        <v>0</v>
      </c>
      <c r="Z49" s="108">
        <f t="shared" ref="Z49" si="46">Z46*Z48</f>
        <v>0</v>
      </c>
      <c r="AA49" s="108">
        <f t="shared" ref="AA49" si="47">AA46*AA48</f>
        <v>0</v>
      </c>
      <c r="AB49" s="123"/>
    </row>
    <row r="50" spans="1:67" outlineLevel="1" x14ac:dyDescent="0.35">
      <c r="A50" t="s">
        <v>249</v>
      </c>
      <c r="C50" s="108">
        <f>C47*C48</f>
        <v>5.6000000000000005</v>
      </c>
      <c r="D50" s="108">
        <f t="shared" ref="D50:P50" si="48">D47*D48</f>
        <v>5.6000000000000005</v>
      </c>
      <c r="E50" s="108">
        <f t="shared" si="48"/>
        <v>5.6000000000000005</v>
      </c>
      <c r="F50" s="108">
        <f t="shared" si="48"/>
        <v>5.6000000000000005</v>
      </c>
      <c r="G50" s="108">
        <f t="shared" si="48"/>
        <v>5.6000000000000005</v>
      </c>
      <c r="H50" s="108">
        <f t="shared" si="48"/>
        <v>5.6000000000000005</v>
      </c>
      <c r="I50" s="108">
        <f t="shared" si="48"/>
        <v>5.6000000000000005</v>
      </c>
      <c r="J50" s="108">
        <f t="shared" si="48"/>
        <v>5.6000000000000005</v>
      </c>
      <c r="K50" s="108">
        <f t="shared" si="48"/>
        <v>5.6000000000000005</v>
      </c>
      <c r="L50" s="108">
        <f t="shared" si="48"/>
        <v>5.6000000000000005</v>
      </c>
      <c r="M50" s="108">
        <f t="shared" si="48"/>
        <v>5.6000000000000005</v>
      </c>
      <c r="N50" s="108">
        <f t="shared" si="48"/>
        <v>5.6000000000000005</v>
      </c>
      <c r="O50" s="109"/>
      <c r="P50" s="108">
        <f t="shared" si="48"/>
        <v>5.7</v>
      </c>
      <c r="Q50" s="108">
        <f t="shared" ref="Q50:AA50" si="49">Q47*Q48</f>
        <v>5.7</v>
      </c>
      <c r="R50" s="108">
        <f t="shared" si="49"/>
        <v>5.7</v>
      </c>
      <c r="S50" s="108">
        <f t="shared" si="49"/>
        <v>5.7</v>
      </c>
      <c r="T50" s="108">
        <f t="shared" si="49"/>
        <v>5.7</v>
      </c>
      <c r="U50" s="108">
        <f t="shared" si="49"/>
        <v>5.7</v>
      </c>
      <c r="V50" s="108">
        <f t="shared" si="49"/>
        <v>5.7</v>
      </c>
      <c r="W50" s="108">
        <f t="shared" si="49"/>
        <v>5.7</v>
      </c>
      <c r="X50" s="108">
        <f t="shared" si="49"/>
        <v>5.7</v>
      </c>
      <c r="Y50" s="108">
        <f t="shared" si="49"/>
        <v>5.7</v>
      </c>
      <c r="Z50" s="108">
        <f t="shared" si="49"/>
        <v>5.7</v>
      </c>
      <c r="AA50" s="108">
        <f t="shared" si="49"/>
        <v>5.7</v>
      </c>
      <c r="AB50" s="123"/>
    </row>
    <row r="51" spans="1:67" s="71" customFormat="1" outlineLevel="1" x14ac:dyDescent="0.35">
      <c r="A51" s="72" t="s">
        <v>116</v>
      </c>
      <c r="C51" s="89">
        <f>SUMPRODUCT(C49:C50,C12:C13)/C14</f>
        <v>5.3333333333333339</v>
      </c>
      <c r="D51" s="89">
        <f t="shared" ref="D51:P51" si="50">SUMPRODUCT(D49:D50,D12:D13)/D14</f>
        <v>5.3308199811498591</v>
      </c>
      <c r="E51" s="89">
        <f t="shared" si="50"/>
        <v>5.3282841472969444</v>
      </c>
      <c r="F51" s="89">
        <f t="shared" si="50"/>
        <v>5.3257256535076856</v>
      </c>
      <c r="G51" s="89">
        <f t="shared" si="50"/>
        <v>5.3231443205342082</v>
      </c>
      <c r="H51" s="89">
        <f t="shared" si="50"/>
        <v>5.3205399681508858</v>
      </c>
      <c r="I51" s="89">
        <f t="shared" si="50"/>
        <v>5.3179124151577613</v>
      </c>
      <c r="J51" s="89">
        <f t="shared" si="50"/>
        <v>5.315261479384203</v>
      </c>
      <c r="K51" s="89">
        <f t="shared" si="50"/>
        <v>5.312586977692777</v>
      </c>
      <c r="L51" s="89">
        <f t="shared" si="50"/>
        <v>5.3098887259833525</v>
      </c>
      <c r="M51" s="89">
        <f t="shared" si="50"/>
        <v>5.3071665391974534</v>
      </c>
      <c r="N51" s="89">
        <f t="shared" si="50"/>
        <v>5.3044202313228253</v>
      </c>
      <c r="O51" s="101"/>
      <c r="P51" s="89">
        <f t="shared" si="50"/>
        <v>5.3963219299589555</v>
      </c>
      <c r="Q51" s="89">
        <f t="shared" ref="Q51" si="51">SUMPRODUCT(Q49:Q50,Q12:Q13)/Q14</f>
        <v>5.3934769053672715</v>
      </c>
      <c r="R51" s="89">
        <f t="shared" ref="R51" si="52">SUMPRODUCT(R49:R50,R12:R13)/R14</f>
        <v>5.3906067551769894</v>
      </c>
      <c r="S51" s="89">
        <f t="shared" ref="S51" si="53">SUMPRODUCT(S49:S50,S12:S13)/S14</f>
        <v>5.3877112862226495</v>
      </c>
      <c r="T51" s="89">
        <f t="shared" ref="T51" si="54">SUMPRODUCT(T49:T50,T12:T13)/T14</f>
        <v>5.3847903043950991</v>
      </c>
      <c r="U51" s="89">
        <f t="shared" ref="U51" si="55">SUMPRODUCT(U49:U50,U12:U13)/U14</f>
        <v>5.3818436146477202</v>
      </c>
      <c r="V51" s="89">
        <f t="shared" ref="V51" si="56">SUMPRODUCT(V49:V50,V12:V13)/V14</f>
        <v>5.378871021002908</v>
      </c>
      <c r="W51" s="89">
        <f t="shared" ref="W51" si="57">SUMPRODUCT(W49:W50,W12:W13)/W14</f>
        <v>5.3758723265588459</v>
      </c>
      <c r="X51" s="89">
        <f t="shared" ref="X51" si="58">SUMPRODUCT(X49:X50,X12:X13)/X14</f>
        <v>5.3728473334965559</v>
      </c>
      <c r="Y51" s="89">
        <f t="shared" ref="Y51" si="59">SUMPRODUCT(Y49:Y50,Y12:Y13)/Y14</f>
        <v>5.3697958430872355</v>
      </c>
      <c r="Z51" s="89">
        <f t="shared" ref="Z51" si="60">SUMPRODUCT(Z49:Z50,Z12:Z13)/Z14</f>
        <v>5.3667176556999001</v>
      </c>
      <c r="AA51" s="89">
        <f t="shared" ref="AA51" si="61">SUMPRODUCT(AA49:AA50,AA12:AA13)/AA14</f>
        <v>5.3636125708093028</v>
      </c>
      <c r="AB51" s="124"/>
      <c r="AO51" s="101"/>
      <c r="BB51" s="101"/>
      <c r="BO51" s="101"/>
    </row>
    <row r="52" spans="1:67" outlineLevel="1" x14ac:dyDescent="0.35"/>
    <row r="53" spans="1:67" outlineLevel="1" x14ac:dyDescent="0.35">
      <c r="A53" s="56" t="s">
        <v>153</v>
      </c>
    </row>
    <row r="54" spans="1:67" outlineLevel="1" x14ac:dyDescent="0.35">
      <c r="A54" t="s">
        <v>150</v>
      </c>
    </row>
    <row r="55" spans="1:67" outlineLevel="1" x14ac:dyDescent="0.35">
      <c r="A55" t="s">
        <v>154</v>
      </c>
      <c r="C55" s="78">
        <v>100</v>
      </c>
      <c r="D55" s="78">
        <v>100</v>
      </c>
      <c r="E55" s="78">
        <v>100</v>
      </c>
      <c r="F55" s="78">
        <v>100</v>
      </c>
      <c r="G55" s="78">
        <v>100</v>
      </c>
      <c r="H55" s="78">
        <v>100</v>
      </c>
      <c r="I55" s="78">
        <v>100</v>
      </c>
      <c r="J55" s="78">
        <v>100</v>
      </c>
      <c r="K55" s="78">
        <v>100</v>
      </c>
      <c r="L55" s="78">
        <v>100</v>
      </c>
      <c r="M55" s="78">
        <v>100</v>
      </c>
      <c r="N55" s="78">
        <v>100</v>
      </c>
      <c r="P55" s="78">
        <v>100</v>
      </c>
      <c r="Q55" s="78">
        <v>100</v>
      </c>
      <c r="R55" s="78">
        <v>100</v>
      </c>
      <c r="S55" s="78">
        <v>100</v>
      </c>
      <c r="T55" s="78">
        <v>100</v>
      </c>
      <c r="U55" s="78">
        <v>100</v>
      </c>
      <c r="V55" s="78">
        <v>100</v>
      </c>
      <c r="W55" s="78">
        <v>100</v>
      </c>
      <c r="X55" s="78">
        <v>100</v>
      </c>
      <c r="Y55" s="78">
        <v>100</v>
      </c>
      <c r="Z55" s="78">
        <v>100</v>
      </c>
      <c r="AA55" s="78">
        <v>100</v>
      </c>
      <c r="AB55" s="114"/>
    </row>
    <row r="56" spans="1:67" outlineLevel="1" x14ac:dyDescent="0.35">
      <c r="A56" t="s">
        <v>155</v>
      </c>
      <c r="C56" s="78">
        <v>65</v>
      </c>
      <c r="D56" s="78">
        <v>65</v>
      </c>
      <c r="E56" s="78">
        <v>65</v>
      </c>
      <c r="F56" s="78">
        <v>65</v>
      </c>
      <c r="G56" s="78">
        <v>65</v>
      </c>
      <c r="H56" s="78">
        <v>65</v>
      </c>
      <c r="I56" s="78">
        <v>65</v>
      </c>
      <c r="J56" s="78">
        <v>65</v>
      </c>
      <c r="K56" s="78">
        <v>65</v>
      </c>
      <c r="L56" s="78">
        <v>65</v>
      </c>
      <c r="M56" s="78">
        <v>65</v>
      </c>
      <c r="N56" s="78">
        <v>65</v>
      </c>
      <c r="P56" s="78">
        <v>65</v>
      </c>
      <c r="Q56" s="78">
        <v>65</v>
      </c>
      <c r="R56" s="78">
        <v>65</v>
      </c>
      <c r="S56" s="78">
        <v>65</v>
      </c>
      <c r="T56" s="78">
        <v>65</v>
      </c>
      <c r="U56" s="78">
        <v>65</v>
      </c>
      <c r="V56" s="78">
        <v>65</v>
      </c>
      <c r="W56" s="78">
        <v>65</v>
      </c>
      <c r="X56" s="78">
        <v>65</v>
      </c>
      <c r="Y56" s="78">
        <v>65</v>
      </c>
      <c r="Z56" s="78">
        <v>65</v>
      </c>
      <c r="AA56" s="78">
        <v>65</v>
      </c>
      <c r="AB56" s="114"/>
    </row>
    <row r="57" spans="1:67" s="72" customFormat="1" outlineLevel="1" x14ac:dyDescent="0.35">
      <c r="A57" s="72" t="s">
        <v>32</v>
      </c>
      <c r="C57" s="85">
        <f t="shared" ref="C57:N57" si="62">SUM(C55:C56)</f>
        <v>165</v>
      </c>
      <c r="D57" s="85">
        <f t="shared" si="62"/>
        <v>165</v>
      </c>
      <c r="E57" s="85">
        <f t="shared" si="62"/>
        <v>165</v>
      </c>
      <c r="F57" s="85">
        <f t="shared" si="62"/>
        <v>165</v>
      </c>
      <c r="G57" s="85">
        <f t="shared" si="62"/>
        <v>165</v>
      </c>
      <c r="H57" s="85">
        <f t="shared" si="62"/>
        <v>165</v>
      </c>
      <c r="I57" s="85">
        <f t="shared" si="62"/>
        <v>165</v>
      </c>
      <c r="J57" s="85">
        <f t="shared" si="62"/>
        <v>165</v>
      </c>
      <c r="K57" s="85">
        <f t="shared" si="62"/>
        <v>165</v>
      </c>
      <c r="L57" s="85">
        <f t="shared" si="62"/>
        <v>165</v>
      </c>
      <c r="M57" s="85">
        <f t="shared" si="62"/>
        <v>165</v>
      </c>
      <c r="N57" s="85">
        <f t="shared" si="62"/>
        <v>165</v>
      </c>
      <c r="O57" s="100"/>
      <c r="P57" s="85">
        <f>SUM(P55:P56)</f>
        <v>165</v>
      </c>
      <c r="Q57" s="85">
        <f t="shared" ref="Q57:AA57" si="63">SUM(Q55:Q56)</f>
        <v>165</v>
      </c>
      <c r="R57" s="85">
        <f t="shared" si="63"/>
        <v>165</v>
      </c>
      <c r="S57" s="85">
        <f t="shared" si="63"/>
        <v>165</v>
      </c>
      <c r="T57" s="85">
        <f t="shared" si="63"/>
        <v>165</v>
      </c>
      <c r="U57" s="85">
        <f t="shared" si="63"/>
        <v>165</v>
      </c>
      <c r="V57" s="85">
        <f t="shared" si="63"/>
        <v>165</v>
      </c>
      <c r="W57" s="85">
        <f t="shared" si="63"/>
        <v>165</v>
      </c>
      <c r="X57" s="85">
        <f t="shared" si="63"/>
        <v>165</v>
      </c>
      <c r="Y57" s="85">
        <f t="shared" si="63"/>
        <v>165</v>
      </c>
      <c r="Z57" s="85">
        <f t="shared" si="63"/>
        <v>165</v>
      </c>
      <c r="AA57" s="85">
        <f t="shared" si="63"/>
        <v>165</v>
      </c>
      <c r="AB57" s="125"/>
      <c r="AO57" s="100"/>
      <c r="BB57" s="100"/>
      <c r="BO57" s="100"/>
    </row>
    <row r="58" spans="1:67" outlineLevel="1" x14ac:dyDescent="0.35"/>
    <row r="59" spans="1:67" outlineLevel="1" x14ac:dyDescent="0.35">
      <c r="A59" s="56" t="s">
        <v>117</v>
      </c>
    </row>
    <row r="60" spans="1:67" outlineLevel="1" x14ac:dyDescent="0.35">
      <c r="A60" t="s">
        <v>156</v>
      </c>
      <c r="C60" s="78">
        <v>100000</v>
      </c>
      <c r="D60" s="78"/>
      <c r="E60" s="78"/>
      <c r="F60" s="78">
        <v>100000</v>
      </c>
      <c r="G60" s="78"/>
      <c r="H60" s="78"/>
      <c r="I60" s="78">
        <v>100000</v>
      </c>
      <c r="J60" s="78"/>
      <c r="K60" s="78"/>
      <c r="L60" s="78">
        <v>100000</v>
      </c>
      <c r="M60" s="78"/>
      <c r="N60" s="78"/>
      <c r="P60" s="78">
        <v>150000</v>
      </c>
      <c r="Q60" s="78"/>
      <c r="R60" s="78"/>
      <c r="S60" s="78">
        <v>100000</v>
      </c>
      <c r="T60" s="78"/>
      <c r="U60" s="78"/>
      <c r="V60" s="78">
        <v>100000</v>
      </c>
      <c r="W60" s="78"/>
      <c r="X60" s="78"/>
      <c r="Y60" s="78">
        <v>100000</v>
      </c>
      <c r="Z60" s="78"/>
      <c r="AA60" s="78"/>
      <c r="AB60" s="114"/>
    </row>
    <row r="61" spans="1:67" outlineLevel="1" x14ac:dyDescent="0.35"/>
    <row r="62" spans="1:67" outlineLevel="1" x14ac:dyDescent="0.35">
      <c r="A62" s="56" t="s">
        <v>157</v>
      </c>
    </row>
    <row r="63" spans="1:67" outlineLevel="1" x14ac:dyDescent="0.35">
      <c r="A63" s="56" t="s">
        <v>117</v>
      </c>
    </row>
    <row r="64" spans="1:67" outlineLevel="1" x14ac:dyDescent="0.35">
      <c r="A64" t="s">
        <v>246</v>
      </c>
      <c r="C64" s="78">
        <v>250000</v>
      </c>
      <c r="D64" s="78"/>
      <c r="E64" s="78"/>
      <c r="F64" s="78">
        <v>250000</v>
      </c>
      <c r="G64" s="78"/>
      <c r="H64" s="78"/>
      <c r="I64" s="78">
        <v>250000</v>
      </c>
      <c r="J64" s="78"/>
      <c r="K64" s="78"/>
      <c r="L64" s="78">
        <v>250000</v>
      </c>
      <c r="M64" s="78"/>
      <c r="N64" s="78"/>
      <c r="P64" s="78">
        <v>250000</v>
      </c>
      <c r="Q64" s="78"/>
      <c r="R64" s="78"/>
      <c r="S64" s="78">
        <v>250000</v>
      </c>
      <c r="T64" s="78"/>
      <c r="U64" s="78"/>
      <c r="V64" s="78">
        <v>250000</v>
      </c>
      <c r="W64" s="78"/>
      <c r="X64" s="78"/>
      <c r="Y64" s="78">
        <v>250000</v>
      </c>
      <c r="Z64" s="78"/>
      <c r="AA64" s="78"/>
      <c r="AB64" s="114"/>
    </row>
    <row r="65" spans="1:67" outlineLevel="1" x14ac:dyDescent="0.35">
      <c r="A65" t="s">
        <v>159</v>
      </c>
      <c r="C65" s="78">
        <v>250000</v>
      </c>
      <c r="D65" s="78">
        <v>250000</v>
      </c>
      <c r="E65" s="78">
        <v>250000</v>
      </c>
      <c r="F65" s="78">
        <v>250000</v>
      </c>
      <c r="G65" s="78">
        <v>250000</v>
      </c>
      <c r="H65" s="78">
        <v>300000</v>
      </c>
      <c r="I65" s="78">
        <v>300000</v>
      </c>
      <c r="J65" s="78">
        <v>300000</v>
      </c>
      <c r="K65" s="78">
        <v>300000</v>
      </c>
      <c r="L65" s="78">
        <v>300000</v>
      </c>
      <c r="M65" s="78">
        <v>300000</v>
      </c>
      <c r="N65" s="78">
        <v>300000</v>
      </c>
      <c r="P65" s="78">
        <v>350000</v>
      </c>
      <c r="Q65" s="78">
        <v>350000</v>
      </c>
      <c r="R65" s="78">
        <v>350000</v>
      </c>
      <c r="S65" s="78">
        <v>350000</v>
      </c>
      <c r="T65" s="78">
        <v>350000</v>
      </c>
      <c r="U65" s="78">
        <v>350000</v>
      </c>
      <c r="V65" s="78">
        <v>350000</v>
      </c>
      <c r="W65" s="78">
        <v>350000</v>
      </c>
      <c r="X65" s="78">
        <v>350000</v>
      </c>
      <c r="Y65" s="78">
        <v>350000</v>
      </c>
      <c r="Z65" s="78">
        <v>350000</v>
      </c>
      <c r="AA65" s="78">
        <v>350000</v>
      </c>
      <c r="AB65" s="114"/>
    </row>
    <row r="66" spans="1:67" outlineLevel="1" x14ac:dyDescent="0.35">
      <c r="A66" t="s">
        <v>160</v>
      </c>
      <c r="C66" s="78">
        <v>50000</v>
      </c>
      <c r="D66" s="78"/>
      <c r="E66" s="78"/>
      <c r="F66" s="78"/>
      <c r="G66" s="78"/>
      <c r="H66" s="78"/>
      <c r="I66" s="78"/>
      <c r="J66" s="78"/>
      <c r="K66" s="78"/>
      <c r="L66" s="78">
        <v>5000</v>
      </c>
      <c r="M66" s="78"/>
      <c r="N66" s="78"/>
      <c r="S66" s="78">
        <v>10000</v>
      </c>
    </row>
    <row r="67" spans="1:67" outlineLevel="1" x14ac:dyDescent="0.35">
      <c r="A67" t="s">
        <v>229</v>
      </c>
      <c r="C67" s="78">
        <v>250000</v>
      </c>
      <c r="D67" s="78">
        <v>250000</v>
      </c>
      <c r="E67" s="78">
        <v>250000</v>
      </c>
      <c r="F67" s="78">
        <v>350000</v>
      </c>
      <c r="G67" s="78">
        <v>350000</v>
      </c>
      <c r="H67" s="78">
        <v>350000</v>
      </c>
      <c r="I67" s="78">
        <v>350000</v>
      </c>
      <c r="J67" s="78">
        <v>350000</v>
      </c>
      <c r="K67" s="78">
        <v>350000</v>
      </c>
      <c r="L67" s="78">
        <v>350000</v>
      </c>
      <c r="M67" s="78">
        <v>350000</v>
      </c>
      <c r="N67" s="78">
        <v>350000</v>
      </c>
      <c r="P67" s="78">
        <v>400000</v>
      </c>
      <c r="Q67" s="78">
        <v>400000</v>
      </c>
      <c r="R67" s="78">
        <v>400000</v>
      </c>
      <c r="S67" s="78">
        <v>400000</v>
      </c>
      <c r="T67" s="78">
        <v>400000</v>
      </c>
      <c r="U67" s="78">
        <v>400000</v>
      </c>
      <c r="V67" s="78">
        <v>400000</v>
      </c>
      <c r="W67" s="78">
        <v>400000</v>
      </c>
      <c r="X67" s="78">
        <v>400000</v>
      </c>
      <c r="Y67" s="78">
        <v>400000</v>
      </c>
      <c r="Z67" s="78">
        <v>400000</v>
      </c>
      <c r="AA67" s="78">
        <v>400000</v>
      </c>
      <c r="AB67" s="114"/>
    </row>
    <row r="68" spans="1:67" outlineLevel="1" x14ac:dyDescent="0.35">
      <c r="A68" t="s">
        <v>118</v>
      </c>
      <c r="C68" s="78">
        <v>200000</v>
      </c>
      <c r="D68" s="78"/>
      <c r="E68" s="78"/>
      <c r="F68" s="78"/>
      <c r="G68" s="78"/>
      <c r="H68" s="78">
        <v>200000</v>
      </c>
      <c r="I68" s="78"/>
      <c r="J68" s="78"/>
      <c r="K68" s="78"/>
      <c r="L68" s="78"/>
      <c r="M68" s="78"/>
      <c r="N68" s="78"/>
    </row>
    <row r="69" spans="1:67" s="71" customFormat="1" outlineLevel="1" x14ac:dyDescent="0.35">
      <c r="A69" s="72" t="s">
        <v>32</v>
      </c>
      <c r="C69" s="85">
        <f t="shared" ref="C69:N69" si="64">SUM(C64:C68)</f>
        <v>1000000</v>
      </c>
      <c r="D69" s="85">
        <f t="shared" si="64"/>
        <v>500000</v>
      </c>
      <c r="E69" s="85">
        <f t="shared" si="64"/>
        <v>500000</v>
      </c>
      <c r="F69" s="85">
        <f t="shared" si="64"/>
        <v>850000</v>
      </c>
      <c r="G69" s="85">
        <f t="shared" si="64"/>
        <v>600000</v>
      </c>
      <c r="H69" s="85">
        <f t="shared" si="64"/>
        <v>850000</v>
      </c>
      <c r="I69" s="85">
        <f t="shared" si="64"/>
        <v>900000</v>
      </c>
      <c r="J69" s="85">
        <f t="shared" si="64"/>
        <v>650000</v>
      </c>
      <c r="K69" s="85">
        <f t="shared" si="64"/>
        <v>650000</v>
      </c>
      <c r="L69" s="85">
        <f t="shared" si="64"/>
        <v>905000</v>
      </c>
      <c r="M69" s="85">
        <f t="shared" si="64"/>
        <v>650000</v>
      </c>
      <c r="N69" s="85">
        <f t="shared" si="64"/>
        <v>650000</v>
      </c>
      <c r="O69" s="101"/>
      <c r="P69" s="85">
        <f>SUM(P64:P68)</f>
        <v>1000000</v>
      </c>
      <c r="Q69" s="85">
        <f t="shared" ref="Q69:AA69" si="65">SUM(Q64:Q68)</f>
        <v>750000</v>
      </c>
      <c r="R69" s="85">
        <f t="shared" si="65"/>
        <v>750000</v>
      </c>
      <c r="S69" s="85">
        <f t="shared" si="65"/>
        <v>1010000</v>
      </c>
      <c r="T69" s="85">
        <f t="shared" si="65"/>
        <v>750000</v>
      </c>
      <c r="U69" s="85">
        <f t="shared" si="65"/>
        <v>750000</v>
      </c>
      <c r="V69" s="85">
        <f t="shared" si="65"/>
        <v>1000000</v>
      </c>
      <c r="W69" s="85">
        <f t="shared" si="65"/>
        <v>750000</v>
      </c>
      <c r="X69" s="85">
        <f t="shared" si="65"/>
        <v>750000</v>
      </c>
      <c r="Y69" s="85">
        <f t="shared" si="65"/>
        <v>1000000</v>
      </c>
      <c r="Z69" s="85">
        <f t="shared" si="65"/>
        <v>750000</v>
      </c>
      <c r="AA69" s="85">
        <f t="shared" si="65"/>
        <v>750000</v>
      </c>
      <c r="AB69" s="125"/>
      <c r="AO69" s="101"/>
      <c r="BB69" s="101"/>
      <c r="BO69" s="101"/>
    </row>
    <row r="70" spans="1:67" outlineLevel="1" x14ac:dyDescent="0.35"/>
    <row r="71" spans="1:67" outlineLevel="1" x14ac:dyDescent="0.35">
      <c r="A71" s="56" t="s">
        <v>119</v>
      </c>
    </row>
    <row r="72" spans="1:67" outlineLevel="1" x14ac:dyDescent="0.35">
      <c r="A72" s="56" t="s">
        <v>120</v>
      </c>
    </row>
    <row r="73" spans="1:67" outlineLevel="1" x14ac:dyDescent="0.35">
      <c r="A73" t="s">
        <v>161</v>
      </c>
      <c r="C73" s="78">
        <v>2</v>
      </c>
      <c r="D73" s="78">
        <v>5</v>
      </c>
      <c r="E73" s="78">
        <v>5</v>
      </c>
      <c r="F73" s="78">
        <v>5</v>
      </c>
      <c r="G73" s="78">
        <v>5</v>
      </c>
      <c r="H73" s="78">
        <v>15</v>
      </c>
      <c r="I73" s="78">
        <v>15</v>
      </c>
      <c r="J73" s="78">
        <v>15</v>
      </c>
      <c r="K73" s="78">
        <v>15</v>
      </c>
      <c r="L73" s="78">
        <v>15</v>
      </c>
      <c r="M73" s="78">
        <v>15</v>
      </c>
      <c r="N73" s="78">
        <v>15</v>
      </c>
      <c r="P73" s="78">
        <v>15</v>
      </c>
      <c r="Q73" s="78">
        <v>15</v>
      </c>
      <c r="R73" s="78">
        <v>15</v>
      </c>
      <c r="S73" s="78">
        <v>15</v>
      </c>
      <c r="T73" s="78">
        <v>15</v>
      </c>
      <c r="U73" s="78">
        <v>15</v>
      </c>
      <c r="V73" s="78">
        <v>15</v>
      </c>
      <c r="W73" s="78">
        <v>15</v>
      </c>
      <c r="X73" s="78">
        <v>15</v>
      </c>
      <c r="Y73" s="78">
        <v>15</v>
      </c>
      <c r="Z73" s="78">
        <v>15</v>
      </c>
      <c r="AA73" s="78">
        <v>15</v>
      </c>
      <c r="AB73" s="114"/>
    </row>
    <row r="74" spans="1:67" outlineLevel="1" x14ac:dyDescent="0.35">
      <c r="A74" t="s">
        <v>162</v>
      </c>
      <c r="C74" s="78">
        <v>50</v>
      </c>
      <c r="D74" s="78">
        <v>50</v>
      </c>
      <c r="E74" s="78">
        <v>50</v>
      </c>
      <c r="F74" s="78">
        <v>50</v>
      </c>
      <c r="G74" s="78">
        <v>50</v>
      </c>
      <c r="H74" s="78">
        <v>50</v>
      </c>
      <c r="I74" s="78">
        <v>50</v>
      </c>
      <c r="J74" s="78">
        <v>50</v>
      </c>
      <c r="K74" s="78">
        <v>50</v>
      </c>
      <c r="L74" s="78">
        <v>50</v>
      </c>
      <c r="M74" s="78">
        <v>50</v>
      </c>
      <c r="N74" s="78">
        <v>50</v>
      </c>
      <c r="P74" s="78">
        <v>60</v>
      </c>
      <c r="Q74" s="78">
        <v>60</v>
      </c>
      <c r="R74" s="78">
        <v>60</v>
      </c>
      <c r="S74" s="78">
        <v>60</v>
      </c>
      <c r="T74" s="78">
        <v>60</v>
      </c>
      <c r="U74" s="78">
        <v>60</v>
      </c>
      <c r="V74" s="78">
        <v>60</v>
      </c>
      <c r="W74" s="78">
        <v>60</v>
      </c>
      <c r="X74" s="78">
        <v>60</v>
      </c>
      <c r="Y74" s="78">
        <v>60</v>
      </c>
      <c r="Z74" s="78">
        <v>60</v>
      </c>
      <c r="AA74" s="78">
        <v>60</v>
      </c>
      <c r="AB74" s="114"/>
    </row>
    <row r="75" spans="1:67" outlineLevel="1" x14ac:dyDescent="0.35">
      <c r="A75" t="s">
        <v>121</v>
      </c>
      <c r="B75" s="77">
        <v>30</v>
      </c>
      <c r="C75" s="96">
        <f t="shared" ref="C75:N75" si="66">$B$75/C74</f>
        <v>0.6</v>
      </c>
      <c r="D75" s="96">
        <f t="shared" si="66"/>
        <v>0.6</v>
      </c>
      <c r="E75" s="96">
        <f t="shared" si="66"/>
        <v>0.6</v>
      </c>
      <c r="F75" s="96">
        <f t="shared" si="66"/>
        <v>0.6</v>
      </c>
      <c r="G75" s="96">
        <f t="shared" si="66"/>
        <v>0.6</v>
      </c>
      <c r="H75" s="96">
        <f t="shared" si="66"/>
        <v>0.6</v>
      </c>
      <c r="I75" s="96">
        <f t="shared" si="66"/>
        <v>0.6</v>
      </c>
      <c r="J75" s="96">
        <f t="shared" si="66"/>
        <v>0.6</v>
      </c>
      <c r="K75" s="96">
        <f t="shared" si="66"/>
        <v>0.6</v>
      </c>
      <c r="L75" s="96">
        <f t="shared" si="66"/>
        <v>0.6</v>
      </c>
      <c r="M75" s="96">
        <f t="shared" si="66"/>
        <v>0.6</v>
      </c>
      <c r="N75" s="96">
        <f t="shared" si="66"/>
        <v>0.6</v>
      </c>
      <c r="P75" s="96">
        <f>$B$75/P74</f>
        <v>0.5</v>
      </c>
      <c r="Q75" s="96">
        <f t="shared" ref="Q75:AA75" si="67">$B$75/Q74</f>
        <v>0.5</v>
      </c>
      <c r="R75" s="96">
        <f t="shared" si="67"/>
        <v>0.5</v>
      </c>
      <c r="S75" s="96">
        <f t="shared" si="67"/>
        <v>0.5</v>
      </c>
      <c r="T75" s="96">
        <f t="shared" si="67"/>
        <v>0.5</v>
      </c>
      <c r="U75" s="96">
        <f t="shared" si="67"/>
        <v>0.5</v>
      </c>
      <c r="V75" s="96">
        <f t="shared" si="67"/>
        <v>0.5</v>
      </c>
      <c r="W75" s="96">
        <f t="shared" si="67"/>
        <v>0.5</v>
      </c>
      <c r="X75" s="96">
        <f t="shared" si="67"/>
        <v>0.5</v>
      </c>
      <c r="Y75" s="96">
        <f t="shared" si="67"/>
        <v>0.5</v>
      </c>
      <c r="Z75" s="96">
        <f t="shared" si="67"/>
        <v>0.5</v>
      </c>
      <c r="AA75" s="96">
        <f t="shared" si="67"/>
        <v>0.5</v>
      </c>
      <c r="AB75" s="126"/>
    </row>
    <row r="76" spans="1:67" outlineLevel="1" x14ac:dyDescent="0.35"/>
    <row r="77" spans="1:67" outlineLevel="1" x14ac:dyDescent="0.35">
      <c r="A77" s="56" t="s">
        <v>122</v>
      </c>
    </row>
    <row r="78" spans="1:67" outlineLevel="1" x14ac:dyDescent="0.35">
      <c r="A78" t="s">
        <v>163</v>
      </c>
      <c r="C78" s="78">
        <v>60</v>
      </c>
      <c r="D78" s="78">
        <v>60</v>
      </c>
      <c r="E78" s="78">
        <v>75</v>
      </c>
      <c r="F78" s="78">
        <v>75</v>
      </c>
      <c r="G78" s="78">
        <v>75</v>
      </c>
      <c r="H78" s="78">
        <v>75</v>
      </c>
      <c r="I78" s="78">
        <v>75</v>
      </c>
      <c r="J78" s="78">
        <v>75</v>
      </c>
      <c r="K78" s="78">
        <v>75</v>
      </c>
      <c r="L78" s="78">
        <v>75</v>
      </c>
      <c r="M78" s="78">
        <v>75</v>
      </c>
      <c r="N78" s="78">
        <v>75</v>
      </c>
      <c r="P78" s="78">
        <v>75</v>
      </c>
      <c r="Q78" s="78">
        <v>75</v>
      </c>
      <c r="R78" s="78">
        <v>75</v>
      </c>
      <c r="S78" s="78">
        <v>75</v>
      </c>
      <c r="T78" s="78">
        <v>75</v>
      </c>
      <c r="U78" s="78">
        <v>75</v>
      </c>
      <c r="V78" s="78">
        <v>75</v>
      </c>
      <c r="W78" s="78">
        <v>75</v>
      </c>
      <c r="X78" s="78">
        <v>75</v>
      </c>
      <c r="Y78" s="78">
        <v>75</v>
      </c>
      <c r="Z78" s="78">
        <v>75</v>
      </c>
      <c r="AA78" s="78">
        <v>75</v>
      </c>
      <c r="AB78" s="114"/>
    </row>
    <row r="79" spans="1:67" outlineLevel="1" x14ac:dyDescent="0.35"/>
    <row r="80" spans="1:67" outlineLevel="1" x14ac:dyDescent="0.35">
      <c r="A80" s="56" t="s">
        <v>164</v>
      </c>
    </row>
    <row r="81" spans="1:28" outlineLevel="1" x14ac:dyDescent="0.35">
      <c r="A81" t="s">
        <v>165</v>
      </c>
      <c r="C81" s="78">
        <v>250000</v>
      </c>
      <c r="D81" s="78">
        <v>0</v>
      </c>
      <c r="E81" s="78">
        <v>0</v>
      </c>
      <c r="F81" s="78">
        <v>0</v>
      </c>
      <c r="G81" s="78">
        <v>0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  <c r="P81" s="78">
        <v>0</v>
      </c>
      <c r="Q81" s="78">
        <v>0</v>
      </c>
      <c r="R81" s="78">
        <v>0</v>
      </c>
      <c r="S81" s="78">
        <v>0</v>
      </c>
      <c r="T81" s="78">
        <v>0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114"/>
    </row>
    <row r="82" spans="1:28" outlineLevel="1" x14ac:dyDescent="0.35">
      <c r="A82" t="s">
        <v>123</v>
      </c>
      <c r="C82" s="78">
        <v>800000</v>
      </c>
      <c r="D82" s="78">
        <v>0</v>
      </c>
      <c r="E82" s="78">
        <v>0</v>
      </c>
      <c r="F82" s="78">
        <v>0</v>
      </c>
      <c r="G82" s="78">
        <v>0</v>
      </c>
      <c r="H82" s="78">
        <v>200000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P82" s="78">
        <v>0</v>
      </c>
      <c r="Q82" s="78">
        <v>0</v>
      </c>
      <c r="R82" s="78">
        <v>0</v>
      </c>
      <c r="S82" s="78">
        <v>600000</v>
      </c>
      <c r="T82" s="78">
        <v>600000</v>
      </c>
      <c r="U82" s="78">
        <v>600000</v>
      </c>
      <c r="V82" s="78">
        <v>600000</v>
      </c>
      <c r="W82" s="78">
        <v>600000</v>
      </c>
      <c r="X82" s="78">
        <v>600000</v>
      </c>
      <c r="Y82" s="78">
        <v>600000</v>
      </c>
      <c r="Z82" s="78">
        <v>600000</v>
      </c>
      <c r="AA82" s="78">
        <v>600000</v>
      </c>
      <c r="AB82" s="114"/>
    </row>
    <row r="83" spans="1:28" outlineLevel="1" x14ac:dyDescent="0.35">
      <c r="A83" t="s">
        <v>124</v>
      </c>
      <c r="C83" s="78">
        <v>0</v>
      </c>
      <c r="D83" s="78">
        <v>0</v>
      </c>
      <c r="E83" s="78">
        <v>0</v>
      </c>
      <c r="F83" s="78">
        <v>0</v>
      </c>
      <c r="G83" s="78">
        <v>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  <c r="U83" s="78">
        <v>0</v>
      </c>
      <c r="V83" s="78">
        <v>0</v>
      </c>
      <c r="W83" s="78">
        <v>0</v>
      </c>
      <c r="X83" s="78">
        <v>0</v>
      </c>
      <c r="Y83" s="78">
        <v>0</v>
      </c>
      <c r="Z83" s="78">
        <v>0</v>
      </c>
      <c r="AA83" s="78">
        <v>0</v>
      </c>
      <c r="AB83" s="114"/>
    </row>
    <row r="84" spans="1:28" outlineLevel="1" x14ac:dyDescent="0.35"/>
    <row r="85" spans="1:28" outlineLevel="1" x14ac:dyDescent="0.35">
      <c r="A85" s="56" t="s">
        <v>125</v>
      </c>
    </row>
    <row r="86" spans="1:28" outlineLevel="1" x14ac:dyDescent="0.35">
      <c r="A86" t="s">
        <v>166</v>
      </c>
      <c r="C86" s="78">
        <v>5</v>
      </c>
      <c r="D86" s="78">
        <v>5</v>
      </c>
      <c r="E86" s="78">
        <v>5</v>
      </c>
      <c r="F86" s="78">
        <v>5</v>
      </c>
      <c r="G86" s="78">
        <v>5</v>
      </c>
      <c r="H86" s="78">
        <v>5</v>
      </c>
      <c r="I86" s="78">
        <v>5</v>
      </c>
      <c r="J86" s="78">
        <v>5</v>
      </c>
      <c r="K86" s="78">
        <v>5</v>
      </c>
      <c r="L86" s="78">
        <v>5</v>
      </c>
      <c r="M86" s="78">
        <v>5</v>
      </c>
      <c r="N86" s="78">
        <v>5</v>
      </c>
      <c r="P86" s="78">
        <v>5</v>
      </c>
      <c r="Q86" s="78">
        <v>5</v>
      </c>
      <c r="R86" s="78">
        <v>5</v>
      </c>
      <c r="S86" s="78">
        <v>5</v>
      </c>
      <c r="T86" s="78">
        <v>5</v>
      </c>
      <c r="U86" s="78">
        <v>5</v>
      </c>
      <c r="V86" s="78">
        <v>5</v>
      </c>
      <c r="W86" s="78">
        <v>5</v>
      </c>
      <c r="X86" s="78">
        <v>5</v>
      </c>
      <c r="Y86" s="78">
        <v>5</v>
      </c>
      <c r="Z86" s="78">
        <v>5</v>
      </c>
      <c r="AA86" s="78">
        <v>5</v>
      </c>
      <c r="AB86" s="114"/>
    </row>
    <row r="87" spans="1:28" outlineLevel="1" x14ac:dyDescent="0.35">
      <c r="A87" t="s">
        <v>167</v>
      </c>
      <c r="C87" s="78">
        <v>5</v>
      </c>
      <c r="D87" s="78">
        <v>5</v>
      </c>
      <c r="E87" s="78">
        <v>5</v>
      </c>
      <c r="F87" s="78">
        <v>5</v>
      </c>
      <c r="G87" s="78">
        <v>5</v>
      </c>
      <c r="H87" s="78">
        <v>5</v>
      </c>
      <c r="I87" s="78">
        <v>5</v>
      </c>
      <c r="J87" s="78">
        <v>5</v>
      </c>
      <c r="K87" s="78">
        <v>5</v>
      </c>
      <c r="L87" s="78">
        <v>5</v>
      </c>
      <c r="M87" s="78">
        <v>5</v>
      </c>
      <c r="N87" s="78">
        <v>5</v>
      </c>
      <c r="P87" s="78">
        <v>5</v>
      </c>
      <c r="Q87" s="78">
        <v>5</v>
      </c>
      <c r="R87" s="78">
        <v>5</v>
      </c>
      <c r="S87" s="78">
        <v>5</v>
      </c>
      <c r="T87" s="78">
        <v>5</v>
      </c>
      <c r="U87" s="78">
        <v>5</v>
      </c>
      <c r="V87" s="78">
        <v>5</v>
      </c>
      <c r="W87" s="78">
        <v>5</v>
      </c>
      <c r="X87" s="78">
        <v>5</v>
      </c>
      <c r="Y87" s="78">
        <v>5</v>
      </c>
      <c r="Z87" s="78">
        <v>5</v>
      </c>
      <c r="AA87" s="78">
        <v>5</v>
      </c>
      <c r="AB87" s="114"/>
    </row>
    <row r="88" spans="1:28" outlineLevel="1" x14ac:dyDescent="0.35"/>
    <row r="89" spans="1:28" outlineLevel="1" x14ac:dyDescent="0.35">
      <c r="A89" s="56" t="s">
        <v>168</v>
      </c>
    </row>
    <row r="90" spans="1:28" outlineLevel="1" x14ac:dyDescent="0.35">
      <c r="A90" t="s">
        <v>126</v>
      </c>
      <c r="C90" s="82">
        <v>0.18</v>
      </c>
      <c r="D90" s="82">
        <v>0.18</v>
      </c>
      <c r="E90" s="82">
        <v>0.18</v>
      </c>
      <c r="F90" s="82">
        <v>0.18</v>
      </c>
      <c r="G90" s="82">
        <v>0.18</v>
      </c>
      <c r="H90" s="82">
        <v>0.18</v>
      </c>
      <c r="I90" s="82">
        <v>0.18</v>
      </c>
      <c r="J90" s="82">
        <v>0.18</v>
      </c>
      <c r="K90" s="82">
        <v>0.18</v>
      </c>
      <c r="L90" s="82">
        <v>0.18</v>
      </c>
      <c r="M90" s="82">
        <v>0.18</v>
      </c>
      <c r="N90" s="82">
        <v>0.18</v>
      </c>
      <c r="P90" s="82">
        <v>0.18</v>
      </c>
      <c r="Q90" s="82">
        <v>0.18</v>
      </c>
      <c r="R90" s="82">
        <v>0.18</v>
      </c>
      <c r="S90" s="82">
        <v>0.18</v>
      </c>
      <c r="T90" s="82">
        <v>0.18</v>
      </c>
      <c r="U90" s="82">
        <v>0.18</v>
      </c>
      <c r="V90" s="82">
        <v>0.18</v>
      </c>
      <c r="W90" s="82">
        <v>0.18</v>
      </c>
      <c r="X90" s="82">
        <v>0.18</v>
      </c>
      <c r="Y90" s="82">
        <v>0.18</v>
      </c>
      <c r="Z90" s="82">
        <v>0.18</v>
      </c>
      <c r="AA90" s="82">
        <v>0.18</v>
      </c>
      <c r="AB90" s="112"/>
    </row>
    <row r="91" spans="1:28" outlineLevel="1" x14ac:dyDescent="0.35">
      <c r="A91" t="s">
        <v>127</v>
      </c>
      <c r="C91" s="78">
        <v>1500000</v>
      </c>
      <c r="D91" s="78">
        <v>0</v>
      </c>
      <c r="E91" s="78">
        <v>0</v>
      </c>
      <c r="F91" s="78">
        <v>0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  <c r="L91" s="78">
        <v>0</v>
      </c>
      <c r="M91" s="78">
        <v>0</v>
      </c>
      <c r="N91" s="78">
        <v>0</v>
      </c>
      <c r="P91" s="78">
        <v>0</v>
      </c>
      <c r="Q91" s="78">
        <v>0</v>
      </c>
      <c r="R91" s="78">
        <v>2000000</v>
      </c>
      <c r="S91" s="78">
        <v>0</v>
      </c>
      <c r="T91" s="78">
        <v>0</v>
      </c>
      <c r="U91" s="78">
        <v>0</v>
      </c>
      <c r="V91" s="78">
        <v>0</v>
      </c>
      <c r="W91" s="78">
        <v>0</v>
      </c>
      <c r="X91" s="78">
        <v>0</v>
      </c>
      <c r="Y91" s="78">
        <v>0</v>
      </c>
      <c r="Z91" s="78">
        <v>0</v>
      </c>
      <c r="AA91" s="78">
        <v>0</v>
      </c>
      <c r="AB91" s="114"/>
    </row>
    <row r="92" spans="1:28" outlineLevel="1" x14ac:dyDescent="0.35">
      <c r="A92" t="s">
        <v>128</v>
      </c>
      <c r="C92" s="78">
        <f>'Share Structure'!D14</f>
        <v>3000000</v>
      </c>
      <c r="D92" s="78">
        <v>0</v>
      </c>
      <c r="E92" s="78">
        <v>0</v>
      </c>
      <c r="F92" s="78">
        <v>0</v>
      </c>
      <c r="G92" s="78">
        <v>0</v>
      </c>
      <c r="H92" s="78">
        <v>0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  <c r="P92" s="78">
        <v>0</v>
      </c>
      <c r="Q92" s="78">
        <v>0</v>
      </c>
      <c r="R92" s="78">
        <v>0</v>
      </c>
      <c r="S92" s="78">
        <v>0</v>
      </c>
      <c r="T92" s="78">
        <v>0</v>
      </c>
      <c r="U92" s="78">
        <v>0</v>
      </c>
      <c r="V92" s="78">
        <v>0</v>
      </c>
      <c r="W92" s="78">
        <v>0</v>
      </c>
      <c r="X92" s="78">
        <v>0</v>
      </c>
      <c r="Y92" s="78">
        <v>0</v>
      </c>
      <c r="Z92" s="78">
        <v>0</v>
      </c>
      <c r="AA92" s="78">
        <v>0</v>
      </c>
      <c r="AB92" s="114"/>
    </row>
    <row r="93" spans="1:28" outlineLevel="1" x14ac:dyDescent="0.35">
      <c r="A93" t="s">
        <v>129</v>
      </c>
      <c r="C93" s="78">
        <v>0</v>
      </c>
      <c r="D93" s="78">
        <v>0</v>
      </c>
      <c r="E93" s="78">
        <v>0</v>
      </c>
      <c r="F93" s="78">
        <v>0</v>
      </c>
      <c r="G93" s="78">
        <v>0</v>
      </c>
      <c r="H93" s="78">
        <v>0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  <c r="N93" s="78">
        <v>0</v>
      </c>
      <c r="P93" s="78">
        <v>0</v>
      </c>
      <c r="Q93" s="78">
        <v>0</v>
      </c>
      <c r="R93" s="78">
        <v>0</v>
      </c>
      <c r="S93" s="78">
        <v>0</v>
      </c>
      <c r="T93" s="78">
        <v>0</v>
      </c>
      <c r="U93" s="78">
        <v>0</v>
      </c>
      <c r="V93" s="78">
        <v>0</v>
      </c>
      <c r="W93" s="78">
        <v>0</v>
      </c>
      <c r="X93" s="78">
        <v>0</v>
      </c>
      <c r="Y93" s="78">
        <v>0</v>
      </c>
      <c r="Z93" s="78">
        <v>0</v>
      </c>
      <c r="AA93" s="78">
        <v>0</v>
      </c>
      <c r="AB93" s="114"/>
    </row>
    <row r="94" spans="1:28" outlineLevel="1" x14ac:dyDescent="0.35"/>
    <row r="95" spans="1:28" outlineLevel="1" x14ac:dyDescent="0.35">
      <c r="A95" s="56" t="s">
        <v>130</v>
      </c>
    </row>
    <row r="96" spans="1:28" outlineLevel="1" x14ac:dyDescent="0.35">
      <c r="A96" t="s">
        <v>169</v>
      </c>
      <c r="C96" s="82">
        <v>0.3</v>
      </c>
      <c r="D96" s="82">
        <v>0.3</v>
      </c>
      <c r="E96" s="82">
        <v>0.3</v>
      </c>
      <c r="F96" s="82">
        <v>0.3</v>
      </c>
      <c r="G96" s="82">
        <v>0.3</v>
      </c>
      <c r="H96" s="82">
        <v>0.3</v>
      </c>
      <c r="I96" s="82">
        <v>0.3</v>
      </c>
      <c r="J96" s="82">
        <v>0.3</v>
      </c>
      <c r="K96" s="82">
        <v>0.3</v>
      </c>
      <c r="L96" s="82">
        <v>0.3</v>
      </c>
      <c r="M96" s="82">
        <v>0.3</v>
      </c>
      <c r="N96" s="82">
        <v>0.3</v>
      </c>
      <c r="P96" s="82">
        <v>0.3</v>
      </c>
      <c r="Q96" s="82">
        <v>0.3</v>
      </c>
      <c r="R96" s="82">
        <v>0.3</v>
      </c>
      <c r="S96" s="82">
        <v>0.3</v>
      </c>
      <c r="T96" s="82">
        <v>0.3</v>
      </c>
      <c r="U96" s="82">
        <v>0.3</v>
      </c>
      <c r="V96" s="82">
        <v>0.3</v>
      </c>
      <c r="W96" s="82">
        <v>0.3</v>
      </c>
      <c r="X96" s="82">
        <v>0.3</v>
      </c>
      <c r="Y96" s="82">
        <v>0.3</v>
      </c>
      <c r="Z96" s="82">
        <v>0.3</v>
      </c>
      <c r="AA96" s="82">
        <v>0.3</v>
      </c>
      <c r="AB96" s="112"/>
    </row>
    <row r="97" spans="1:67" outlineLevel="1" x14ac:dyDescent="0.35">
      <c r="A97" t="s">
        <v>170</v>
      </c>
      <c r="B97" s="80">
        <v>0.2</v>
      </c>
      <c r="C97" s="54">
        <f t="shared" ref="C97:N97" si="68">B97</f>
        <v>0.2</v>
      </c>
      <c r="D97" s="54">
        <f t="shared" si="68"/>
        <v>0.2</v>
      </c>
      <c r="E97" s="54">
        <f t="shared" si="68"/>
        <v>0.2</v>
      </c>
      <c r="F97" s="54">
        <f t="shared" si="68"/>
        <v>0.2</v>
      </c>
      <c r="G97" s="54">
        <f t="shared" si="68"/>
        <v>0.2</v>
      </c>
      <c r="H97" s="54">
        <f t="shared" si="68"/>
        <v>0.2</v>
      </c>
      <c r="I97" s="54">
        <f t="shared" si="68"/>
        <v>0.2</v>
      </c>
      <c r="J97" s="54">
        <f t="shared" si="68"/>
        <v>0.2</v>
      </c>
      <c r="K97" s="54">
        <f t="shared" si="68"/>
        <v>0.2</v>
      </c>
      <c r="L97" s="54">
        <f t="shared" si="68"/>
        <v>0.2</v>
      </c>
      <c r="M97" s="54">
        <f t="shared" si="68"/>
        <v>0.2</v>
      </c>
      <c r="N97" s="54">
        <f t="shared" si="68"/>
        <v>0.2</v>
      </c>
      <c r="P97" s="54">
        <f>N97</f>
        <v>0.2</v>
      </c>
      <c r="Q97" s="54">
        <f>P97</f>
        <v>0.2</v>
      </c>
      <c r="R97" s="54">
        <f t="shared" ref="R97:AA97" si="69">Q97</f>
        <v>0.2</v>
      </c>
      <c r="S97" s="54">
        <f t="shared" si="69"/>
        <v>0.2</v>
      </c>
      <c r="T97" s="54">
        <f t="shared" si="69"/>
        <v>0.2</v>
      </c>
      <c r="U97" s="54">
        <f t="shared" si="69"/>
        <v>0.2</v>
      </c>
      <c r="V97" s="54">
        <f t="shared" si="69"/>
        <v>0.2</v>
      </c>
      <c r="W97" s="54">
        <f t="shared" si="69"/>
        <v>0.2</v>
      </c>
      <c r="X97" s="54">
        <f t="shared" si="69"/>
        <v>0.2</v>
      </c>
      <c r="Y97" s="54">
        <f t="shared" si="69"/>
        <v>0.2</v>
      </c>
      <c r="Z97" s="54">
        <f t="shared" si="69"/>
        <v>0.2</v>
      </c>
      <c r="AA97" s="54">
        <f t="shared" si="69"/>
        <v>0.2</v>
      </c>
      <c r="AB97" s="127"/>
    </row>
    <row r="98" spans="1:67" outlineLevel="1" x14ac:dyDescent="0.35">
      <c r="A98" t="s">
        <v>131</v>
      </c>
      <c r="B98" s="87">
        <v>5</v>
      </c>
    </row>
    <row r="99" spans="1:67" outlineLevel="1" x14ac:dyDescent="0.35"/>
    <row r="100" spans="1:67" s="70" customFormat="1" x14ac:dyDescent="0.35">
      <c r="A100" s="70" t="s">
        <v>132</v>
      </c>
      <c r="C100" s="69"/>
      <c r="D100" s="69"/>
      <c r="E100" s="69"/>
      <c r="F100" s="69"/>
      <c r="G100" s="69"/>
      <c r="O100" s="98"/>
      <c r="AB100" s="98"/>
      <c r="AO100" s="98"/>
      <c r="BB100" s="98"/>
      <c r="BO100" s="98"/>
    </row>
    <row r="101" spans="1:67" s="56" customFormat="1" outlineLevel="1" x14ac:dyDescent="0.35">
      <c r="A101" s="56" t="s">
        <v>181</v>
      </c>
      <c r="C101" s="57">
        <f>C24*C33</f>
        <v>315000</v>
      </c>
      <c r="D101" s="57">
        <f t="shared" ref="D101:N101" si="70">D24*D33</f>
        <v>1242600</v>
      </c>
      <c r="E101" s="57">
        <f t="shared" si="70"/>
        <v>1270938</v>
      </c>
      <c r="F101" s="57">
        <f t="shared" si="70"/>
        <v>1300033.68</v>
      </c>
      <c r="G101" s="57">
        <f t="shared" si="70"/>
        <v>1642088.4269999999</v>
      </c>
      <c r="H101" s="57">
        <f t="shared" si="70"/>
        <v>1659321.1353900002</v>
      </c>
      <c r="I101" s="57">
        <f t="shared" si="70"/>
        <v>1676742.4073463001</v>
      </c>
      <c r="J101" s="57">
        <f t="shared" si="70"/>
        <v>2015995.0588663141</v>
      </c>
      <c r="K101" s="57">
        <f t="shared" si="70"/>
        <v>2037016.5237057141</v>
      </c>
      <c r="L101" s="57">
        <f t="shared" si="70"/>
        <v>2058265.4334785233</v>
      </c>
      <c r="M101" s="57">
        <f t="shared" si="70"/>
        <v>2079744.4072397749</v>
      </c>
      <c r="N101" s="57">
        <f t="shared" si="70"/>
        <v>2101456.0971271694</v>
      </c>
      <c r="O101" s="103">
        <f>SUM(C101:N101)</f>
        <v>19399201.170153797</v>
      </c>
      <c r="P101" s="57">
        <f>P24*P33</f>
        <v>3025592.8421840286</v>
      </c>
      <c r="Q101" s="57">
        <f t="shared" ref="Q101:AA101" si="71">Q24*Q33</f>
        <v>3057370.6607593438</v>
      </c>
      <c r="R101" s="57">
        <f t="shared" si="71"/>
        <v>3089496.6953234826</v>
      </c>
      <c r="S101" s="57">
        <f t="shared" si="71"/>
        <v>3121975.0367923924</v>
      </c>
      <c r="T101" s="57">
        <f t="shared" si="71"/>
        <v>3154809.8291663057</v>
      </c>
      <c r="U101" s="57">
        <f t="shared" si="71"/>
        <v>3719339.482021424</v>
      </c>
      <c r="V101" s="57">
        <f t="shared" si="71"/>
        <v>3758493.2148285075</v>
      </c>
      <c r="W101" s="57">
        <f t="shared" si="71"/>
        <v>3798077.6917233993</v>
      </c>
      <c r="X101" s="57">
        <f t="shared" si="71"/>
        <v>3838098.0042821718</v>
      </c>
      <c r="Y101" s="57">
        <f t="shared" si="71"/>
        <v>3878559.310679364</v>
      </c>
      <c r="Z101" s="57">
        <f t="shared" si="71"/>
        <v>3919466.8366676145</v>
      </c>
      <c r="AA101" s="57">
        <f t="shared" si="71"/>
        <v>3960825.8765733773</v>
      </c>
      <c r="AB101" s="103">
        <f>SUM(P101:AA101)</f>
        <v>42322105.481001407</v>
      </c>
      <c r="AO101" s="102"/>
      <c r="BB101" s="102"/>
      <c r="BO101" s="102"/>
    </row>
    <row r="102" spans="1:67" outlineLevel="1" x14ac:dyDescent="0.35">
      <c r="A102" t="s">
        <v>182</v>
      </c>
      <c r="C102" s="55">
        <f>(C33-C34)*C24</f>
        <v>78750</v>
      </c>
      <c r="D102" s="55">
        <f t="shared" ref="D102:N102" si="72">(D33-D34)*D24</f>
        <v>310650</v>
      </c>
      <c r="E102" s="55">
        <f t="shared" si="72"/>
        <v>317734.5</v>
      </c>
      <c r="F102" s="55">
        <f t="shared" si="72"/>
        <v>325008.42</v>
      </c>
      <c r="G102" s="55">
        <f t="shared" si="72"/>
        <v>328417.68539999996</v>
      </c>
      <c r="H102" s="55">
        <f t="shared" si="72"/>
        <v>331864.22707800003</v>
      </c>
      <c r="I102" s="55">
        <f t="shared" si="72"/>
        <v>335348.48146926006</v>
      </c>
      <c r="J102" s="55">
        <f t="shared" si="72"/>
        <v>201599.5058866317</v>
      </c>
      <c r="K102" s="55">
        <f t="shared" si="72"/>
        <v>203701.65237057171</v>
      </c>
      <c r="L102" s="55">
        <f t="shared" si="72"/>
        <v>205826.54334785265</v>
      </c>
      <c r="M102" s="55">
        <f t="shared" si="72"/>
        <v>207974.44072397781</v>
      </c>
      <c r="N102" s="55">
        <f t="shared" si="72"/>
        <v>210145.60971271724</v>
      </c>
      <c r="O102" s="103">
        <f>SUM(C102:N102)</f>
        <v>3057021.065989011</v>
      </c>
      <c r="P102" s="55">
        <f>(P33-P34)*P24</f>
        <v>302559.28421840334</v>
      </c>
      <c r="Q102" s="55">
        <f t="shared" ref="Q102:AA102" si="73">(Q33-Q34)*Q24</f>
        <v>305737.06607593485</v>
      </c>
      <c r="R102" s="55">
        <f t="shared" si="73"/>
        <v>308949.66953234869</v>
      </c>
      <c r="S102" s="55">
        <f t="shared" si="73"/>
        <v>312197.50367923971</v>
      </c>
      <c r="T102" s="55">
        <f t="shared" si="73"/>
        <v>315480.98291663104</v>
      </c>
      <c r="U102" s="55">
        <f t="shared" si="73"/>
        <v>371933.9482021429</v>
      </c>
      <c r="V102" s="55">
        <f t="shared" si="73"/>
        <v>375849.32148285123</v>
      </c>
      <c r="W102" s="55">
        <f t="shared" si="73"/>
        <v>379807.76917234046</v>
      </c>
      <c r="X102" s="55">
        <f t="shared" si="73"/>
        <v>383809.80042821768</v>
      </c>
      <c r="Y102" s="55">
        <f t="shared" si="73"/>
        <v>387855.93106793688</v>
      </c>
      <c r="Z102" s="55">
        <f t="shared" si="73"/>
        <v>391946.68366676196</v>
      </c>
      <c r="AA102" s="55">
        <f t="shared" si="73"/>
        <v>396082.58765733824</v>
      </c>
      <c r="AB102" s="103">
        <f>SUM(P102:AA102)</f>
        <v>4232210.5481001474</v>
      </c>
    </row>
    <row r="103" spans="1:67" s="56" customFormat="1" outlineLevel="1" x14ac:dyDescent="0.35">
      <c r="A103" s="56" t="s">
        <v>183</v>
      </c>
      <c r="C103" s="57">
        <f t="shared" ref="C103:N103" si="74">C101-C102</f>
        <v>236250</v>
      </c>
      <c r="D103" s="57">
        <f t="shared" si="74"/>
        <v>931950</v>
      </c>
      <c r="E103" s="57">
        <f t="shared" si="74"/>
        <v>953203.5</v>
      </c>
      <c r="F103" s="57">
        <f t="shared" si="74"/>
        <v>975025.26</v>
      </c>
      <c r="G103" s="57">
        <f t="shared" si="74"/>
        <v>1313670.7415999998</v>
      </c>
      <c r="H103" s="57">
        <f t="shared" si="74"/>
        <v>1327456.9083120001</v>
      </c>
      <c r="I103" s="57">
        <f t="shared" si="74"/>
        <v>1341393.92587704</v>
      </c>
      <c r="J103" s="57">
        <f t="shared" si="74"/>
        <v>1814395.5529796823</v>
      </c>
      <c r="K103" s="57">
        <f t="shared" si="74"/>
        <v>1833314.8713351425</v>
      </c>
      <c r="L103" s="57">
        <f t="shared" si="74"/>
        <v>1852438.8901306707</v>
      </c>
      <c r="M103" s="57">
        <f t="shared" si="74"/>
        <v>1871769.9665157972</v>
      </c>
      <c r="N103" s="57">
        <f t="shared" si="74"/>
        <v>1891310.4874144522</v>
      </c>
      <c r="O103" s="103">
        <f>SUM(C103:N103)</f>
        <v>16342180.104164787</v>
      </c>
      <c r="P103" s="57">
        <f>P101-P102</f>
        <v>2723033.5579656251</v>
      </c>
      <c r="Q103" s="57">
        <f t="shared" ref="Q103:AA103" si="75">Q101-Q102</f>
        <v>2751633.5946834087</v>
      </c>
      <c r="R103" s="57">
        <f t="shared" si="75"/>
        <v>2780547.0257911338</v>
      </c>
      <c r="S103" s="57">
        <f t="shared" si="75"/>
        <v>2809777.5331131527</v>
      </c>
      <c r="T103" s="57">
        <f t="shared" si="75"/>
        <v>2839328.8462496744</v>
      </c>
      <c r="U103" s="57">
        <f t="shared" si="75"/>
        <v>3347405.533819281</v>
      </c>
      <c r="V103" s="57">
        <f t="shared" si="75"/>
        <v>3382643.8933456563</v>
      </c>
      <c r="W103" s="57">
        <f t="shared" si="75"/>
        <v>3418269.9225510587</v>
      </c>
      <c r="X103" s="57">
        <f t="shared" si="75"/>
        <v>3454288.2038539541</v>
      </c>
      <c r="Y103" s="57">
        <f t="shared" si="75"/>
        <v>3490703.379611427</v>
      </c>
      <c r="Z103" s="57">
        <f t="shared" si="75"/>
        <v>3527520.1530008526</v>
      </c>
      <c r="AA103" s="57">
        <f t="shared" si="75"/>
        <v>3564743.2889160393</v>
      </c>
      <c r="AB103" s="103">
        <f>SUM(P103:AA103)</f>
        <v>38089894.932901263</v>
      </c>
      <c r="AO103" s="102"/>
      <c r="BB103" s="102"/>
      <c r="BO103" s="102"/>
    </row>
    <row r="104" spans="1:67" outlineLevel="1" x14ac:dyDescent="0.35">
      <c r="A104" s="56" t="s">
        <v>245</v>
      </c>
    </row>
    <row r="105" spans="1:67" outlineLevel="1" x14ac:dyDescent="0.35">
      <c r="A105" t="s">
        <v>184</v>
      </c>
      <c r="C105" s="55">
        <f>C31*C33*C24</f>
        <v>157500</v>
      </c>
      <c r="D105" s="55">
        <f t="shared" ref="D105:N105" si="76">D31*D33*D24</f>
        <v>621300</v>
      </c>
      <c r="E105" s="55">
        <f t="shared" si="76"/>
        <v>635469</v>
      </c>
      <c r="F105" s="55">
        <f t="shared" si="76"/>
        <v>650016.84</v>
      </c>
      <c r="G105" s="55">
        <f t="shared" si="76"/>
        <v>821044.21349999995</v>
      </c>
      <c r="H105" s="55">
        <f t="shared" si="76"/>
        <v>829660.56769500009</v>
      </c>
      <c r="I105" s="55">
        <f t="shared" si="76"/>
        <v>838371.20367315004</v>
      </c>
      <c r="J105" s="55">
        <f t="shared" si="76"/>
        <v>1007997.5294331571</v>
      </c>
      <c r="K105" s="55">
        <f t="shared" si="76"/>
        <v>1018508.2618528571</v>
      </c>
      <c r="L105" s="55">
        <f t="shared" si="76"/>
        <v>1029132.7167392616</v>
      </c>
      <c r="M105" s="55">
        <f t="shared" si="76"/>
        <v>1039872.2036198875</v>
      </c>
      <c r="N105" s="55">
        <f t="shared" si="76"/>
        <v>1050728.0485635847</v>
      </c>
      <c r="O105" s="103">
        <f>SUM(C105:N105)</f>
        <v>9699600.5850768983</v>
      </c>
      <c r="P105" s="55">
        <f>P31*P33*P24</f>
        <v>1512796.4210920143</v>
      </c>
      <c r="Q105" s="55">
        <f t="shared" ref="Q105:AA105" si="77">Q31*Q33*Q24</f>
        <v>1528685.3303796719</v>
      </c>
      <c r="R105" s="55">
        <f t="shared" si="77"/>
        <v>1544748.3476617413</v>
      </c>
      <c r="S105" s="55">
        <f t="shared" si="77"/>
        <v>1560987.5183961962</v>
      </c>
      <c r="T105" s="55">
        <f t="shared" si="77"/>
        <v>1577404.9145831529</v>
      </c>
      <c r="U105" s="55">
        <f t="shared" si="77"/>
        <v>1859669.741010712</v>
      </c>
      <c r="V105" s="55">
        <f t="shared" si="77"/>
        <v>1879246.6074142538</v>
      </c>
      <c r="W105" s="55">
        <f t="shared" si="77"/>
        <v>1899038.8458616997</v>
      </c>
      <c r="X105" s="55">
        <f t="shared" si="77"/>
        <v>1919049.0021410859</v>
      </c>
      <c r="Y105" s="55">
        <f t="shared" si="77"/>
        <v>1939279.655339682</v>
      </c>
      <c r="Z105" s="55">
        <f t="shared" si="77"/>
        <v>1959733.4183338073</v>
      </c>
      <c r="AA105" s="55">
        <f t="shared" si="77"/>
        <v>1980412.9382866886</v>
      </c>
      <c r="AB105" s="103">
        <f>SUM(P105:AA105)</f>
        <v>21161052.740500703</v>
      </c>
    </row>
    <row r="106" spans="1:67" s="56" customFormat="1" outlineLevel="1" x14ac:dyDescent="0.35">
      <c r="A106" s="56" t="s">
        <v>189</v>
      </c>
      <c r="C106" s="57">
        <f t="shared" ref="C106:N106" si="78">C103-C105</f>
        <v>78750</v>
      </c>
      <c r="D106" s="57">
        <f t="shared" si="78"/>
        <v>310650</v>
      </c>
      <c r="E106" s="57">
        <f t="shared" si="78"/>
        <v>317734.5</v>
      </c>
      <c r="F106" s="57">
        <f t="shared" si="78"/>
        <v>325008.42000000004</v>
      </c>
      <c r="G106" s="57">
        <f t="shared" si="78"/>
        <v>492626.52809999988</v>
      </c>
      <c r="H106" s="57">
        <f t="shared" si="78"/>
        <v>497796.34061700001</v>
      </c>
      <c r="I106" s="57">
        <f t="shared" si="78"/>
        <v>503022.72220388998</v>
      </c>
      <c r="J106" s="57">
        <f t="shared" si="78"/>
        <v>806398.02354652528</v>
      </c>
      <c r="K106" s="57">
        <f t="shared" si="78"/>
        <v>814806.60948228545</v>
      </c>
      <c r="L106" s="57">
        <f t="shared" si="78"/>
        <v>823306.1733914091</v>
      </c>
      <c r="M106" s="57">
        <f t="shared" si="78"/>
        <v>831897.76289590972</v>
      </c>
      <c r="N106" s="57">
        <f t="shared" si="78"/>
        <v>840582.43885086756</v>
      </c>
      <c r="O106" s="103">
        <f>SUM(C106:N106)</f>
        <v>6642579.5190878874</v>
      </c>
      <c r="P106" s="57">
        <f>P103-P105</f>
        <v>1210237.1368736108</v>
      </c>
      <c r="Q106" s="57">
        <f t="shared" ref="Q106:AA106" si="79">Q103-Q105</f>
        <v>1222948.2643037369</v>
      </c>
      <c r="R106" s="57">
        <f t="shared" si="79"/>
        <v>1235798.6781293924</v>
      </c>
      <c r="S106" s="57">
        <f t="shared" si="79"/>
        <v>1248790.0147169565</v>
      </c>
      <c r="T106" s="57">
        <f t="shared" si="79"/>
        <v>1261923.9316665216</v>
      </c>
      <c r="U106" s="57">
        <f t="shared" si="79"/>
        <v>1487735.792808569</v>
      </c>
      <c r="V106" s="57">
        <f t="shared" si="79"/>
        <v>1503397.2859314026</v>
      </c>
      <c r="W106" s="57">
        <f t="shared" si="79"/>
        <v>1519231.076689359</v>
      </c>
      <c r="X106" s="57">
        <f t="shared" si="79"/>
        <v>1535239.2017128682</v>
      </c>
      <c r="Y106" s="57">
        <f t="shared" si="79"/>
        <v>1551423.724271745</v>
      </c>
      <c r="Z106" s="57">
        <f t="shared" si="79"/>
        <v>1567786.7346670453</v>
      </c>
      <c r="AA106" s="57">
        <f t="shared" si="79"/>
        <v>1584330.3506293506</v>
      </c>
      <c r="AB106" s="103">
        <f>SUM(P106:AA106)</f>
        <v>16928842.192400556</v>
      </c>
      <c r="AO106" s="102"/>
      <c r="BB106" s="102"/>
      <c r="BO106" s="102"/>
    </row>
    <row r="107" spans="1:67" s="56" customFormat="1" outlineLevel="1" x14ac:dyDescent="0.35">
      <c r="A107" s="56" t="s">
        <v>190</v>
      </c>
      <c r="C107" s="97">
        <f>C106/C103</f>
        <v>0.33333333333333331</v>
      </c>
      <c r="D107" s="97">
        <f t="shared" ref="D107:P107" si="80">D106/D103</f>
        <v>0.33333333333333331</v>
      </c>
      <c r="E107" s="97">
        <f t="shared" si="80"/>
        <v>0.33333333333333331</v>
      </c>
      <c r="F107" s="97">
        <f t="shared" si="80"/>
        <v>0.33333333333333337</v>
      </c>
      <c r="G107" s="97">
        <f t="shared" si="80"/>
        <v>0.37499999999999994</v>
      </c>
      <c r="H107" s="97">
        <f t="shared" si="80"/>
        <v>0.375</v>
      </c>
      <c r="I107" s="97">
        <f t="shared" si="80"/>
        <v>0.375</v>
      </c>
      <c r="J107" s="97">
        <f t="shared" si="80"/>
        <v>0.44444444444444431</v>
      </c>
      <c r="K107" s="97">
        <f t="shared" si="80"/>
        <v>0.44444444444444436</v>
      </c>
      <c r="L107" s="97">
        <f t="shared" si="80"/>
        <v>0.44444444444444436</v>
      </c>
      <c r="M107" s="97">
        <f t="shared" si="80"/>
        <v>0.44444444444444436</v>
      </c>
      <c r="N107" s="97">
        <f t="shared" si="80"/>
        <v>0.44444444444444436</v>
      </c>
      <c r="O107" s="106">
        <f t="shared" si="80"/>
        <v>0.40646838284416126</v>
      </c>
      <c r="P107" s="97">
        <f t="shared" si="80"/>
        <v>0.44444444444444431</v>
      </c>
      <c r="Q107" s="97">
        <f t="shared" ref="Q107:AB107" si="81">Q106/Q103</f>
        <v>0.44444444444444431</v>
      </c>
      <c r="R107" s="97">
        <f t="shared" si="81"/>
        <v>0.44444444444444431</v>
      </c>
      <c r="S107" s="97">
        <f t="shared" si="81"/>
        <v>0.44444444444444436</v>
      </c>
      <c r="T107" s="97">
        <f t="shared" si="81"/>
        <v>0.44444444444444431</v>
      </c>
      <c r="U107" s="97">
        <f t="shared" si="81"/>
        <v>0.44444444444444436</v>
      </c>
      <c r="V107" s="97">
        <f t="shared" si="81"/>
        <v>0.44444444444444436</v>
      </c>
      <c r="W107" s="97">
        <f t="shared" si="81"/>
        <v>0.44444444444444431</v>
      </c>
      <c r="X107" s="97">
        <f t="shared" si="81"/>
        <v>0.44444444444444436</v>
      </c>
      <c r="Y107" s="97">
        <f t="shared" si="81"/>
        <v>0.44444444444444436</v>
      </c>
      <c r="Z107" s="97">
        <f t="shared" si="81"/>
        <v>0.44444444444444436</v>
      </c>
      <c r="AA107" s="97">
        <f t="shared" si="81"/>
        <v>0.44444444444444442</v>
      </c>
      <c r="AB107" s="106">
        <f t="shared" si="81"/>
        <v>0.44444444444444431</v>
      </c>
      <c r="AO107" s="102"/>
      <c r="BB107" s="102"/>
      <c r="BO107" s="102"/>
    </row>
    <row r="108" spans="1:67" outlineLevel="1" x14ac:dyDescent="0.35"/>
    <row r="109" spans="1:67" s="56" customFormat="1" outlineLevel="1" x14ac:dyDescent="0.35">
      <c r="A109" s="56" t="s">
        <v>242</v>
      </c>
      <c r="O109" s="102"/>
      <c r="AB109" s="102"/>
      <c r="AO109" s="102"/>
      <c r="BB109" s="102"/>
      <c r="BO109" s="102"/>
    </row>
    <row r="110" spans="1:67" outlineLevel="1" x14ac:dyDescent="0.35">
      <c r="A110" t="s">
        <v>191</v>
      </c>
      <c r="C110">
        <f>C51*C14</f>
        <v>56000.000000000007</v>
      </c>
      <c r="D110">
        <f t="shared" ref="D110:N110" si="82">D51*D14</f>
        <v>56560.000000000007</v>
      </c>
      <c r="E110">
        <f t="shared" si="82"/>
        <v>57125.600000000006</v>
      </c>
      <c r="F110">
        <f t="shared" si="82"/>
        <v>57696.856000000007</v>
      </c>
      <c r="G110">
        <f t="shared" si="82"/>
        <v>58273.824560000015</v>
      </c>
      <c r="H110">
        <f t="shared" si="82"/>
        <v>58856.562805600013</v>
      </c>
      <c r="I110">
        <f t="shared" si="82"/>
        <v>59445.128433656013</v>
      </c>
      <c r="J110">
        <f t="shared" si="82"/>
        <v>60039.579717992565</v>
      </c>
      <c r="K110">
        <f t="shared" si="82"/>
        <v>60639.975515172504</v>
      </c>
      <c r="L110">
        <f t="shared" si="82"/>
        <v>61246.375270324221</v>
      </c>
      <c r="M110">
        <f t="shared" si="82"/>
        <v>61858.839023027474</v>
      </c>
      <c r="N110">
        <f t="shared" si="82"/>
        <v>62477.427413257741</v>
      </c>
      <c r="O110" s="103">
        <f>SUM(C110:N110)</f>
        <v>710220.16873903049</v>
      </c>
      <c r="P110" s="58">
        <f>P51*P14</f>
        <v>64229.026717522276</v>
      </c>
      <c r="Q110" s="58">
        <f t="shared" ref="Q110:AA110" si="83">Q51*Q14</f>
        <v>64871.316984697507</v>
      </c>
      <c r="R110" s="58">
        <f t="shared" si="83"/>
        <v>65520.030154544482</v>
      </c>
      <c r="S110" s="58">
        <f t="shared" si="83"/>
        <v>66175.230456089936</v>
      </c>
      <c r="T110" s="58">
        <f t="shared" si="83"/>
        <v>66836.982760650833</v>
      </c>
      <c r="U110" s="58">
        <f t="shared" si="83"/>
        <v>67505.352588257345</v>
      </c>
      <c r="V110" s="58">
        <f t="shared" si="83"/>
        <v>68180.406114139914</v>
      </c>
      <c r="W110" s="58">
        <f t="shared" si="83"/>
        <v>68862.210175281318</v>
      </c>
      <c r="X110" s="58">
        <f t="shared" si="83"/>
        <v>69550.832277034133</v>
      </c>
      <c r="Y110" s="58">
        <f t="shared" si="83"/>
        <v>70246.340599804476</v>
      </c>
      <c r="Z110" s="58">
        <f t="shared" si="83"/>
        <v>70948.804005802522</v>
      </c>
      <c r="AA110" s="58">
        <f t="shared" si="83"/>
        <v>71658.292045860537</v>
      </c>
      <c r="AB110" s="103">
        <f>SUM(P110:AA110)</f>
        <v>814584.8248796853</v>
      </c>
    </row>
    <row r="111" spans="1:67" outlineLevel="1" x14ac:dyDescent="0.35">
      <c r="A111" t="s">
        <v>192</v>
      </c>
      <c r="C111" s="55">
        <f>C57*C24</f>
        <v>17325</v>
      </c>
      <c r="D111" s="55">
        <f t="shared" ref="D111:N111" si="84">D57*D24</f>
        <v>68343</v>
      </c>
      <c r="E111" s="55">
        <f t="shared" si="84"/>
        <v>69901.59</v>
      </c>
      <c r="F111" s="55">
        <f t="shared" si="84"/>
        <v>71501.852400000003</v>
      </c>
      <c r="G111" s="55">
        <f t="shared" si="84"/>
        <v>90314.863484999994</v>
      </c>
      <c r="H111" s="55">
        <f t="shared" si="84"/>
        <v>91262.662446450006</v>
      </c>
      <c r="I111" s="55">
        <f t="shared" si="84"/>
        <v>92220.832404046509</v>
      </c>
      <c r="J111" s="55">
        <f t="shared" si="84"/>
        <v>110879.72823764727</v>
      </c>
      <c r="K111" s="55">
        <f t="shared" si="84"/>
        <v>112035.90880381428</v>
      </c>
      <c r="L111" s="55">
        <f t="shared" si="84"/>
        <v>113204.59884131877</v>
      </c>
      <c r="M111" s="55">
        <f t="shared" si="84"/>
        <v>114385.94239818762</v>
      </c>
      <c r="N111" s="55">
        <f t="shared" si="84"/>
        <v>115580.0853419943</v>
      </c>
      <c r="O111" s="103">
        <f>SUM(C111:N111)</f>
        <v>1066956.0643584589</v>
      </c>
      <c r="P111" s="58">
        <f>P57*P24</f>
        <v>166407.60632012159</v>
      </c>
      <c r="Q111" s="58">
        <f t="shared" ref="Q111:AA111" si="85">Q57*Q24</f>
        <v>168155.38634176392</v>
      </c>
      <c r="R111" s="58">
        <f t="shared" si="85"/>
        <v>169922.31824279155</v>
      </c>
      <c r="S111" s="58">
        <f t="shared" si="85"/>
        <v>171708.62702358159</v>
      </c>
      <c r="T111" s="58">
        <f t="shared" si="85"/>
        <v>173514.54060414681</v>
      </c>
      <c r="U111" s="58">
        <f t="shared" si="85"/>
        <v>175340.28986672428</v>
      </c>
      <c r="V111" s="58">
        <f t="shared" si="85"/>
        <v>177186.10869905821</v>
      </c>
      <c r="W111" s="58">
        <f t="shared" si="85"/>
        <v>179052.23403838882</v>
      </c>
      <c r="X111" s="58">
        <f t="shared" si="85"/>
        <v>180938.90591615954</v>
      </c>
      <c r="Y111" s="58">
        <f t="shared" si="85"/>
        <v>182846.36750345572</v>
      </c>
      <c r="Z111" s="58">
        <f t="shared" si="85"/>
        <v>184774.86515718754</v>
      </c>
      <c r="AA111" s="58">
        <f t="shared" si="85"/>
        <v>186724.64846703064</v>
      </c>
      <c r="AB111" s="103">
        <f>SUM(P111:AA111)</f>
        <v>2116571.8981804103</v>
      </c>
    </row>
    <row r="112" spans="1:67" s="56" customFormat="1" outlineLevel="1" x14ac:dyDescent="0.35">
      <c r="A112" s="56" t="s">
        <v>194</v>
      </c>
      <c r="C112" s="57">
        <f t="shared" ref="C112:N112" si="86">SUM(C110:C111)</f>
        <v>73325</v>
      </c>
      <c r="D112" s="57">
        <f t="shared" si="86"/>
        <v>124903</v>
      </c>
      <c r="E112" s="57">
        <f t="shared" si="86"/>
        <v>127027.19</v>
      </c>
      <c r="F112" s="57">
        <f t="shared" si="86"/>
        <v>129198.7084</v>
      </c>
      <c r="G112" s="57">
        <f t="shared" si="86"/>
        <v>148588.68804500002</v>
      </c>
      <c r="H112" s="57">
        <f t="shared" si="86"/>
        <v>150119.22525205003</v>
      </c>
      <c r="I112" s="57">
        <f t="shared" si="86"/>
        <v>151665.96083770253</v>
      </c>
      <c r="J112" s="57">
        <f t="shared" si="86"/>
        <v>170919.30795563984</v>
      </c>
      <c r="K112" s="57">
        <f t="shared" si="86"/>
        <v>172675.88431898679</v>
      </c>
      <c r="L112" s="57">
        <f t="shared" si="86"/>
        <v>174450.97411164298</v>
      </c>
      <c r="M112" s="57">
        <f t="shared" si="86"/>
        <v>176244.7814212151</v>
      </c>
      <c r="N112" s="57">
        <f t="shared" si="86"/>
        <v>178057.51275525204</v>
      </c>
      <c r="O112" s="103">
        <f>SUM(C112:N112)</f>
        <v>1777176.233097489</v>
      </c>
      <c r="P112" s="91">
        <f>SUM(P110:P111)</f>
        <v>230636.63303764386</v>
      </c>
      <c r="Q112" s="91">
        <f t="shared" ref="Q112:AA112" si="87">SUM(Q110:Q111)</f>
        <v>233026.70332646143</v>
      </c>
      <c r="R112" s="91">
        <f t="shared" si="87"/>
        <v>235442.34839733603</v>
      </c>
      <c r="S112" s="91">
        <f t="shared" si="87"/>
        <v>237883.85747967154</v>
      </c>
      <c r="T112" s="91">
        <f t="shared" si="87"/>
        <v>240351.52336479764</v>
      </c>
      <c r="U112" s="91">
        <f t="shared" si="87"/>
        <v>242845.64245498163</v>
      </c>
      <c r="V112" s="91">
        <f t="shared" si="87"/>
        <v>245366.51481319813</v>
      </c>
      <c r="W112" s="91">
        <f t="shared" si="87"/>
        <v>247914.44421367015</v>
      </c>
      <c r="X112" s="91">
        <f t="shared" si="87"/>
        <v>250489.73819319368</v>
      </c>
      <c r="Y112" s="91">
        <f t="shared" si="87"/>
        <v>253092.7081032602</v>
      </c>
      <c r="Z112" s="91">
        <f t="shared" si="87"/>
        <v>255723.66916299006</v>
      </c>
      <c r="AA112" s="91">
        <f t="shared" si="87"/>
        <v>258382.94051289116</v>
      </c>
      <c r="AB112" s="103">
        <f>SUM(P112:AA112)</f>
        <v>2931156.7230600957</v>
      </c>
      <c r="AO112" s="102"/>
      <c r="BB112" s="102"/>
      <c r="BO112" s="102"/>
    </row>
    <row r="113" spans="1:67" s="56" customFormat="1" outlineLevel="1" x14ac:dyDescent="0.35">
      <c r="A113" s="56" t="s">
        <v>193</v>
      </c>
      <c r="C113" s="57">
        <f>C106-C112</f>
        <v>5425</v>
      </c>
      <c r="D113" s="57">
        <f t="shared" ref="D113:N113" si="88">D106-D112</f>
        <v>185747</v>
      </c>
      <c r="E113" s="57">
        <f t="shared" si="88"/>
        <v>190707.31</v>
      </c>
      <c r="F113" s="57">
        <f t="shared" si="88"/>
        <v>195809.71160000004</v>
      </c>
      <c r="G113" s="57">
        <f t="shared" si="88"/>
        <v>344037.84005499986</v>
      </c>
      <c r="H113" s="57">
        <f t="shared" si="88"/>
        <v>347677.11536494998</v>
      </c>
      <c r="I113" s="57">
        <f t="shared" si="88"/>
        <v>351356.76136618748</v>
      </c>
      <c r="J113" s="57">
        <f t="shared" si="88"/>
        <v>635478.71559088537</v>
      </c>
      <c r="K113" s="57">
        <f t="shared" si="88"/>
        <v>642130.72516329866</v>
      </c>
      <c r="L113" s="57">
        <f t="shared" si="88"/>
        <v>648855.19927976606</v>
      </c>
      <c r="M113" s="57">
        <f t="shared" si="88"/>
        <v>655652.98147469456</v>
      </c>
      <c r="N113" s="57">
        <f t="shared" si="88"/>
        <v>662524.92609561549</v>
      </c>
      <c r="O113" s="103">
        <f>SUM(C113:N113)</f>
        <v>4865403.2859903974</v>
      </c>
      <c r="P113" s="91">
        <f>P106-P112</f>
        <v>979600.50383596693</v>
      </c>
      <c r="Q113" s="91">
        <f t="shared" ref="Q113:AA113" si="89">Q106-Q112</f>
        <v>989921.56097727548</v>
      </c>
      <c r="R113" s="91">
        <f t="shared" si="89"/>
        <v>1000356.3297320565</v>
      </c>
      <c r="S113" s="91">
        <f t="shared" si="89"/>
        <v>1010906.157237285</v>
      </c>
      <c r="T113" s="91">
        <f t="shared" si="89"/>
        <v>1021572.4083017239</v>
      </c>
      <c r="U113" s="91">
        <f t="shared" si="89"/>
        <v>1244890.1503535875</v>
      </c>
      <c r="V113" s="91">
        <f t="shared" si="89"/>
        <v>1258030.7711182046</v>
      </c>
      <c r="W113" s="91">
        <f t="shared" si="89"/>
        <v>1271316.6324756888</v>
      </c>
      <c r="X113" s="91">
        <f t="shared" si="89"/>
        <v>1284749.4635196745</v>
      </c>
      <c r="Y113" s="91">
        <f t="shared" si="89"/>
        <v>1298331.0161684847</v>
      </c>
      <c r="Z113" s="91">
        <f t="shared" si="89"/>
        <v>1312063.0655040552</v>
      </c>
      <c r="AA113" s="91">
        <f t="shared" si="89"/>
        <v>1325947.4101164595</v>
      </c>
      <c r="AB113" s="103">
        <f>SUM(P113:AA113)</f>
        <v>13997685.469340462</v>
      </c>
      <c r="AO113" s="102"/>
      <c r="BB113" s="102"/>
      <c r="BO113" s="102"/>
    </row>
    <row r="114" spans="1:67" s="56" customFormat="1" outlineLevel="1" x14ac:dyDescent="0.35">
      <c r="A114" s="56" t="s">
        <v>190</v>
      </c>
      <c r="C114" s="97">
        <f>C113/C103</f>
        <v>2.2962962962962963E-2</v>
      </c>
      <c r="D114" s="97">
        <f t="shared" ref="D114:N114" si="90">D113/D103</f>
        <v>0.19931004882236172</v>
      </c>
      <c r="E114" s="97">
        <f t="shared" si="90"/>
        <v>0.20006988014626467</v>
      </c>
      <c r="F114" s="97">
        <f t="shared" si="90"/>
        <v>0.20082527051658133</v>
      </c>
      <c r="G114" s="97">
        <f t="shared" si="90"/>
        <v>0.26189046399554822</v>
      </c>
      <c r="H114" s="97">
        <f t="shared" si="90"/>
        <v>0.26191216693207592</v>
      </c>
      <c r="I114" s="97">
        <f t="shared" si="90"/>
        <v>0.26193406320701862</v>
      </c>
      <c r="J114" s="97">
        <f t="shared" si="90"/>
        <v>0.35024265494217816</v>
      </c>
      <c r="K114" s="97">
        <f t="shared" si="90"/>
        <v>0.35025664996414724</v>
      </c>
      <c r="L114" s="97">
        <f t="shared" si="90"/>
        <v>0.35027077154161662</v>
      </c>
      <c r="M114" s="97">
        <f t="shared" si="90"/>
        <v>0.35028502070431156</v>
      </c>
      <c r="N114" s="97">
        <f t="shared" si="90"/>
        <v>0.35029939848815161</v>
      </c>
      <c r="O114" s="102"/>
      <c r="P114" s="97">
        <f>P113/P103</f>
        <v>0.35974602698904129</v>
      </c>
      <c r="Q114" s="97">
        <f t="shared" ref="Q114:AA114" si="91">Q113/Q103</f>
        <v>0.35975776821810884</v>
      </c>
      <c r="R114" s="97">
        <f t="shared" si="91"/>
        <v>0.35976961383971939</v>
      </c>
      <c r="S114" s="97">
        <f t="shared" si="91"/>
        <v>0.35978156466972316</v>
      </c>
      <c r="T114" s="97">
        <f t="shared" si="91"/>
        <v>0.35979362152822386</v>
      </c>
      <c r="U114" s="97">
        <f t="shared" si="91"/>
        <v>0.37189702226882809</v>
      </c>
      <c r="V114" s="97">
        <f t="shared" si="91"/>
        <v>0.37190754060544334</v>
      </c>
      <c r="W114" s="97">
        <f t="shared" si="91"/>
        <v>0.37191815195416278</v>
      </c>
      <c r="X114" s="97">
        <f t="shared" si="91"/>
        <v>0.3719288570323338</v>
      </c>
      <c r="Y114" s="97">
        <f t="shared" si="91"/>
        <v>0.37193965656085348</v>
      </c>
      <c r="Z114" s="97">
        <f t="shared" si="91"/>
        <v>0.371950551264147</v>
      </c>
      <c r="AA114" s="97">
        <f t="shared" si="91"/>
        <v>0.37196154187014435</v>
      </c>
      <c r="AB114" s="102"/>
      <c r="AO114" s="102"/>
      <c r="BB114" s="102"/>
      <c r="BO114" s="102"/>
    </row>
    <row r="115" spans="1:67" outlineLevel="1" x14ac:dyDescent="0.35">
      <c r="A115" s="56" t="s">
        <v>243</v>
      </c>
    </row>
    <row r="116" spans="1:67" outlineLevel="1" x14ac:dyDescent="0.35">
      <c r="A116" t="s">
        <v>156</v>
      </c>
      <c r="C116" s="42">
        <f t="shared" ref="C116:N116" si="92">C60</f>
        <v>100000</v>
      </c>
      <c r="D116" s="42">
        <f t="shared" si="92"/>
        <v>0</v>
      </c>
      <c r="E116" s="42">
        <f t="shared" si="92"/>
        <v>0</v>
      </c>
      <c r="F116" s="42">
        <f t="shared" si="92"/>
        <v>100000</v>
      </c>
      <c r="G116" s="42">
        <f t="shared" si="92"/>
        <v>0</v>
      </c>
      <c r="H116" s="42">
        <f t="shared" si="92"/>
        <v>0</v>
      </c>
      <c r="I116" s="42">
        <f t="shared" si="92"/>
        <v>100000</v>
      </c>
      <c r="J116" s="42">
        <f t="shared" si="92"/>
        <v>0</v>
      </c>
      <c r="K116" s="42">
        <f t="shared" si="92"/>
        <v>0</v>
      </c>
      <c r="L116" s="42">
        <f t="shared" si="92"/>
        <v>100000</v>
      </c>
      <c r="M116" s="42">
        <f t="shared" si="92"/>
        <v>0</v>
      </c>
      <c r="N116" s="42">
        <f t="shared" si="92"/>
        <v>0</v>
      </c>
      <c r="O116" s="103">
        <f>SUM(C116:N116)</f>
        <v>400000</v>
      </c>
      <c r="P116" s="42">
        <f>P60</f>
        <v>150000</v>
      </c>
      <c r="Q116" s="42">
        <f t="shared" ref="Q116:AA116" si="93">Q60</f>
        <v>0</v>
      </c>
      <c r="R116" s="42">
        <f t="shared" si="93"/>
        <v>0</v>
      </c>
      <c r="S116" s="42">
        <f t="shared" si="93"/>
        <v>100000</v>
      </c>
      <c r="T116" s="42">
        <f t="shared" si="93"/>
        <v>0</v>
      </c>
      <c r="U116" s="42">
        <f t="shared" si="93"/>
        <v>0</v>
      </c>
      <c r="V116" s="42">
        <f t="shared" si="93"/>
        <v>100000</v>
      </c>
      <c r="W116" s="42">
        <f t="shared" si="93"/>
        <v>0</v>
      </c>
      <c r="X116" s="42">
        <f t="shared" si="93"/>
        <v>0</v>
      </c>
      <c r="Y116" s="42">
        <f t="shared" si="93"/>
        <v>100000</v>
      </c>
      <c r="Z116" s="42">
        <f t="shared" si="93"/>
        <v>0</v>
      </c>
      <c r="AA116" s="42">
        <f t="shared" si="93"/>
        <v>0</v>
      </c>
      <c r="AB116" s="103">
        <f>SUM(P116:AA116)</f>
        <v>450000</v>
      </c>
    </row>
    <row r="117" spans="1:67" outlineLevel="1" x14ac:dyDescent="0.35">
      <c r="A117" s="56" t="s">
        <v>244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03"/>
      <c r="AB117" s="103"/>
    </row>
    <row r="118" spans="1:67" outlineLevel="1" x14ac:dyDescent="0.35">
      <c r="A118" t="s">
        <v>158</v>
      </c>
      <c r="C118" s="42">
        <f t="shared" ref="C118:N118" si="94">C64</f>
        <v>250000</v>
      </c>
      <c r="D118" s="42">
        <f t="shared" si="94"/>
        <v>0</v>
      </c>
      <c r="E118" s="42">
        <f t="shared" si="94"/>
        <v>0</v>
      </c>
      <c r="F118" s="42">
        <f t="shared" si="94"/>
        <v>250000</v>
      </c>
      <c r="G118" s="42">
        <f t="shared" si="94"/>
        <v>0</v>
      </c>
      <c r="H118" s="42">
        <f t="shared" si="94"/>
        <v>0</v>
      </c>
      <c r="I118" s="42">
        <f t="shared" si="94"/>
        <v>250000</v>
      </c>
      <c r="J118" s="42">
        <f t="shared" si="94"/>
        <v>0</v>
      </c>
      <c r="K118" s="42">
        <f t="shared" si="94"/>
        <v>0</v>
      </c>
      <c r="L118" s="42">
        <f t="shared" si="94"/>
        <v>250000</v>
      </c>
      <c r="M118" s="42">
        <f t="shared" si="94"/>
        <v>0</v>
      </c>
      <c r="N118" s="42">
        <f t="shared" si="94"/>
        <v>0</v>
      </c>
      <c r="O118" s="103">
        <f t="shared" ref="O118:O124" si="95">SUM(C118:N118)</f>
        <v>1000000</v>
      </c>
      <c r="P118" s="42">
        <f>P64</f>
        <v>250000</v>
      </c>
      <c r="Q118" s="42">
        <f t="shared" ref="Q118:AA118" si="96">Q64</f>
        <v>0</v>
      </c>
      <c r="R118" s="42">
        <f t="shared" si="96"/>
        <v>0</v>
      </c>
      <c r="S118" s="42">
        <f t="shared" si="96"/>
        <v>250000</v>
      </c>
      <c r="T118" s="42">
        <f t="shared" si="96"/>
        <v>0</v>
      </c>
      <c r="U118" s="42">
        <f t="shared" si="96"/>
        <v>0</v>
      </c>
      <c r="V118" s="42">
        <f t="shared" si="96"/>
        <v>250000</v>
      </c>
      <c r="W118" s="42">
        <f t="shared" si="96"/>
        <v>0</v>
      </c>
      <c r="X118" s="42">
        <f t="shared" si="96"/>
        <v>0</v>
      </c>
      <c r="Y118" s="42">
        <f t="shared" si="96"/>
        <v>250000</v>
      </c>
      <c r="Z118" s="42">
        <f t="shared" si="96"/>
        <v>0</v>
      </c>
      <c r="AA118" s="42">
        <f t="shared" si="96"/>
        <v>0</v>
      </c>
      <c r="AB118" s="103">
        <f t="shared" ref="AB118:AB124" si="97">SUM(P118:AA118)</f>
        <v>1000000</v>
      </c>
    </row>
    <row r="119" spans="1:67" outlineLevel="1" x14ac:dyDescent="0.35">
      <c r="A119" t="s">
        <v>159</v>
      </c>
      <c r="C119" s="42">
        <f t="shared" ref="C119:N119" si="98">C65</f>
        <v>250000</v>
      </c>
      <c r="D119" s="42">
        <f t="shared" si="98"/>
        <v>250000</v>
      </c>
      <c r="E119" s="42">
        <f t="shared" si="98"/>
        <v>250000</v>
      </c>
      <c r="F119" s="42">
        <f t="shared" si="98"/>
        <v>250000</v>
      </c>
      <c r="G119" s="42">
        <f t="shared" si="98"/>
        <v>250000</v>
      </c>
      <c r="H119" s="42">
        <f t="shared" si="98"/>
        <v>300000</v>
      </c>
      <c r="I119" s="42">
        <f t="shared" si="98"/>
        <v>300000</v>
      </c>
      <c r="J119" s="42">
        <f t="shared" si="98"/>
        <v>300000</v>
      </c>
      <c r="K119" s="42">
        <f t="shared" si="98"/>
        <v>300000</v>
      </c>
      <c r="L119" s="42">
        <f t="shared" si="98"/>
        <v>300000</v>
      </c>
      <c r="M119" s="42">
        <f t="shared" si="98"/>
        <v>300000</v>
      </c>
      <c r="N119" s="42">
        <f t="shared" si="98"/>
        <v>300000</v>
      </c>
      <c r="O119" s="103">
        <f t="shared" si="95"/>
        <v>3350000</v>
      </c>
      <c r="P119" s="42">
        <f>P65</f>
        <v>350000</v>
      </c>
      <c r="Q119" s="42">
        <f t="shared" ref="Q119:AA119" si="99">Q65</f>
        <v>350000</v>
      </c>
      <c r="R119" s="42">
        <f t="shared" si="99"/>
        <v>350000</v>
      </c>
      <c r="S119" s="42">
        <f t="shared" si="99"/>
        <v>350000</v>
      </c>
      <c r="T119" s="42">
        <f t="shared" si="99"/>
        <v>350000</v>
      </c>
      <c r="U119" s="42">
        <f t="shared" si="99"/>
        <v>350000</v>
      </c>
      <c r="V119" s="42">
        <f t="shared" si="99"/>
        <v>350000</v>
      </c>
      <c r="W119" s="42">
        <f t="shared" si="99"/>
        <v>350000</v>
      </c>
      <c r="X119" s="42">
        <f t="shared" si="99"/>
        <v>350000</v>
      </c>
      <c r="Y119" s="42">
        <f t="shared" si="99"/>
        <v>350000</v>
      </c>
      <c r="Z119" s="42">
        <f t="shared" si="99"/>
        <v>350000</v>
      </c>
      <c r="AA119" s="42">
        <f t="shared" si="99"/>
        <v>350000</v>
      </c>
      <c r="AB119" s="103">
        <f t="shared" si="97"/>
        <v>4200000</v>
      </c>
    </row>
    <row r="120" spans="1:67" outlineLevel="1" x14ac:dyDescent="0.35">
      <c r="A120" t="s">
        <v>160</v>
      </c>
      <c r="C120" s="42">
        <f t="shared" ref="C120:N120" si="100">C66</f>
        <v>50000</v>
      </c>
      <c r="D120" s="42">
        <f t="shared" si="100"/>
        <v>0</v>
      </c>
      <c r="E120" s="42">
        <f t="shared" si="100"/>
        <v>0</v>
      </c>
      <c r="F120" s="42">
        <f t="shared" si="100"/>
        <v>0</v>
      </c>
      <c r="G120" s="42">
        <f t="shared" si="100"/>
        <v>0</v>
      </c>
      <c r="H120" s="42">
        <f t="shared" si="100"/>
        <v>0</v>
      </c>
      <c r="I120" s="42">
        <f t="shared" si="100"/>
        <v>0</v>
      </c>
      <c r="J120" s="42">
        <f t="shared" si="100"/>
        <v>0</v>
      </c>
      <c r="K120" s="42">
        <f t="shared" si="100"/>
        <v>0</v>
      </c>
      <c r="L120" s="42">
        <f t="shared" si="100"/>
        <v>5000</v>
      </c>
      <c r="M120" s="42">
        <f t="shared" si="100"/>
        <v>0</v>
      </c>
      <c r="N120" s="42">
        <f t="shared" si="100"/>
        <v>0</v>
      </c>
      <c r="O120" s="103">
        <f t="shared" si="95"/>
        <v>55000</v>
      </c>
      <c r="P120" s="42">
        <f>P66</f>
        <v>0</v>
      </c>
      <c r="Q120" s="42">
        <f t="shared" ref="Q120:AA120" si="101">Q66</f>
        <v>0</v>
      </c>
      <c r="R120" s="42">
        <f t="shared" si="101"/>
        <v>0</v>
      </c>
      <c r="S120" s="42">
        <f t="shared" si="101"/>
        <v>10000</v>
      </c>
      <c r="T120" s="42">
        <f t="shared" si="101"/>
        <v>0</v>
      </c>
      <c r="U120" s="42">
        <f t="shared" si="101"/>
        <v>0</v>
      </c>
      <c r="V120" s="42">
        <f t="shared" si="101"/>
        <v>0</v>
      </c>
      <c r="W120" s="42">
        <f t="shared" si="101"/>
        <v>0</v>
      </c>
      <c r="X120" s="42">
        <f t="shared" si="101"/>
        <v>0</v>
      </c>
      <c r="Y120" s="42">
        <f t="shared" si="101"/>
        <v>0</v>
      </c>
      <c r="Z120" s="42">
        <f t="shared" si="101"/>
        <v>0</v>
      </c>
      <c r="AA120" s="42">
        <f t="shared" si="101"/>
        <v>0</v>
      </c>
      <c r="AB120" s="103">
        <f t="shared" si="97"/>
        <v>10000</v>
      </c>
    </row>
    <row r="121" spans="1:67" outlineLevel="1" x14ac:dyDescent="0.35">
      <c r="A121" t="s">
        <v>229</v>
      </c>
      <c r="C121" s="93">
        <f t="shared" ref="C121:N121" si="102">C67</f>
        <v>250000</v>
      </c>
      <c r="D121" s="93">
        <f t="shared" si="102"/>
        <v>250000</v>
      </c>
      <c r="E121" s="93">
        <f t="shared" si="102"/>
        <v>250000</v>
      </c>
      <c r="F121" s="93">
        <f t="shared" si="102"/>
        <v>350000</v>
      </c>
      <c r="G121" s="93">
        <f t="shared" si="102"/>
        <v>350000</v>
      </c>
      <c r="H121" s="93">
        <f t="shared" si="102"/>
        <v>350000</v>
      </c>
      <c r="I121" s="93">
        <f t="shared" si="102"/>
        <v>350000</v>
      </c>
      <c r="J121" s="93">
        <f t="shared" si="102"/>
        <v>350000</v>
      </c>
      <c r="K121" s="93">
        <f t="shared" si="102"/>
        <v>350000</v>
      </c>
      <c r="L121" s="93">
        <f t="shared" si="102"/>
        <v>350000</v>
      </c>
      <c r="M121" s="93">
        <f t="shared" si="102"/>
        <v>350000</v>
      </c>
      <c r="N121" s="93">
        <f t="shared" si="102"/>
        <v>350000</v>
      </c>
      <c r="O121" s="103">
        <f t="shared" si="95"/>
        <v>3900000</v>
      </c>
      <c r="P121" s="93">
        <f>P67</f>
        <v>400000</v>
      </c>
      <c r="Q121" s="93">
        <f t="shared" ref="Q121:AA121" si="103">Q67</f>
        <v>400000</v>
      </c>
      <c r="R121" s="93">
        <f t="shared" si="103"/>
        <v>400000</v>
      </c>
      <c r="S121" s="93">
        <f t="shared" si="103"/>
        <v>400000</v>
      </c>
      <c r="T121" s="93">
        <f t="shared" si="103"/>
        <v>400000</v>
      </c>
      <c r="U121" s="93">
        <f t="shared" si="103"/>
        <v>400000</v>
      </c>
      <c r="V121" s="93">
        <f t="shared" si="103"/>
        <v>400000</v>
      </c>
      <c r="W121" s="93">
        <f t="shared" si="103"/>
        <v>400000</v>
      </c>
      <c r="X121" s="93">
        <f t="shared" si="103"/>
        <v>400000</v>
      </c>
      <c r="Y121" s="93">
        <f t="shared" si="103"/>
        <v>400000</v>
      </c>
      <c r="Z121" s="93">
        <f t="shared" si="103"/>
        <v>400000</v>
      </c>
      <c r="AA121" s="93">
        <f t="shared" si="103"/>
        <v>400000</v>
      </c>
      <c r="AB121" s="103">
        <f t="shared" si="97"/>
        <v>4800000</v>
      </c>
    </row>
    <row r="122" spans="1:67" outlineLevel="1" x14ac:dyDescent="0.35">
      <c r="A122" t="s">
        <v>118</v>
      </c>
      <c r="C122" s="42">
        <f t="shared" ref="C122:N122" si="104">C68</f>
        <v>200000</v>
      </c>
      <c r="D122" s="42">
        <f t="shared" si="104"/>
        <v>0</v>
      </c>
      <c r="E122" s="42">
        <f t="shared" si="104"/>
        <v>0</v>
      </c>
      <c r="F122" s="42">
        <f t="shared" si="104"/>
        <v>0</v>
      </c>
      <c r="G122" s="42">
        <f t="shared" si="104"/>
        <v>0</v>
      </c>
      <c r="H122" s="42">
        <f t="shared" si="104"/>
        <v>200000</v>
      </c>
      <c r="I122" s="42">
        <f t="shared" si="104"/>
        <v>0</v>
      </c>
      <c r="J122" s="42">
        <f t="shared" si="104"/>
        <v>0</v>
      </c>
      <c r="K122" s="42">
        <f t="shared" si="104"/>
        <v>0</v>
      </c>
      <c r="L122" s="42">
        <f t="shared" si="104"/>
        <v>0</v>
      </c>
      <c r="M122" s="42">
        <f t="shared" si="104"/>
        <v>0</v>
      </c>
      <c r="N122" s="42">
        <f t="shared" si="104"/>
        <v>0</v>
      </c>
      <c r="O122" s="103">
        <f t="shared" si="95"/>
        <v>400000</v>
      </c>
      <c r="P122" s="42">
        <f>P68</f>
        <v>0</v>
      </c>
      <c r="Q122" s="42">
        <f t="shared" ref="Q122:AA122" si="105">Q68</f>
        <v>0</v>
      </c>
      <c r="R122" s="42">
        <f t="shared" si="105"/>
        <v>0</v>
      </c>
      <c r="S122" s="42">
        <f t="shared" si="105"/>
        <v>0</v>
      </c>
      <c r="T122" s="42">
        <f t="shared" si="105"/>
        <v>0</v>
      </c>
      <c r="U122" s="42">
        <f t="shared" si="105"/>
        <v>0</v>
      </c>
      <c r="V122" s="42">
        <f t="shared" si="105"/>
        <v>0</v>
      </c>
      <c r="W122" s="42">
        <f t="shared" si="105"/>
        <v>0</v>
      </c>
      <c r="X122" s="42">
        <f t="shared" si="105"/>
        <v>0</v>
      </c>
      <c r="Y122" s="42">
        <f t="shared" si="105"/>
        <v>0</v>
      </c>
      <c r="Z122" s="42">
        <f t="shared" si="105"/>
        <v>0</v>
      </c>
      <c r="AA122" s="42">
        <f t="shared" si="105"/>
        <v>0</v>
      </c>
      <c r="AB122" s="103">
        <f t="shared" si="97"/>
        <v>0</v>
      </c>
    </row>
    <row r="123" spans="1:67" outlineLevel="1" x14ac:dyDescent="0.35">
      <c r="A123" s="56" t="s">
        <v>195</v>
      </c>
      <c r="C123" s="49">
        <f t="shared" ref="C123:N123" si="106">SUM(C116,C118,C119,C120,C121,C122)</f>
        <v>1100000</v>
      </c>
      <c r="D123" s="49">
        <f t="shared" si="106"/>
        <v>500000</v>
      </c>
      <c r="E123" s="49">
        <f t="shared" si="106"/>
        <v>500000</v>
      </c>
      <c r="F123" s="49">
        <f t="shared" si="106"/>
        <v>950000</v>
      </c>
      <c r="G123" s="49">
        <f t="shared" si="106"/>
        <v>600000</v>
      </c>
      <c r="H123" s="49">
        <f t="shared" si="106"/>
        <v>850000</v>
      </c>
      <c r="I123" s="49">
        <f t="shared" si="106"/>
        <v>1000000</v>
      </c>
      <c r="J123" s="49">
        <f t="shared" si="106"/>
        <v>650000</v>
      </c>
      <c r="K123" s="49">
        <f t="shared" si="106"/>
        <v>650000</v>
      </c>
      <c r="L123" s="49">
        <f t="shared" si="106"/>
        <v>1005000</v>
      </c>
      <c r="M123" s="49">
        <f t="shared" si="106"/>
        <v>650000</v>
      </c>
      <c r="N123" s="49">
        <f t="shared" si="106"/>
        <v>650000</v>
      </c>
      <c r="O123" s="103">
        <f t="shared" si="95"/>
        <v>9105000</v>
      </c>
      <c r="P123" s="49">
        <f>SUM(P116,P118,P119,P120,P121,P122)</f>
        <v>1150000</v>
      </c>
      <c r="Q123" s="49">
        <f t="shared" ref="Q123:AA123" si="107">SUM(Q116,Q118,Q119,Q120,Q121,Q122)</f>
        <v>750000</v>
      </c>
      <c r="R123" s="49">
        <f t="shared" si="107"/>
        <v>750000</v>
      </c>
      <c r="S123" s="49">
        <f t="shared" si="107"/>
        <v>1110000</v>
      </c>
      <c r="T123" s="49">
        <f t="shared" si="107"/>
        <v>750000</v>
      </c>
      <c r="U123" s="49">
        <f t="shared" si="107"/>
        <v>750000</v>
      </c>
      <c r="V123" s="49">
        <f t="shared" si="107"/>
        <v>1100000</v>
      </c>
      <c r="W123" s="49">
        <f t="shared" si="107"/>
        <v>750000</v>
      </c>
      <c r="X123" s="49">
        <f t="shared" si="107"/>
        <v>750000</v>
      </c>
      <c r="Y123" s="49">
        <f t="shared" si="107"/>
        <v>1100000</v>
      </c>
      <c r="Z123" s="49">
        <f t="shared" si="107"/>
        <v>750000</v>
      </c>
      <c r="AA123" s="49">
        <f t="shared" si="107"/>
        <v>750000</v>
      </c>
      <c r="AB123" s="103">
        <f t="shared" si="97"/>
        <v>10460000</v>
      </c>
    </row>
    <row r="124" spans="1:67" s="56" customFormat="1" outlineLevel="1" x14ac:dyDescent="0.35">
      <c r="A124" s="56" t="s">
        <v>196</v>
      </c>
      <c r="C124" s="57">
        <f t="shared" ref="C124:N124" si="108">C113-C123</f>
        <v>-1094575</v>
      </c>
      <c r="D124" s="57">
        <f t="shared" si="108"/>
        <v>-314253</v>
      </c>
      <c r="E124" s="57">
        <f t="shared" si="108"/>
        <v>-309292.69</v>
      </c>
      <c r="F124" s="57">
        <f t="shared" si="108"/>
        <v>-754190.28839999996</v>
      </c>
      <c r="G124" s="57">
        <f t="shared" si="108"/>
        <v>-255962.15994500014</v>
      </c>
      <c r="H124" s="57">
        <f t="shared" si="108"/>
        <v>-502322.88463505002</v>
      </c>
      <c r="I124" s="57">
        <f t="shared" si="108"/>
        <v>-648643.23863381252</v>
      </c>
      <c r="J124" s="57">
        <f t="shared" si="108"/>
        <v>-14521.284409114625</v>
      </c>
      <c r="K124" s="57">
        <f t="shared" si="108"/>
        <v>-7869.274836701341</v>
      </c>
      <c r="L124" s="57">
        <f t="shared" si="108"/>
        <v>-356144.80072023394</v>
      </c>
      <c r="M124" s="57">
        <f t="shared" si="108"/>
        <v>5652.9814746945631</v>
      </c>
      <c r="N124" s="57">
        <f t="shared" si="108"/>
        <v>12524.92609561549</v>
      </c>
      <c r="O124" s="103">
        <f t="shared" si="95"/>
        <v>-4239596.7140096016</v>
      </c>
      <c r="P124" s="57">
        <f>P113-P123</f>
        <v>-170399.49616403307</v>
      </c>
      <c r="Q124" s="57">
        <f t="shared" ref="Q124:AA124" si="109">Q113-Q123</f>
        <v>239921.56097727548</v>
      </c>
      <c r="R124" s="57">
        <f t="shared" si="109"/>
        <v>250356.32973205647</v>
      </c>
      <c r="S124" s="57">
        <f t="shared" si="109"/>
        <v>-99093.84276271495</v>
      </c>
      <c r="T124" s="57">
        <f t="shared" si="109"/>
        <v>271572.40830172389</v>
      </c>
      <c r="U124" s="57">
        <f t="shared" si="109"/>
        <v>494890.15035358747</v>
      </c>
      <c r="V124" s="57">
        <f t="shared" si="109"/>
        <v>158030.77111820458</v>
      </c>
      <c r="W124" s="57">
        <f t="shared" si="109"/>
        <v>521316.63247568882</v>
      </c>
      <c r="X124" s="57">
        <f t="shared" si="109"/>
        <v>534749.46351967449</v>
      </c>
      <c r="Y124" s="57">
        <f t="shared" si="109"/>
        <v>198331.0161684847</v>
      </c>
      <c r="Z124" s="57">
        <f t="shared" si="109"/>
        <v>562063.06550405524</v>
      </c>
      <c r="AA124" s="57">
        <f t="shared" si="109"/>
        <v>575947.41011645948</v>
      </c>
      <c r="AB124" s="103">
        <f t="shared" si="97"/>
        <v>3537685.4693404622</v>
      </c>
      <c r="AO124" s="102"/>
      <c r="BB124" s="102"/>
      <c r="BO124" s="102"/>
    </row>
    <row r="125" spans="1:67" s="56" customFormat="1" outlineLevel="1" x14ac:dyDescent="0.35">
      <c r="A125" s="56" t="s">
        <v>190</v>
      </c>
      <c r="C125" s="97">
        <f t="shared" ref="C125:P125" si="110">C124/C103</f>
        <v>-4.6331216931216934</v>
      </c>
      <c r="D125" s="97">
        <f t="shared" si="110"/>
        <v>-0.33719942056977303</v>
      </c>
      <c r="E125" s="97">
        <f t="shared" si="110"/>
        <v>-0.32447708175641404</v>
      </c>
      <c r="F125" s="97">
        <f t="shared" si="110"/>
        <v>-0.77350846110386917</v>
      </c>
      <c r="G125" s="97">
        <f t="shared" si="110"/>
        <v>-0.19484498804719377</v>
      </c>
      <c r="H125" s="97">
        <f t="shared" si="110"/>
        <v>-0.37840993669150885</v>
      </c>
      <c r="I125" s="97">
        <f t="shared" si="110"/>
        <v>-0.48355909932252888</v>
      </c>
      <c r="J125" s="97">
        <f t="shared" si="110"/>
        <v>-8.0033730160257045E-3</v>
      </c>
      <c r="K125" s="97">
        <f t="shared" si="110"/>
        <v>-4.2923749541018061E-3</v>
      </c>
      <c r="L125" s="97">
        <f t="shared" si="110"/>
        <v>-0.19225724671279792</v>
      </c>
      <c r="M125" s="97">
        <f t="shared" si="110"/>
        <v>3.0201261778002001E-3</v>
      </c>
      <c r="N125" s="97">
        <f t="shared" si="110"/>
        <v>6.6223532196122391E-3</v>
      </c>
      <c r="O125" s="106">
        <f t="shared" si="110"/>
        <v>-0.25942663016724099</v>
      </c>
      <c r="P125" s="97">
        <f t="shared" si="110"/>
        <v>-6.2577082704532785E-2</v>
      </c>
      <c r="Q125" s="97">
        <f t="shared" ref="Q125:AB125" si="111">Q124/Q103</f>
        <v>8.7192408698905946E-2</v>
      </c>
      <c r="R125" s="97">
        <f t="shared" si="111"/>
        <v>9.0038516669511806E-2</v>
      </c>
      <c r="S125" s="97">
        <f t="shared" si="111"/>
        <v>-3.5267504845097761E-2</v>
      </c>
      <c r="T125" s="97">
        <f t="shared" si="111"/>
        <v>9.5646690822878841E-2</v>
      </c>
      <c r="U125" s="97">
        <f t="shared" si="111"/>
        <v>0.14784290261626409</v>
      </c>
      <c r="V125" s="97">
        <f t="shared" si="111"/>
        <v>4.671812230340977E-2</v>
      </c>
      <c r="W125" s="97">
        <f t="shared" si="111"/>
        <v>0.15250891365730113</v>
      </c>
      <c r="X125" s="97">
        <f t="shared" si="111"/>
        <v>0.15480742542647535</v>
      </c>
      <c r="Y125" s="97">
        <f t="shared" si="111"/>
        <v>5.6816920431251944E-2</v>
      </c>
      <c r="Z125" s="97">
        <f t="shared" si="111"/>
        <v>0.1593365994028155</v>
      </c>
      <c r="AA125" s="97">
        <f t="shared" si="111"/>
        <v>0.16156771005285839</v>
      </c>
      <c r="AB125" s="106">
        <f t="shared" si="111"/>
        <v>9.2877270351425484E-2</v>
      </c>
      <c r="AO125" s="102"/>
      <c r="BB125" s="102"/>
      <c r="BO125" s="102"/>
    </row>
    <row r="126" spans="1:67" outlineLevel="1" x14ac:dyDescent="0.35">
      <c r="A126" t="s">
        <v>125</v>
      </c>
      <c r="C126" s="55">
        <f t="shared" ref="C126:N126" si="112">C231</f>
        <v>17500</v>
      </c>
      <c r="D126" s="55">
        <f t="shared" si="112"/>
        <v>17500</v>
      </c>
      <c r="E126" s="55">
        <f t="shared" si="112"/>
        <v>17500</v>
      </c>
      <c r="F126" s="55">
        <f t="shared" si="112"/>
        <v>17500</v>
      </c>
      <c r="G126" s="55">
        <f t="shared" si="112"/>
        <v>17500</v>
      </c>
      <c r="H126" s="55">
        <f t="shared" si="112"/>
        <v>20833.333333333336</v>
      </c>
      <c r="I126" s="55">
        <f t="shared" si="112"/>
        <v>20833.333333333336</v>
      </c>
      <c r="J126" s="55">
        <f t="shared" si="112"/>
        <v>20833.333333333336</v>
      </c>
      <c r="K126" s="55">
        <f t="shared" si="112"/>
        <v>20833.333333333336</v>
      </c>
      <c r="L126" s="55">
        <f t="shared" si="112"/>
        <v>20833.333333333336</v>
      </c>
      <c r="M126" s="55">
        <f t="shared" si="112"/>
        <v>20833.333333333336</v>
      </c>
      <c r="N126" s="55">
        <f t="shared" si="112"/>
        <v>20833.333333333336</v>
      </c>
      <c r="O126" s="103">
        <f>SUM(C126:N126)</f>
        <v>233333.3333333334</v>
      </c>
      <c r="P126" s="55">
        <f>P231</f>
        <v>20833.333333333336</v>
      </c>
      <c r="Q126" s="55">
        <f t="shared" ref="Q126:AA126" si="113">Q231</f>
        <v>20833.333333333336</v>
      </c>
      <c r="R126" s="55">
        <f t="shared" si="113"/>
        <v>20833.333333333336</v>
      </c>
      <c r="S126" s="55">
        <f t="shared" si="113"/>
        <v>20833.333333333336</v>
      </c>
      <c r="T126" s="55">
        <f t="shared" si="113"/>
        <v>20833.333333333336</v>
      </c>
      <c r="U126" s="55">
        <f t="shared" si="113"/>
        <v>20833.333333333336</v>
      </c>
      <c r="V126" s="55">
        <f t="shared" si="113"/>
        <v>20833.333333333336</v>
      </c>
      <c r="W126" s="55">
        <f t="shared" si="113"/>
        <v>20833.333333333336</v>
      </c>
      <c r="X126" s="55">
        <f t="shared" si="113"/>
        <v>20833.333333333336</v>
      </c>
      <c r="Y126" s="55">
        <f t="shared" si="113"/>
        <v>20833.333333333336</v>
      </c>
      <c r="Z126" s="55">
        <f t="shared" si="113"/>
        <v>20833.333333333336</v>
      </c>
      <c r="AA126" s="55">
        <f t="shared" si="113"/>
        <v>20833.333333333336</v>
      </c>
      <c r="AB126" s="103">
        <f>SUM(P126:AA126)</f>
        <v>250000.00000000009</v>
      </c>
    </row>
    <row r="127" spans="1:67" outlineLevel="1" x14ac:dyDescent="0.35">
      <c r="A127" t="s">
        <v>185</v>
      </c>
      <c r="C127" s="55">
        <f t="shared" ref="C127:N127" si="114">C240</f>
        <v>11250</v>
      </c>
      <c r="D127" s="55">
        <f t="shared" si="114"/>
        <v>22500</v>
      </c>
      <c r="E127" s="55">
        <f t="shared" si="114"/>
        <v>22500</v>
      </c>
      <c r="F127" s="55">
        <f t="shared" si="114"/>
        <v>22500</v>
      </c>
      <c r="G127" s="55">
        <f t="shared" si="114"/>
        <v>22500</v>
      </c>
      <c r="H127" s="55">
        <f t="shared" si="114"/>
        <v>22500</v>
      </c>
      <c r="I127" s="55">
        <f t="shared" si="114"/>
        <v>22500</v>
      </c>
      <c r="J127" s="55">
        <f t="shared" si="114"/>
        <v>22500</v>
      </c>
      <c r="K127" s="55">
        <f t="shared" si="114"/>
        <v>22500</v>
      </c>
      <c r="L127" s="55">
        <f t="shared" si="114"/>
        <v>22500</v>
      </c>
      <c r="M127" s="55">
        <f t="shared" si="114"/>
        <v>22500</v>
      </c>
      <c r="N127" s="55">
        <f t="shared" si="114"/>
        <v>22500</v>
      </c>
      <c r="O127" s="103">
        <f>SUM(C127:N127)</f>
        <v>258750</v>
      </c>
      <c r="P127" s="55">
        <f>P240</f>
        <v>22500</v>
      </c>
      <c r="Q127" s="55">
        <f t="shared" ref="Q127:AA127" si="115">Q240</f>
        <v>22500</v>
      </c>
      <c r="R127" s="55">
        <f t="shared" si="115"/>
        <v>37500</v>
      </c>
      <c r="S127" s="55">
        <f t="shared" si="115"/>
        <v>52500</v>
      </c>
      <c r="T127" s="55">
        <f t="shared" si="115"/>
        <v>52500</v>
      </c>
      <c r="U127" s="55">
        <f t="shared" si="115"/>
        <v>52500</v>
      </c>
      <c r="V127" s="55">
        <f t="shared" si="115"/>
        <v>52500</v>
      </c>
      <c r="W127" s="55">
        <f t="shared" si="115"/>
        <v>52500</v>
      </c>
      <c r="X127" s="55">
        <f t="shared" si="115"/>
        <v>52500</v>
      </c>
      <c r="Y127" s="55">
        <f t="shared" si="115"/>
        <v>52500</v>
      </c>
      <c r="Z127" s="55">
        <f t="shared" si="115"/>
        <v>52500</v>
      </c>
      <c r="AA127" s="55">
        <f t="shared" si="115"/>
        <v>52500</v>
      </c>
      <c r="AB127" s="103">
        <f>SUM(P127:AA127)</f>
        <v>555000</v>
      </c>
    </row>
    <row r="128" spans="1:67" s="56" customFormat="1" outlineLevel="1" x14ac:dyDescent="0.35">
      <c r="A128" s="56" t="s">
        <v>186</v>
      </c>
      <c r="C128" s="57">
        <f t="shared" ref="C128:N128" si="116">C124-(C126+C127)</f>
        <v>-1123325</v>
      </c>
      <c r="D128" s="57">
        <f t="shared" si="116"/>
        <v>-354253</v>
      </c>
      <c r="E128" s="57">
        <f t="shared" si="116"/>
        <v>-349292.69</v>
      </c>
      <c r="F128" s="57">
        <f t="shared" si="116"/>
        <v>-794190.28839999996</v>
      </c>
      <c r="G128" s="57">
        <f t="shared" si="116"/>
        <v>-295962.15994500014</v>
      </c>
      <c r="H128" s="57">
        <f t="shared" si="116"/>
        <v>-545656.21796838334</v>
      </c>
      <c r="I128" s="57">
        <f t="shared" si="116"/>
        <v>-691976.57196714589</v>
      </c>
      <c r="J128" s="57">
        <f t="shared" si="116"/>
        <v>-57854.617742447961</v>
      </c>
      <c r="K128" s="57">
        <f t="shared" si="116"/>
        <v>-51202.608170034677</v>
      </c>
      <c r="L128" s="57">
        <f t="shared" si="116"/>
        <v>-399478.13405356725</v>
      </c>
      <c r="M128" s="57">
        <f t="shared" si="116"/>
        <v>-37680.351858638773</v>
      </c>
      <c r="N128" s="57">
        <f t="shared" si="116"/>
        <v>-30808.407237717845</v>
      </c>
      <c r="O128" s="103">
        <f>SUM(C128:N128)</f>
        <v>-4731680.0473429356</v>
      </c>
      <c r="P128" s="57">
        <f>P124-(P126+P127)</f>
        <v>-213732.82949736642</v>
      </c>
      <c r="Q128" s="57">
        <f t="shared" ref="Q128:AA128" si="117">Q124-(Q126+Q127)</f>
        <v>196588.22764394214</v>
      </c>
      <c r="R128" s="57">
        <f t="shared" si="117"/>
        <v>192022.99639872313</v>
      </c>
      <c r="S128" s="57">
        <f t="shared" si="117"/>
        <v>-172427.17609604829</v>
      </c>
      <c r="T128" s="57">
        <f t="shared" si="117"/>
        <v>198239.07496839055</v>
      </c>
      <c r="U128" s="57">
        <f t="shared" si="117"/>
        <v>421556.81702025409</v>
      </c>
      <c r="V128" s="57">
        <f t="shared" si="117"/>
        <v>84697.437784871232</v>
      </c>
      <c r="W128" s="57">
        <f t="shared" si="117"/>
        <v>447983.29914235545</v>
      </c>
      <c r="X128" s="57">
        <f t="shared" si="117"/>
        <v>461416.13018634112</v>
      </c>
      <c r="Y128" s="57">
        <f t="shared" si="117"/>
        <v>124997.68283515135</v>
      </c>
      <c r="Z128" s="57">
        <f t="shared" si="117"/>
        <v>488729.73217072187</v>
      </c>
      <c r="AA128" s="57">
        <f t="shared" si="117"/>
        <v>502614.0767831261</v>
      </c>
      <c r="AB128" s="103">
        <f>SUM(P128:AA128)</f>
        <v>2732685.4693404627</v>
      </c>
      <c r="AO128" s="102"/>
      <c r="BB128" s="102"/>
      <c r="BO128" s="102"/>
    </row>
    <row r="129" spans="1:67" outlineLevel="1" x14ac:dyDescent="0.35">
      <c r="A129" s="56" t="s">
        <v>190</v>
      </c>
      <c r="C129" s="97">
        <f t="shared" ref="C129:P129" si="118">C128/C103</f>
        <v>-4.7548148148148144</v>
      </c>
      <c r="D129" s="97">
        <f t="shared" si="118"/>
        <v>-0.38012017812114385</v>
      </c>
      <c r="E129" s="97">
        <f t="shared" si="118"/>
        <v>-0.36644083870862831</v>
      </c>
      <c r="F129" s="97">
        <f t="shared" si="118"/>
        <v>-0.81453303927736187</v>
      </c>
      <c r="G129" s="97">
        <f t="shared" si="118"/>
        <v>-0.22529401818337658</v>
      </c>
      <c r="H129" s="97">
        <f t="shared" si="118"/>
        <v>-0.41105380864094648</v>
      </c>
      <c r="I129" s="97">
        <f t="shared" si="118"/>
        <v>-0.51586380303214263</v>
      </c>
      <c r="J129" s="97">
        <f t="shared" si="118"/>
        <v>-3.1886441546572629E-2</v>
      </c>
      <c r="K129" s="97">
        <f t="shared" si="118"/>
        <v>-2.7928976615318412E-2</v>
      </c>
      <c r="L129" s="97">
        <f t="shared" si="118"/>
        <v>-0.21564983124781414</v>
      </c>
      <c r="M129" s="97">
        <f t="shared" si="118"/>
        <v>-2.0130866790633892E-2</v>
      </c>
      <c r="N129" s="97">
        <f t="shared" si="118"/>
        <v>-1.628944979829039E-2</v>
      </c>
      <c r="O129" s="106">
        <f t="shared" si="118"/>
        <v>-0.28953787176394369</v>
      </c>
      <c r="P129" s="97">
        <f t="shared" si="118"/>
        <v>-7.8490707127768913E-2</v>
      </c>
      <c r="Q129" s="97">
        <f t="shared" ref="Q129:AB129" si="119">Q128/Q103</f>
        <v>7.1444187926685332E-2</v>
      </c>
      <c r="R129" s="97">
        <f t="shared" si="119"/>
        <v>6.9059431334051208E-2</v>
      </c>
      <c r="S129" s="97">
        <f t="shared" si="119"/>
        <v>-6.136684277100185E-2</v>
      </c>
      <c r="T129" s="97">
        <f t="shared" si="119"/>
        <v>6.9818990931689542E-2</v>
      </c>
      <c r="U129" s="97">
        <f t="shared" si="119"/>
        <v>0.12593538869468004</v>
      </c>
      <c r="V129" s="97">
        <f t="shared" si="119"/>
        <v>2.5038827749940866E-2</v>
      </c>
      <c r="W129" s="97">
        <f t="shared" si="119"/>
        <v>0.13105556591271908</v>
      </c>
      <c r="X129" s="97">
        <f t="shared" si="119"/>
        <v>0.13357777433612475</v>
      </c>
      <c r="Y129" s="97">
        <f t="shared" si="119"/>
        <v>3.5808738022611843E-2</v>
      </c>
      <c r="Z129" s="97">
        <f t="shared" si="119"/>
        <v>0.13854767966526307</v>
      </c>
      <c r="AA129" s="97">
        <f t="shared" si="119"/>
        <v>0.14099586871961264</v>
      </c>
      <c r="AB129" s="106">
        <f t="shared" si="119"/>
        <v>7.1743056108564518E-2</v>
      </c>
    </row>
    <row r="130" spans="1:67" outlineLevel="1" x14ac:dyDescent="0.35">
      <c r="A130" t="s">
        <v>187</v>
      </c>
      <c r="C130" s="94">
        <f>IF(C128&lt;0,0,C128*C96)</f>
        <v>0</v>
      </c>
      <c r="D130" s="94">
        <f t="shared" ref="D130:N130" si="120">IF(D128&lt;0,0,D128*D96)</f>
        <v>0</v>
      </c>
      <c r="E130" s="94">
        <f t="shared" si="120"/>
        <v>0</v>
      </c>
      <c r="F130" s="94">
        <f t="shared" si="120"/>
        <v>0</v>
      </c>
      <c r="G130" s="94">
        <f t="shared" si="120"/>
        <v>0</v>
      </c>
      <c r="H130" s="94">
        <f t="shared" si="120"/>
        <v>0</v>
      </c>
      <c r="I130" s="94">
        <f t="shared" si="120"/>
        <v>0</v>
      </c>
      <c r="J130" s="94">
        <f t="shared" si="120"/>
        <v>0</v>
      </c>
      <c r="K130" s="94">
        <f t="shared" si="120"/>
        <v>0</v>
      </c>
      <c r="L130" s="94">
        <f t="shared" si="120"/>
        <v>0</v>
      </c>
      <c r="M130" s="94">
        <f t="shared" si="120"/>
        <v>0</v>
      </c>
      <c r="N130" s="94">
        <f t="shared" si="120"/>
        <v>0</v>
      </c>
      <c r="O130" s="103">
        <f>SUM(C130:N130)</f>
        <v>0</v>
      </c>
      <c r="P130" s="94">
        <f>IF(P128&lt;0,0,P128*P96)</f>
        <v>0</v>
      </c>
      <c r="Q130" s="94">
        <f t="shared" ref="Q130:AA130" si="121">IF(Q128&lt;0,0,Q128*Q96)</f>
        <v>58976.468293182639</v>
      </c>
      <c r="R130" s="94">
        <f t="shared" si="121"/>
        <v>57606.898919616935</v>
      </c>
      <c r="S130" s="94">
        <f t="shared" si="121"/>
        <v>0</v>
      </c>
      <c r="T130" s="94">
        <f t="shared" si="121"/>
        <v>59471.722490517161</v>
      </c>
      <c r="U130" s="94">
        <f t="shared" si="121"/>
        <v>126467.04510607623</v>
      </c>
      <c r="V130" s="94">
        <f t="shared" si="121"/>
        <v>25409.231335461369</v>
      </c>
      <c r="W130" s="94">
        <f t="shared" si="121"/>
        <v>134394.98974270662</v>
      </c>
      <c r="X130" s="94">
        <f t="shared" si="121"/>
        <v>138424.83905590232</v>
      </c>
      <c r="Y130" s="94">
        <f t="shared" si="121"/>
        <v>37499.304850545406</v>
      </c>
      <c r="Z130" s="94">
        <f t="shared" si="121"/>
        <v>146618.91965121657</v>
      </c>
      <c r="AA130" s="94">
        <f t="shared" si="121"/>
        <v>150784.22303493784</v>
      </c>
      <c r="AB130" s="103">
        <f>SUM(P130:AA130)</f>
        <v>935653.64248016314</v>
      </c>
    </row>
    <row r="131" spans="1:67" s="56" customFormat="1" outlineLevel="1" x14ac:dyDescent="0.35">
      <c r="A131" s="56" t="s">
        <v>188</v>
      </c>
      <c r="C131" s="57">
        <f t="shared" ref="C131:N131" si="122">C128-C130</f>
        <v>-1123325</v>
      </c>
      <c r="D131" s="57">
        <f t="shared" si="122"/>
        <v>-354253</v>
      </c>
      <c r="E131" s="57">
        <f t="shared" si="122"/>
        <v>-349292.69</v>
      </c>
      <c r="F131" s="57">
        <f t="shared" si="122"/>
        <v>-794190.28839999996</v>
      </c>
      <c r="G131" s="57">
        <f t="shared" si="122"/>
        <v>-295962.15994500014</v>
      </c>
      <c r="H131" s="57">
        <f t="shared" si="122"/>
        <v>-545656.21796838334</v>
      </c>
      <c r="I131" s="57">
        <f t="shared" si="122"/>
        <v>-691976.57196714589</v>
      </c>
      <c r="J131" s="57">
        <f t="shared" si="122"/>
        <v>-57854.617742447961</v>
      </c>
      <c r="K131" s="57">
        <f t="shared" si="122"/>
        <v>-51202.608170034677</v>
      </c>
      <c r="L131" s="57">
        <f t="shared" si="122"/>
        <v>-399478.13405356725</v>
      </c>
      <c r="M131" s="57">
        <f t="shared" si="122"/>
        <v>-37680.351858638773</v>
      </c>
      <c r="N131" s="57">
        <f t="shared" si="122"/>
        <v>-30808.407237717845</v>
      </c>
      <c r="O131" s="103">
        <f>SUM(C131:N131)</f>
        <v>-4731680.0473429356</v>
      </c>
      <c r="P131" s="57">
        <f>P128-P130</f>
        <v>-213732.82949736642</v>
      </c>
      <c r="Q131" s="57">
        <f t="shared" ref="Q131:AA131" si="123">Q128-Q130</f>
        <v>137611.7593507595</v>
      </c>
      <c r="R131" s="57">
        <f t="shared" si="123"/>
        <v>134416.09747910619</v>
      </c>
      <c r="S131" s="57">
        <f t="shared" si="123"/>
        <v>-172427.17609604829</v>
      </c>
      <c r="T131" s="57">
        <f t="shared" si="123"/>
        <v>138767.35247787338</v>
      </c>
      <c r="U131" s="57">
        <f t="shared" si="123"/>
        <v>295089.77191417787</v>
      </c>
      <c r="V131" s="57">
        <f t="shared" si="123"/>
        <v>59288.206449409859</v>
      </c>
      <c r="W131" s="57">
        <f t="shared" si="123"/>
        <v>313588.3093996488</v>
      </c>
      <c r="X131" s="57">
        <f t="shared" si="123"/>
        <v>322991.2911304388</v>
      </c>
      <c r="Y131" s="57">
        <f t="shared" si="123"/>
        <v>87498.377984605948</v>
      </c>
      <c r="Z131" s="57">
        <f t="shared" si="123"/>
        <v>342110.81251950527</v>
      </c>
      <c r="AA131" s="57">
        <f t="shared" si="123"/>
        <v>351829.85374818824</v>
      </c>
      <c r="AB131" s="103">
        <f>SUM(P131:AA131)</f>
        <v>1797031.8268602993</v>
      </c>
      <c r="AO131" s="102"/>
      <c r="BB131" s="102"/>
      <c r="BO131" s="102"/>
    </row>
    <row r="132" spans="1:67" s="56" customFormat="1" outlineLevel="1" x14ac:dyDescent="0.35">
      <c r="A132" s="56" t="s">
        <v>190</v>
      </c>
      <c r="C132" s="97">
        <f t="shared" ref="C132:P132" si="124">C131/C103</f>
        <v>-4.7548148148148144</v>
      </c>
      <c r="D132" s="97">
        <f t="shared" si="124"/>
        <v>-0.38012017812114385</v>
      </c>
      <c r="E132" s="97">
        <f t="shared" si="124"/>
        <v>-0.36644083870862831</v>
      </c>
      <c r="F132" s="97">
        <f t="shared" si="124"/>
        <v>-0.81453303927736187</v>
      </c>
      <c r="G132" s="97">
        <f t="shared" si="124"/>
        <v>-0.22529401818337658</v>
      </c>
      <c r="H132" s="97">
        <f t="shared" si="124"/>
        <v>-0.41105380864094648</v>
      </c>
      <c r="I132" s="97">
        <f t="shared" si="124"/>
        <v>-0.51586380303214263</v>
      </c>
      <c r="J132" s="97">
        <f t="shared" si="124"/>
        <v>-3.1886441546572629E-2</v>
      </c>
      <c r="K132" s="97">
        <f t="shared" si="124"/>
        <v>-2.7928976615318412E-2</v>
      </c>
      <c r="L132" s="97">
        <f t="shared" si="124"/>
        <v>-0.21564983124781414</v>
      </c>
      <c r="M132" s="97">
        <f t="shared" si="124"/>
        <v>-2.0130866790633892E-2</v>
      </c>
      <c r="N132" s="97">
        <f t="shared" si="124"/>
        <v>-1.628944979829039E-2</v>
      </c>
      <c r="O132" s="106">
        <f t="shared" si="124"/>
        <v>-0.28953787176394369</v>
      </c>
      <c r="P132" s="97">
        <f t="shared" si="124"/>
        <v>-7.8490707127768913E-2</v>
      </c>
      <c r="Q132" s="97">
        <f t="shared" ref="Q132:AB132" si="125">Q131/Q103</f>
        <v>5.0010931548679728E-2</v>
      </c>
      <c r="R132" s="97">
        <f t="shared" si="125"/>
        <v>4.8341601933835847E-2</v>
      </c>
      <c r="S132" s="97">
        <f t="shared" si="125"/>
        <v>-6.136684277100185E-2</v>
      </c>
      <c r="T132" s="97">
        <f t="shared" si="125"/>
        <v>4.8873293652182681E-2</v>
      </c>
      <c r="U132" s="97">
        <f t="shared" si="125"/>
        <v>8.8154772086276034E-2</v>
      </c>
      <c r="V132" s="97">
        <f t="shared" si="125"/>
        <v>1.7527179424958607E-2</v>
      </c>
      <c r="W132" s="97">
        <f t="shared" si="125"/>
        <v>9.1738896138903361E-2</v>
      </c>
      <c r="X132" s="97">
        <f t="shared" si="125"/>
        <v>9.3504442035287322E-2</v>
      </c>
      <c r="Y132" s="97">
        <f t="shared" si="125"/>
        <v>2.5066116615828287E-2</v>
      </c>
      <c r="Z132" s="97">
        <f t="shared" si="125"/>
        <v>9.6983375765684138E-2</v>
      </c>
      <c r="AA132" s="97">
        <f t="shared" si="125"/>
        <v>9.8697108103728851E-2</v>
      </c>
      <c r="AB132" s="106">
        <f t="shared" si="125"/>
        <v>4.7178702646093688E-2</v>
      </c>
      <c r="AO132" s="102"/>
      <c r="BB132" s="102"/>
      <c r="BO132" s="102"/>
    </row>
    <row r="133" spans="1:67" outlineLevel="1" x14ac:dyDescent="0.35">
      <c r="A133" s="56"/>
    </row>
    <row r="134" spans="1:67" outlineLevel="1" x14ac:dyDescent="0.35">
      <c r="A134" s="56" t="s">
        <v>129</v>
      </c>
      <c r="C134" s="55">
        <f t="shared" ref="C134:N134" si="126">C131*C93</f>
        <v>0</v>
      </c>
      <c r="D134" s="55">
        <f t="shared" si="126"/>
        <v>0</v>
      </c>
      <c r="E134" s="55">
        <f t="shared" si="126"/>
        <v>0</v>
      </c>
      <c r="F134" s="55">
        <f t="shared" si="126"/>
        <v>0</v>
      </c>
      <c r="G134" s="55">
        <f t="shared" si="126"/>
        <v>0</v>
      </c>
      <c r="H134" s="55">
        <f t="shared" si="126"/>
        <v>0</v>
      </c>
      <c r="I134" s="55">
        <f t="shared" si="126"/>
        <v>0</v>
      </c>
      <c r="J134" s="55">
        <f t="shared" si="126"/>
        <v>0</v>
      </c>
      <c r="K134" s="55">
        <f t="shared" si="126"/>
        <v>0</v>
      </c>
      <c r="L134" s="55">
        <f t="shared" si="126"/>
        <v>0</v>
      </c>
      <c r="M134" s="55">
        <f t="shared" si="126"/>
        <v>0</v>
      </c>
      <c r="N134" s="55">
        <f t="shared" si="126"/>
        <v>0</v>
      </c>
      <c r="P134" s="55">
        <f>P131*P93</f>
        <v>0</v>
      </c>
      <c r="Q134" s="55">
        <f t="shared" ref="Q134:AA134" si="127">Q131*Q93</f>
        <v>0</v>
      </c>
      <c r="R134" s="55">
        <f t="shared" si="127"/>
        <v>0</v>
      </c>
      <c r="S134" s="55">
        <f t="shared" si="127"/>
        <v>0</v>
      </c>
      <c r="T134" s="55">
        <f t="shared" si="127"/>
        <v>0</v>
      </c>
      <c r="U134" s="55">
        <f t="shared" si="127"/>
        <v>0</v>
      </c>
      <c r="V134" s="55">
        <f t="shared" si="127"/>
        <v>0</v>
      </c>
      <c r="W134" s="55">
        <f t="shared" si="127"/>
        <v>0</v>
      </c>
      <c r="X134" s="55">
        <f t="shared" si="127"/>
        <v>0</v>
      </c>
      <c r="Y134" s="55">
        <f t="shared" si="127"/>
        <v>0</v>
      </c>
      <c r="Z134" s="55">
        <f t="shared" si="127"/>
        <v>0</v>
      </c>
      <c r="AA134" s="55">
        <f t="shared" si="127"/>
        <v>0</v>
      </c>
    </row>
    <row r="135" spans="1:67" outlineLevel="1" x14ac:dyDescent="0.35">
      <c r="A135" s="56"/>
    </row>
    <row r="136" spans="1:67" s="70" customFormat="1" x14ac:dyDescent="0.35">
      <c r="A136" s="70" t="s">
        <v>133</v>
      </c>
      <c r="C136" s="69"/>
      <c r="D136" s="69"/>
      <c r="E136" s="69"/>
      <c r="F136" s="69"/>
      <c r="G136" s="69"/>
      <c r="O136" s="98"/>
      <c r="AB136" s="98"/>
      <c r="AO136" s="98"/>
      <c r="BB136" s="98"/>
      <c r="BO136" s="98"/>
    </row>
    <row r="137" spans="1:67" outlineLevel="1" x14ac:dyDescent="0.35">
      <c r="A137" s="56" t="s">
        <v>198</v>
      </c>
      <c r="P137" s="51"/>
      <c r="Q137" s="51"/>
      <c r="R137" s="51"/>
      <c r="S137" s="51"/>
    </row>
    <row r="138" spans="1:67" outlineLevel="1" x14ac:dyDescent="0.35">
      <c r="A138" t="s">
        <v>200</v>
      </c>
      <c r="C138" s="55">
        <f t="shared" ref="C138:N138" si="128">C182</f>
        <v>2527575</v>
      </c>
      <c r="D138" s="55">
        <f t="shared" si="128"/>
        <v>2309003</v>
      </c>
      <c r="E138" s="55">
        <f t="shared" si="128"/>
        <v>2363887.5349999997</v>
      </c>
      <c r="F138" s="55">
        <f t="shared" si="128"/>
        <v>1601112.2825999998</v>
      </c>
      <c r="G138" s="55">
        <f t="shared" si="128"/>
        <v>1457206.9694175001</v>
      </c>
      <c r="H138" s="55">
        <f t="shared" si="128"/>
        <v>298607.39240657515</v>
      </c>
      <c r="I138" s="55">
        <f>I182</f>
        <v>-368378.65273050184</v>
      </c>
      <c r="J138" s="55">
        <f t="shared" si="128"/>
        <v>-452412.11142942135</v>
      </c>
      <c r="K138" s="55">
        <f t="shared" si="128"/>
        <v>-479090.6608524021</v>
      </c>
      <c r="L138" s="55">
        <f t="shared" si="128"/>
        <v>-854006.03408342286</v>
      </c>
      <c r="M138" s="55">
        <f t="shared" si="128"/>
        <v>-867084.50012683962</v>
      </c>
      <c r="N138" s="55">
        <f t="shared" si="128"/>
        <v>-873251.46869237849</v>
      </c>
      <c r="O138" s="103">
        <f t="shared" ref="O138:O145" si="129">SUM(C138:N138)</f>
        <v>6663168.7515091095</v>
      </c>
      <c r="P138" s="55">
        <f>P182</f>
        <v>-1469773.1960163317</v>
      </c>
      <c r="Q138" s="55">
        <f t="shared" ref="Q138:AA138" si="130">Q182</f>
        <v>-1311708.4913252585</v>
      </c>
      <c r="R138" s="55">
        <f t="shared" si="130"/>
        <v>843154.84525153995</v>
      </c>
      <c r="S138" s="55">
        <f t="shared" si="130"/>
        <v>91169.10690088151</v>
      </c>
      <c r="T138" s="55">
        <f t="shared" si="130"/>
        <v>-349628.00104987854</v>
      </c>
      <c r="U138" s="55">
        <f t="shared" si="130"/>
        <v>-740375.52864793048</v>
      </c>
      <c r="V138" s="55">
        <f t="shared" si="130"/>
        <v>-1261782.5545310634</v>
      </c>
      <c r="W138" s="55">
        <f t="shared" si="130"/>
        <v>-1528907.9836758804</v>
      </c>
      <c r="X138" s="55">
        <f t="shared" si="130"/>
        <v>-1786649.1867750527</v>
      </c>
      <c r="Y138" s="55">
        <f t="shared" si="130"/>
        <v>-2279902.3119613873</v>
      </c>
      <c r="Z138" s="55">
        <f t="shared" si="130"/>
        <v>-2518562.2686568722</v>
      </c>
      <c r="AA138" s="55">
        <f t="shared" si="130"/>
        <v>-2747522.711181751</v>
      </c>
      <c r="AB138" s="103">
        <f t="shared" ref="AB138:AB145" si="131">SUM(P138:AA138)</f>
        <v>-15060488.281668985</v>
      </c>
    </row>
    <row r="139" spans="1:67" outlineLevel="1" x14ac:dyDescent="0.35">
      <c r="A139" t="s">
        <v>201</v>
      </c>
      <c r="C139" s="55">
        <f>C103*C73/$B$75</f>
        <v>15750</v>
      </c>
      <c r="D139" s="55">
        <f t="shared" ref="D139:N139" si="132">D103*D73/$B$75</f>
        <v>155325</v>
      </c>
      <c r="E139" s="55">
        <f t="shared" si="132"/>
        <v>158867.25</v>
      </c>
      <c r="F139" s="55">
        <f t="shared" si="132"/>
        <v>162504.21</v>
      </c>
      <c r="G139" s="55">
        <f t="shared" si="132"/>
        <v>218945.12359999996</v>
      </c>
      <c r="H139" s="55">
        <f t="shared" si="132"/>
        <v>663728.45415600005</v>
      </c>
      <c r="I139" s="55">
        <f t="shared" si="132"/>
        <v>670696.96293852001</v>
      </c>
      <c r="J139" s="55">
        <f t="shared" si="132"/>
        <v>907197.77648984117</v>
      </c>
      <c r="K139" s="55">
        <f t="shared" si="132"/>
        <v>916657.43566757126</v>
      </c>
      <c r="L139" s="55">
        <f t="shared" si="132"/>
        <v>926219.44506533549</v>
      </c>
      <c r="M139" s="55">
        <f t="shared" si="132"/>
        <v>935884.9832578986</v>
      </c>
      <c r="N139" s="55">
        <f t="shared" si="132"/>
        <v>945655.24370722612</v>
      </c>
      <c r="O139" s="104">
        <f t="shared" si="129"/>
        <v>6677431.8848823924</v>
      </c>
      <c r="P139" s="55">
        <f>P103*P73/$B$75</f>
        <v>1361516.7789828128</v>
      </c>
      <c r="Q139" s="55">
        <f t="shared" ref="Q139:AA139" si="133">Q103*Q73/$B$75</f>
        <v>1375816.7973417044</v>
      </c>
      <c r="R139" s="55">
        <f t="shared" si="133"/>
        <v>1390273.5128955669</v>
      </c>
      <c r="S139" s="55">
        <f t="shared" si="133"/>
        <v>1404888.7665565764</v>
      </c>
      <c r="T139" s="55">
        <f t="shared" si="133"/>
        <v>1419664.4231248372</v>
      </c>
      <c r="U139" s="55">
        <f t="shared" si="133"/>
        <v>1673702.7669096405</v>
      </c>
      <c r="V139" s="55">
        <f t="shared" si="133"/>
        <v>1691321.9466728282</v>
      </c>
      <c r="W139" s="55">
        <f t="shared" si="133"/>
        <v>1709134.9612755293</v>
      </c>
      <c r="X139" s="55">
        <f t="shared" si="133"/>
        <v>1727144.101926977</v>
      </c>
      <c r="Y139" s="55">
        <f t="shared" si="133"/>
        <v>1745351.6898057135</v>
      </c>
      <c r="Z139" s="55">
        <f t="shared" si="133"/>
        <v>1763760.0765004263</v>
      </c>
      <c r="AA139" s="55">
        <f t="shared" si="133"/>
        <v>1782371.6444580196</v>
      </c>
      <c r="AB139" s="104">
        <f t="shared" si="131"/>
        <v>19044947.466450632</v>
      </c>
    </row>
    <row r="140" spans="1:67" outlineLevel="1" x14ac:dyDescent="0.35">
      <c r="A140" t="s">
        <v>202</v>
      </c>
      <c r="C140" s="55">
        <f>C105*C74/$B$75</f>
        <v>262500</v>
      </c>
      <c r="D140" s="55">
        <f t="shared" ref="D140:N140" si="134">D105*D74/$B$75</f>
        <v>1035500</v>
      </c>
      <c r="E140" s="55">
        <f t="shared" si="134"/>
        <v>1059115</v>
      </c>
      <c r="F140" s="55">
        <f t="shared" si="134"/>
        <v>1083361.3999999999</v>
      </c>
      <c r="G140" s="55">
        <f t="shared" si="134"/>
        <v>1368407.0225</v>
      </c>
      <c r="H140" s="55">
        <f t="shared" si="134"/>
        <v>1382767.612825</v>
      </c>
      <c r="I140" s="55">
        <f t="shared" si="134"/>
        <v>1397285.3394552502</v>
      </c>
      <c r="J140" s="55">
        <f t="shared" si="134"/>
        <v>1679995.882388595</v>
      </c>
      <c r="K140" s="55">
        <f t="shared" si="134"/>
        <v>1697513.7697547616</v>
      </c>
      <c r="L140" s="55">
        <f t="shared" si="134"/>
        <v>1715221.1945654361</v>
      </c>
      <c r="M140" s="55">
        <f t="shared" si="134"/>
        <v>1733120.3393664793</v>
      </c>
      <c r="N140" s="55">
        <f t="shared" si="134"/>
        <v>1751213.4142726411</v>
      </c>
      <c r="O140" s="104">
        <f t="shared" si="129"/>
        <v>16166000.975128163</v>
      </c>
      <c r="P140" s="55">
        <f>P105*P74/$B$75</f>
        <v>3025592.8421840286</v>
      </c>
      <c r="Q140" s="55">
        <f t="shared" ref="Q140:AA140" si="135">Q105*Q74/$B$75</f>
        <v>3057370.6607593438</v>
      </c>
      <c r="R140" s="55">
        <f t="shared" si="135"/>
        <v>3089496.6953234826</v>
      </c>
      <c r="S140" s="55">
        <f t="shared" si="135"/>
        <v>3121975.0367923924</v>
      </c>
      <c r="T140" s="55">
        <f t="shared" si="135"/>
        <v>3154809.8291663057</v>
      </c>
      <c r="U140" s="55">
        <f t="shared" si="135"/>
        <v>3719339.482021424</v>
      </c>
      <c r="V140" s="55">
        <f t="shared" si="135"/>
        <v>3758493.2148285075</v>
      </c>
      <c r="W140" s="55">
        <f t="shared" si="135"/>
        <v>3798077.6917233993</v>
      </c>
      <c r="X140" s="55">
        <f t="shared" si="135"/>
        <v>3838098.0042821718</v>
      </c>
      <c r="Y140" s="55">
        <f t="shared" si="135"/>
        <v>3878559.310679364</v>
      </c>
      <c r="Z140" s="55">
        <f t="shared" si="135"/>
        <v>3919466.8366676145</v>
      </c>
      <c r="AA140" s="55">
        <f t="shared" si="135"/>
        <v>3960825.8765733773</v>
      </c>
      <c r="AB140" s="104">
        <f t="shared" si="131"/>
        <v>42322105.481001407</v>
      </c>
    </row>
    <row r="141" spans="1:67" outlineLevel="1" x14ac:dyDescent="0.35">
      <c r="A141" s="56" t="s">
        <v>203</v>
      </c>
      <c r="C141" s="57">
        <f t="shared" ref="C141:N141" si="136">SUM(C138:C140)</f>
        <v>2805825</v>
      </c>
      <c r="D141" s="57">
        <f t="shared" si="136"/>
        <v>3499828</v>
      </c>
      <c r="E141" s="57">
        <f t="shared" si="136"/>
        <v>3581869.7849999997</v>
      </c>
      <c r="F141" s="57">
        <f t="shared" si="136"/>
        <v>2846977.8925999999</v>
      </c>
      <c r="G141" s="57">
        <f t="shared" si="136"/>
        <v>3044559.1155174999</v>
      </c>
      <c r="H141" s="57">
        <f t="shared" si="136"/>
        <v>2345103.4593875753</v>
      </c>
      <c r="I141" s="57">
        <f t="shared" si="136"/>
        <v>1699603.6496632684</v>
      </c>
      <c r="J141" s="57">
        <f t="shared" si="136"/>
        <v>2134781.5474490151</v>
      </c>
      <c r="K141" s="57">
        <f t="shared" si="136"/>
        <v>2135080.544569931</v>
      </c>
      <c r="L141" s="57">
        <f t="shared" si="136"/>
        <v>1787434.6055473487</v>
      </c>
      <c r="M141" s="57">
        <f t="shared" si="136"/>
        <v>1801920.8224975383</v>
      </c>
      <c r="N141" s="57">
        <f t="shared" si="136"/>
        <v>1823617.1892874888</v>
      </c>
      <c r="O141" s="103">
        <f t="shared" si="129"/>
        <v>29506601.611519668</v>
      </c>
      <c r="P141" s="57">
        <f>SUM(P138:P140)</f>
        <v>2917336.4251505099</v>
      </c>
      <c r="Q141" s="57">
        <f t="shared" ref="Q141:AA141" si="137">SUM(Q138:Q140)</f>
        <v>3121478.9667757899</v>
      </c>
      <c r="R141" s="57">
        <f t="shared" si="137"/>
        <v>5322925.0534705892</v>
      </c>
      <c r="S141" s="57">
        <f t="shared" si="137"/>
        <v>4618032.9102498498</v>
      </c>
      <c r="T141" s="57">
        <f t="shared" si="137"/>
        <v>4224846.2512412649</v>
      </c>
      <c r="U141" s="57">
        <f t="shared" si="137"/>
        <v>4652666.7202831339</v>
      </c>
      <c r="V141" s="57">
        <f t="shared" si="137"/>
        <v>4188032.606970272</v>
      </c>
      <c r="W141" s="57">
        <f t="shared" si="137"/>
        <v>3978304.6693230486</v>
      </c>
      <c r="X141" s="57">
        <f t="shared" si="137"/>
        <v>3778592.9194340962</v>
      </c>
      <c r="Y141" s="57">
        <f t="shared" si="137"/>
        <v>3344008.6885236902</v>
      </c>
      <c r="Z141" s="57">
        <f t="shared" si="137"/>
        <v>3164664.6445111688</v>
      </c>
      <c r="AA141" s="57">
        <f t="shared" si="137"/>
        <v>2995674.8098496459</v>
      </c>
      <c r="AB141" s="103">
        <f t="shared" si="131"/>
        <v>46306564.665783063</v>
      </c>
    </row>
    <row r="142" spans="1:67" outlineLevel="1" x14ac:dyDescent="0.35">
      <c r="A142" t="s">
        <v>175</v>
      </c>
      <c r="C142" s="55">
        <f t="shared" ref="C142:N142" si="138">C233</f>
        <v>245833.33333333334</v>
      </c>
      <c r="D142" s="55">
        <f t="shared" si="138"/>
        <v>241666.66666666669</v>
      </c>
      <c r="E142" s="55">
        <f t="shared" si="138"/>
        <v>237500.00000000003</v>
      </c>
      <c r="F142" s="55">
        <f t="shared" si="138"/>
        <v>233333.33333333337</v>
      </c>
      <c r="G142" s="55">
        <f t="shared" si="138"/>
        <v>229166.66666666672</v>
      </c>
      <c r="H142" s="55">
        <f t="shared" si="138"/>
        <v>225000.00000000006</v>
      </c>
      <c r="I142" s="55">
        <f t="shared" si="138"/>
        <v>220833.3333333334</v>
      </c>
      <c r="J142" s="55">
        <f t="shared" si="138"/>
        <v>216666.66666666674</v>
      </c>
      <c r="K142" s="55">
        <f t="shared" si="138"/>
        <v>212500.00000000009</v>
      </c>
      <c r="L142" s="55">
        <f t="shared" si="138"/>
        <v>208333.33333333343</v>
      </c>
      <c r="M142" s="55">
        <f t="shared" si="138"/>
        <v>204166.66666666677</v>
      </c>
      <c r="N142" s="55">
        <f t="shared" si="138"/>
        <v>200000.00000000012</v>
      </c>
      <c r="O142" s="104">
        <f t="shared" si="129"/>
        <v>2675000.0000000005</v>
      </c>
      <c r="P142" s="55">
        <f>P233</f>
        <v>195833.33333333346</v>
      </c>
      <c r="Q142" s="55">
        <f t="shared" ref="Q142:AA142" si="139">Q233</f>
        <v>191666.6666666668</v>
      </c>
      <c r="R142" s="55">
        <f t="shared" si="139"/>
        <v>187500.00000000015</v>
      </c>
      <c r="S142" s="55">
        <f t="shared" si="139"/>
        <v>183333.33333333349</v>
      </c>
      <c r="T142" s="55">
        <f t="shared" si="139"/>
        <v>179166.66666666683</v>
      </c>
      <c r="U142" s="55">
        <f t="shared" si="139"/>
        <v>175000.00000000017</v>
      </c>
      <c r="V142" s="55">
        <f t="shared" si="139"/>
        <v>170833.33333333352</v>
      </c>
      <c r="W142" s="55">
        <f t="shared" si="139"/>
        <v>166666.66666666686</v>
      </c>
      <c r="X142" s="55">
        <f t="shared" si="139"/>
        <v>162500.0000000002</v>
      </c>
      <c r="Y142" s="55">
        <f t="shared" si="139"/>
        <v>158333.33333333355</v>
      </c>
      <c r="Z142" s="55">
        <f t="shared" si="139"/>
        <v>154166.66666666689</v>
      </c>
      <c r="AA142" s="55">
        <f t="shared" si="139"/>
        <v>150000.00000000023</v>
      </c>
      <c r="AB142" s="104">
        <f t="shared" si="131"/>
        <v>2075000.0000000023</v>
      </c>
    </row>
    <row r="143" spans="1:67" outlineLevel="1" x14ac:dyDescent="0.35">
      <c r="A143" t="s">
        <v>176</v>
      </c>
      <c r="C143" s="55">
        <f t="shared" ref="C143:N143" si="140">C234</f>
        <v>786666.66666666663</v>
      </c>
      <c r="D143" s="55">
        <f t="shared" si="140"/>
        <v>773333.33333333326</v>
      </c>
      <c r="E143" s="55">
        <f t="shared" si="140"/>
        <v>759999.99999999988</v>
      </c>
      <c r="F143" s="55">
        <f t="shared" si="140"/>
        <v>746666.66666666651</v>
      </c>
      <c r="G143" s="55">
        <f t="shared" si="140"/>
        <v>733333.33333333314</v>
      </c>
      <c r="H143" s="55">
        <f t="shared" si="140"/>
        <v>916666.66666666651</v>
      </c>
      <c r="I143" s="55">
        <f t="shared" si="140"/>
        <v>899999.99999999988</v>
      </c>
      <c r="J143" s="55">
        <f t="shared" si="140"/>
        <v>883333.33333333326</v>
      </c>
      <c r="K143" s="55">
        <f t="shared" si="140"/>
        <v>866666.66666666663</v>
      </c>
      <c r="L143" s="55">
        <f t="shared" si="140"/>
        <v>850000</v>
      </c>
      <c r="M143" s="55">
        <f t="shared" si="140"/>
        <v>833333.33333333337</v>
      </c>
      <c r="N143" s="55">
        <f t="shared" si="140"/>
        <v>816666.66666666674</v>
      </c>
      <c r="O143" s="104">
        <f t="shared" si="129"/>
        <v>9866666.666666666</v>
      </c>
      <c r="P143" s="55">
        <f>P234</f>
        <v>800000.00000000012</v>
      </c>
      <c r="Q143" s="55">
        <f t="shared" ref="Q143:AA143" si="141">Q234</f>
        <v>783333.33333333349</v>
      </c>
      <c r="R143" s="55">
        <f t="shared" si="141"/>
        <v>766666.66666666686</v>
      </c>
      <c r="S143" s="55">
        <f t="shared" si="141"/>
        <v>1350000.0000000002</v>
      </c>
      <c r="T143" s="55">
        <f t="shared" si="141"/>
        <v>1933333.3333333335</v>
      </c>
      <c r="U143" s="55">
        <f t="shared" si="141"/>
        <v>2516666.666666667</v>
      </c>
      <c r="V143" s="55">
        <f t="shared" si="141"/>
        <v>3100000.0000000005</v>
      </c>
      <c r="W143" s="55">
        <f t="shared" si="141"/>
        <v>3683333.333333334</v>
      </c>
      <c r="X143" s="55">
        <f t="shared" si="141"/>
        <v>4266666.666666667</v>
      </c>
      <c r="Y143" s="55">
        <f t="shared" si="141"/>
        <v>4850000</v>
      </c>
      <c r="Z143" s="55">
        <f t="shared" si="141"/>
        <v>5433333.333333333</v>
      </c>
      <c r="AA143" s="55">
        <f t="shared" si="141"/>
        <v>6016666.666666666</v>
      </c>
      <c r="AB143" s="104">
        <f t="shared" si="131"/>
        <v>35500000</v>
      </c>
    </row>
    <row r="144" spans="1:67" outlineLevel="1" x14ac:dyDescent="0.35">
      <c r="A144" s="56" t="s">
        <v>204</v>
      </c>
      <c r="C144" s="57">
        <f t="shared" ref="C144:N144" si="142">SUM(C142,C143)</f>
        <v>1032500</v>
      </c>
      <c r="D144" s="57">
        <f t="shared" si="142"/>
        <v>1015000</v>
      </c>
      <c r="E144" s="57">
        <f t="shared" si="142"/>
        <v>997499.99999999988</v>
      </c>
      <c r="F144" s="57">
        <f t="shared" si="142"/>
        <v>979999.99999999988</v>
      </c>
      <c r="G144" s="57">
        <f t="shared" si="142"/>
        <v>962499.99999999988</v>
      </c>
      <c r="H144" s="57">
        <f t="shared" si="142"/>
        <v>1141666.6666666665</v>
      </c>
      <c r="I144" s="57">
        <f t="shared" si="142"/>
        <v>1120833.3333333333</v>
      </c>
      <c r="J144" s="57">
        <f t="shared" si="142"/>
        <v>1100000</v>
      </c>
      <c r="K144" s="57">
        <f t="shared" si="142"/>
        <v>1079166.6666666667</v>
      </c>
      <c r="L144" s="57">
        <f t="shared" si="142"/>
        <v>1058333.3333333335</v>
      </c>
      <c r="M144" s="57">
        <f t="shared" si="142"/>
        <v>1037500.0000000001</v>
      </c>
      <c r="N144" s="57">
        <f t="shared" si="142"/>
        <v>1016666.6666666669</v>
      </c>
      <c r="O144" s="103">
        <f t="shared" si="129"/>
        <v>12541666.666666666</v>
      </c>
      <c r="P144" s="57">
        <f>SUM(P142,P143)</f>
        <v>995833.3333333336</v>
      </c>
      <c r="Q144" s="57">
        <f t="shared" ref="Q144:AA144" si="143">SUM(Q142,Q143)</f>
        <v>975000.00000000023</v>
      </c>
      <c r="R144" s="57">
        <f t="shared" si="143"/>
        <v>954166.66666666698</v>
      </c>
      <c r="S144" s="57">
        <f t="shared" si="143"/>
        <v>1533333.3333333337</v>
      </c>
      <c r="T144" s="57">
        <f t="shared" si="143"/>
        <v>2112500.0000000005</v>
      </c>
      <c r="U144" s="57">
        <f t="shared" si="143"/>
        <v>2691666.666666667</v>
      </c>
      <c r="V144" s="57">
        <f t="shared" si="143"/>
        <v>3270833.333333334</v>
      </c>
      <c r="W144" s="57">
        <f t="shared" si="143"/>
        <v>3850000.0000000009</v>
      </c>
      <c r="X144" s="57">
        <f t="shared" si="143"/>
        <v>4429166.666666667</v>
      </c>
      <c r="Y144" s="57">
        <f t="shared" si="143"/>
        <v>5008333.333333334</v>
      </c>
      <c r="Z144" s="57">
        <f t="shared" si="143"/>
        <v>5587500</v>
      </c>
      <c r="AA144" s="57">
        <f t="shared" si="143"/>
        <v>6166666.666666666</v>
      </c>
      <c r="AB144" s="103">
        <f t="shared" si="131"/>
        <v>37575000.000000007</v>
      </c>
    </row>
    <row r="145" spans="1:67" outlineLevel="1" x14ac:dyDescent="0.35">
      <c r="A145" s="56" t="s">
        <v>205</v>
      </c>
      <c r="C145" s="57">
        <f t="shared" ref="C145:N145" si="144">SUM(C141,C144)</f>
        <v>3838325</v>
      </c>
      <c r="D145" s="57">
        <f t="shared" si="144"/>
        <v>4514828</v>
      </c>
      <c r="E145" s="57">
        <f t="shared" si="144"/>
        <v>4579369.7849999992</v>
      </c>
      <c r="F145" s="57">
        <f t="shared" si="144"/>
        <v>3826977.8925999999</v>
      </c>
      <c r="G145" s="57">
        <f t="shared" si="144"/>
        <v>4007059.1155174999</v>
      </c>
      <c r="H145" s="57">
        <f t="shared" si="144"/>
        <v>3486770.1260542418</v>
      </c>
      <c r="I145" s="57">
        <f t="shared" si="144"/>
        <v>2820436.9829966016</v>
      </c>
      <c r="J145" s="57">
        <f t="shared" si="144"/>
        <v>3234781.5474490151</v>
      </c>
      <c r="K145" s="57">
        <f t="shared" si="144"/>
        <v>3214247.211236598</v>
      </c>
      <c r="L145" s="57">
        <f t="shared" si="144"/>
        <v>2845767.938880682</v>
      </c>
      <c r="M145" s="57">
        <f t="shared" si="144"/>
        <v>2839420.8224975383</v>
      </c>
      <c r="N145" s="57">
        <f t="shared" si="144"/>
        <v>2840283.8559541558</v>
      </c>
      <c r="O145" s="103">
        <f t="shared" si="129"/>
        <v>42048268.278186336</v>
      </c>
      <c r="P145" s="57">
        <f>SUM(P141,P144)</f>
        <v>3913169.7584838434</v>
      </c>
      <c r="Q145" s="57">
        <f t="shared" ref="Q145:AA145" si="145">SUM(Q141,Q144)</f>
        <v>4096478.9667757899</v>
      </c>
      <c r="R145" s="57">
        <f t="shared" si="145"/>
        <v>6277091.7201372562</v>
      </c>
      <c r="S145" s="57">
        <f t="shared" si="145"/>
        <v>6151366.2435831837</v>
      </c>
      <c r="T145" s="57">
        <f t="shared" si="145"/>
        <v>6337346.2512412649</v>
      </c>
      <c r="U145" s="57">
        <f t="shared" si="145"/>
        <v>7344333.3869498009</v>
      </c>
      <c r="V145" s="57">
        <f t="shared" si="145"/>
        <v>7458865.940303606</v>
      </c>
      <c r="W145" s="57">
        <f t="shared" si="145"/>
        <v>7828304.6693230495</v>
      </c>
      <c r="X145" s="57">
        <f t="shared" si="145"/>
        <v>8207759.5861007627</v>
      </c>
      <c r="Y145" s="57">
        <f t="shared" si="145"/>
        <v>8352342.0218570242</v>
      </c>
      <c r="Z145" s="57">
        <f t="shared" si="145"/>
        <v>8752164.6445111688</v>
      </c>
      <c r="AA145" s="57">
        <f t="shared" si="145"/>
        <v>9162341.476516312</v>
      </c>
      <c r="AB145" s="103">
        <f t="shared" si="131"/>
        <v>83881564.665783063</v>
      </c>
    </row>
    <row r="146" spans="1:67" outlineLevel="1" x14ac:dyDescent="0.35">
      <c r="A146" s="56" t="s">
        <v>199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104"/>
      <c r="P146" s="73"/>
      <c r="Q146" s="73"/>
      <c r="R146" s="73"/>
      <c r="S146" s="73"/>
      <c r="AB146" s="104"/>
    </row>
    <row r="147" spans="1:67" outlineLevel="1" x14ac:dyDescent="0.35">
      <c r="A147" t="s">
        <v>206</v>
      </c>
      <c r="C147" s="55">
        <f>(C105+C112)*C78/$B$75</f>
        <v>461650</v>
      </c>
      <c r="D147" s="55">
        <f t="shared" ref="D147:N147" si="146">(D105+D112)*D78/$B$75</f>
        <v>1492406</v>
      </c>
      <c r="E147" s="55">
        <f t="shared" si="146"/>
        <v>1906240.4749999999</v>
      </c>
      <c r="F147" s="55">
        <f t="shared" si="146"/>
        <v>1948038.8709999998</v>
      </c>
      <c r="G147" s="55">
        <f t="shared" si="146"/>
        <v>2424082.2538625002</v>
      </c>
      <c r="H147" s="55">
        <f t="shared" si="146"/>
        <v>2449449.4823676255</v>
      </c>
      <c r="I147" s="55">
        <f t="shared" si="146"/>
        <v>2475092.9112771312</v>
      </c>
      <c r="J147" s="55">
        <f t="shared" si="146"/>
        <v>2947292.0934719923</v>
      </c>
      <c r="K147" s="55">
        <f t="shared" si="146"/>
        <v>2977960.3654296095</v>
      </c>
      <c r="L147" s="55">
        <f t="shared" si="146"/>
        <v>3008959.2271272615</v>
      </c>
      <c r="M147" s="55">
        <f t="shared" si="146"/>
        <v>3040292.4626027565</v>
      </c>
      <c r="N147" s="55">
        <f t="shared" si="146"/>
        <v>3071963.9032970914</v>
      </c>
      <c r="O147" s="104">
        <f>SUM(C147:N147)</f>
        <v>28203428.045435969</v>
      </c>
      <c r="P147" s="73">
        <f>(P105+P112)*P78/$B$75</f>
        <v>4358582.6353241457</v>
      </c>
      <c r="Q147" s="73">
        <f t="shared" ref="Q147:AA147" si="147">(Q105+Q112)*Q78/$B$75</f>
        <v>4404280.0842653327</v>
      </c>
      <c r="R147" s="73">
        <f t="shared" si="147"/>
        <v>4450476.7401476931</v>
      </c>
      <c r="S147" s="73">
        <f t="shared" si="147"/>
        <v>4497178.4396896688</v>
      </c>
      <c r="T147" s="73">
        <f t="shared" si="147"/>
        <v>4544391.0948698763</v>
      </c>
      <c r="U147" s="73">
        <f t="shared" si="147"/>
        <v>5256288.4586642347</v>
      </c>
      <c r="V147" s="73">
        <f t="shared" si="147"/>
        <v>5311532.8055686299</v>
      </c>
      <c r="W147" s="73">
        <f t="shared" si="147"/>
        <v>5367383.2251884239</v>
      </c>
      <c r="X147" s="73">
        <f t="shared" si="147"/>
        <v>5423846.8508356996</v>
      </c>
      <c r="Y147" s="73">
        <f t="shared" si="147"/>
        <v>5480930.9086073544</v>
      </c>
      <c r="Z147" s="73">
        <f t="shared" si="147"/>
        <v>5538642.7187419944</v>
      </c>
      <c r="AA147" s="73">
        <f t="shared" si="147"/>
        <v>5596989.6969989501</v>
      </c>
      <c r="AB147" s="104">
        <f>SUM(P147:AA147)</f>
        <v>60230523.658902004</v>
      </c>
    </row>
    <row r="148" spans="1:67" outlineLevel="1" x14ac:dyDescent="0.35">
      <c r="A148" t="s">
        <v>207</v>
      </c>
      <c r="C148" s="55">
        <f t="shared" ref="C148:N148" si="148">C239</f>
        <v>1500000</v>
      </c>
      <c r="D148" s="55">
        <f t="shared" si="148"/>
        <v>1500000</v>
      </c>
      <c r="E148" s="55">
        <f t="shared" si="148"/>
        <v>1500000</v>
      </c>
      <c r="F148" s="55">
        <f t="shared" si="148"/>
        <v>1500000</v>
      </c>
      <c r="G148" s="55">
        <f t="shared" si="148"/>
        <v>1500000</v>
      </c>
      <c r="H148" s="55">
        <f t="shared" si="148"/>
        <v>1500000</v>
      </c>
      <c r="I148" s="55">
        <f t="shared" si="148"/>
        <v>1500000</v>
      </c>
      <c r="J148" s="55">
        <f t="shared" si="148"/>
        <v>1500000</v>
      </c>
      <c r="K148" s="55">
        <f t="shared" si="148"/>
        <v>1500000</v>
      </c>
      <c r="L148" s="55">
        <f t="shared" si="148"/>
        <v>1500000</v>
      </c>
      <c r="M148" s="55">
        <f t="shared" si="148"/>
        <v>1500000</v>
      </c>
      <c r="N148" s="55">
        <f t="shared" si="148"/>
        <v>1500000</v>
      </c>
      <c r="O148" s="104">
        <f>SUM(C148:N148)</f>
        <v>18000000</v>
      </c>
      <c r="P148" s="55">
        <f>P239</f>
        <v>1500000</v>
      </c>
      <c r="Q148" s="55">
        <f t="shared" ref="Q148:AA148" si="149">Q239</f>
        <v>1500000</v>
      </c>
      <c r="R148" s="55">
        <f t="shared" si="149"/>
        <v>3500000</v>
      </c>
      <c r="S148" s="55">
        <f t="shared" si="149"/>
        <v>3500000</v>
      </c>
      <c r="T148" s="55">
        <f t="shared" si="149"/>
        <v>3500000</v>
      </c>
      <c r="U148" s="55">
        <f t="shared" si="149"/>
        <v>3500000</v>
      </c>
      <c r="V148" s="55">
        <f t="shared" si="149"/>
        <v>3500000</v>
      </c>
      <c r="W148" s="55">
        <f t="shared" si="149"/>
        <v>3500000</v>
      </c>
      <c r="X148" s="55">
        <f t="shared" si="149"/>
        <v>3500000</v>
      </c>
      <c r="Y148" s="55">
        <f t="shared" si="149"/>
        <v>3500000</v>
      </c>
      <c r="Z148" s="55">
        <f t="shared" si="149"/>
        <v>3500000</v>
      </c>
      <c r="AA148" s="55">
        <f t="shared" si="149"/>
        <v>3500000</v>
      </c>
      <c r="AB148" s="104">
        <f>SUM(P148:AA148)</f>
        <v>38000000</v>
      </c>
    </row>
    <row r="149" spans="1:67" outlineLevel="1" x14ac:dyDescent="0.35">
      <c r="A149" s="56" t="s">
        <v>211</v>
      </c>
      <c r="C149" s="57">
        <f t="shared" ref="C149:N149" si="150">SUM(C147:C148)</f>
        <v>1961650</v>
      </c>
      <c r="D149" s="57">
        <f t="shared" si="150"/>
        <v>2992406</v>
      </c>
      <c r="E149" s="57">
        <f t="shared" si="150"/>
        <v>3406240.4749999996</v>
      </c>
      <c r="F149" s="57">
        <f t="shared" si="150"/>
        <v>3448038.8709999998</v>
      </c>
      <c r="G149" s="57">
        <f t="shared" si="150"/>
        <v>3924082.2538625002</v>
      </c>
      <c r="H149" s="57">
        <f t="shared" si="150"/>
        <v>3949449.4823676255</v>
      </c>
      <c r="I149" s="57">
        <f t="shared" si="150"/>
        <v>3975092.9112771312</v>
      </c>
      <c r="J149" s="57">
        <f t="shared" si="150"/>
        <v>4447292.0934719928</v>
      </c>
      <c r="K149" s="57">
        <f t="shared" si="150"/>
        <v>4477960.36542961</v>
      </c>
      <c r="L149" s="57">
        <f t="shared" si="150"/>
        <v>4508959.2271272615</v>
      </c>
      <c r="M149" s="57">
        <f t="shared" si="150"/>
        <v>4540292.4626027569</v>
      </c>
      <c r="N149" s="57">
        <f t="shared" si="150"/>
        <v>4571963.9032970909</v>
      </c>
      <c r="O149" s="103">
        <f>SUM(C149:N149)</f>
        <v>46203428.045435965</v>
      </c>
      <c r="P149" s="57">
        <f>SUM(P147:P148)</f>
        <v>5858582.6353241457</v>
      </c>
      <c r="Q149" s="57">
        <f t="shared" ref="Q149:AA149" si="151">SUM(Q147:Q148)</f>
        <v>5904280.0842653327</v>
      </c>
      <c r="R149" s="57">
        <f t="shared" si="151"/>
        <v>7950476.7401476931</v>
      </c>
      <c r="S149" s="57">
        <f t="shared" si="151"/>
        <v>7997178.4396896688</v>
      </c>
      <c r="T149" s="57">
        <f t="shared" si="151"/>
        <v>8044391.0948698763</v>
      </c>
      <c r="U149" s="57">
        <f t="shared" si="151"/>
        <v>8756288.4586642347</v>
      </c>
      <c r="V149" s="57">
        <f t="shared" si="151"/>
        <v>8811532.8055686299</v>
      </c>
      <c r="W149" s="57">
        <f t="shared" si="151"/>
        <v>8867383.2251884229</v>
      </c>
      <c r="X149" s="57">
        <f t="shared" si="151"/>
        <v>8923846.8508356996</v>
      </c>
      <c r="Y149" s="57">
        <f t="shared" si="151"/>
        <v>8980930.9086073544</v>
      </c>
      <c r="Z149" s="57">
        <f t="shared" si="151"/>
        <v>9038642.7187419944</v>
      </c>
      <c r="AA149" s="57">
        <f t="shared" si="151"/>
        <v>9096989.6969989501</v>
      </c>
      <c r="AB149" s="103">
        <f>SUM(P149:AA149)</f>
        <v>98230523.658902004</v>
      </c>
    </row>
    <row r="150" spans="1:67" outlineLevel="1" x14ac:dyDescent="0.35">
      <c r="A150" s="56" t="s">
        <v>208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104"/>
      <c r="P150" s="73"/>
      <c r="Q150" s="73"/>
      <c r="R150" s="73"/>
      <c r="S150" s="73"/>
      <c r="AB150" s="104"/>
    </row>
    <row r="151" spans="1:67" outlineLevel="1" x14ac:dyDescent="0.35">
      <c r="A151" t="s">
        <v>209</v>
      </c>
      <c r="C151" s="55">
        <f>C92+B151</f>
        <v>3000000</v>
      </c>
      <c r="D151" s="55">
        <f>D92+C151</f>
        <v>3000000</v>
      </c>
      <c r="E151" s="55">
        <f t="shared" ref="E151:N151" si="152">E92+D151</f>
        <v>3000000</v>
      </c>
      <c r="F151" s="55">
        <f t="shared" si="152"/>
        <v>3000000</v>
      </c>
      <c r="G151" s="55">
        <f t="shared" si="152"/>
        <v>3000000</v>
      </c>
      <c r="H151" s="55">
        <f t="shared" si="152"/>
        <v>3000000</v>
      </c>
      <c r="I151" s="55">
        <f t="shared" si="152"/>
        <v>3000000</v>
      </c>
      <c r="J151" s="55">
        <f t="shared" si="152"/>
        <v>3000000</v>
      </c>
      <c r="K151" s="55">
        <f t="shared" si="152"/>
        <v>3000000</v>
      </c>
      <c r="L151" s="55">
        <f t="shared" si="152"/>
        <v>3000000</v>
      </c>
      <c r="M151" s="55">
        <f t="shared" si="152"/>
        <v>3000000</v>
      </c>
      <c r="N151" s="55">
        <f t="shared" si="152"/>
        <v>3000000</v>
      </c>
      <c r="O151" s="104">
        <f>SUM(C151:N151)</f>
        <v>36000000</v>
      </c>
      <c r="P151" s="42">
        <f>P92+N151</f>
        <v>3000000</v>
      </c>
      <c r="Q151" s="42">
        <f t="shared" ref="Q151:AA151" si="153">Q92+P151</f>
        <v>3000000</v>
      </c>
      <c r="R151" s="42">
        <f t="shared" si="153"/>
        <v>3000000</v>
      </c>
      <c r="S151" s="42">
        <f t="shared" si="153"/>
        <v>3000000</v>
      </c>
      <c r="T151" s="42">
        <f t="shared" si="153"/>
        <v>3000000</v>
      </c>
      <c r="U151" s="42">
        <f t="shared" si="153"/>
        <v>3000000</v>
      </c>
      <c r="V151" s="42">
        <f t="shared" si="153"/>
        <v>3000000</v>
      </c>
      <c r="W151" s="42">
        <f t="shared" si="153"/>
        <v>3000000</v>
      </c>
      <c r="X151" s="42">
        <f t="shared" si="153"/>
        <v>3000000</v>
      </c>
      <c r="Y151" s="42">
        <f t="shared" si="153"/>
        <v>3000000</v>
      </c>
      <c r="Z151" s="42">
        <f t="shared" si="153"/>
        <v>3000000</v>
      </c>
      <c r="AA151" s="42">
        <f t="shared" si="153"/>
        <v>3000000</v>
      </c>
      <c r="AB151" s="104">
        <f>SUM(P151:AA151)</f>
        <v>36000000</v>
      </c>
    </row>
    <row r="152" spans="1:67" outlineLevel="1" x14ac:dyDescent="0.35">
      <c r="A152" t="s">
        <v>210</v>
      </c>
      <c r="C152" s="55">
        <f t="shared" ref="C152:N152" si="154">(B152+C131)-C134</f>
        <v>-1123325</v>
      </c>
      <c r="D152" s="55">
        <f t="shared" si="154"/>
        <v>-1477578</v>
      </c>
      <c r="E152" s="55">
        <f t="shared" si="154"/>
        <v>-1826870.69</v>
      </c>
      <c r="F152" s="55">
        <f t="shared" si="154"/>
        <v>-2621060.9783999999</v>
      </c>
      <c r="G152" s="55">
        <f t="shared" si="154"/>
        <v>-2917023.1383449999</v>
      </c>
      <c r="H152" s="55">
        <f t="shared" si="154"/>
        <v>-3462679.3563133832</v>
      </c>
      <c r="I152" s="55">
        <f t="shared" si="154"/>
        <v>-4154655.9282805291</v>
      </c>
      <c r="J152" s="55">
        <f t="shared" si="154"/>
        <v>-4212510.5460229767</v>
      </c>
      <c r="K152" s="55">
        <f t="shared" si="154"/>
        <v>-4263713.1541930111</v>
      </c>
      <c r="L152" s="55">
        <f t="shared" si="154"/>
        <v>-4663191.2882465785</v>
      </c>
      <c r="M152" s="55">
        <f t="shared" si="154"/>
        <v>-4700871.6401052177</v>
      </c>
      <c r="N152" s="55">
        <f t="shared" si="154"/>
        <v>-4731680.0473429356</v>
      </c>
      <c r="O152" s="104">
        <f>SUM(C152:N152)</f>
        <v>-40155159.767249629</v>
      </c>
      <c r="P152" s="55">
        <f>(N152+P131)-P134</f>
        <v>-4945412.8768403018</v>
      </c>
      <c r="Q152" s="55">
        <f t="shared" ref="Q152:AA152" si="155">(P152+Q131)-Q134</f>
        <v>-4807801.1174895419</v>
      </c>
      <c r="R152" s="55">
        <f t="shared" si="155"/>
        <v>-4673385.020010436</v>
      </c>
      <c r="S152" s="55">
        <f t="shared" si="155"/>
        <v>-4845812.1961064842</v>
      </c>
      <c r="T152" s="55">
        <f t="shared" si="155"/>
        <v>-4707044.8436286105</v>
      </c>
      <c r="U152" s="55">
        <f t="shared" si="155"/>
        <v>-4411955.0717144329</v>
      </c>
      <c r="V152" s="55">
        <f t="shared" si="155"/>
        <v>-4352666.865265023</v>
      </c>
      <c r="W152" s="55">
        <f t="shared" si="155"/>
        <v>-4039078.5558653744</v>
      </c>
      <c r="X152" s="55">
        <f t="shared" si="155"/>
        <v>-3716087.2647349355</v>
      </c>
      <c r="Y152" s="55">
        <f t="shared" si="155"/>
        <v>-3628588.8867503298</v>
      </c>
      <c r="Z152" s="55">
        <f t="shared" si="155"/>
        <v>-3286478.0742308246</v>
      </c>
      <c r="AA152" s="55">
        <f t="shared" si="155"/>
        <v>-2934648.2204826362</v>
      </c>
      <c r="AB152" s="104">
        <f>SUM(P152:AA152)</f>
        <v>-50348958.993118942</v>
      </c>
    </row>
    <row r="153" spans="1:67" outlineLevel="1" x14ac:dyDescent="0.35">
      <c r="A153" s="56" t="s">
        <v>212</v>
      </c>
      <c r="C153" s="57">
        <f t="shared" ref="C153:N153" si="156">SUM(C151:C152)</f>
        <v>1876675</v>
      </c>
      <c r="D153" s="57">
        <f t="shared" si="156"/>
        <v>1522422</v>
      </c>
      <c r="E153" s="57">
        <f t="shared" si="156"/>
        <v>1173129.31</v>
      </c>
      <c r="F153" s="57">
        <f t="shared" si="156"/>
        <v>378939.02160000009</v>
      </c>
      <c r="G153" s="57">
        <f t="shared" si="156"/>
        <v>82976.861655000132</v>
      </c>
      <c r="H153" s="57">
        <f t="shared" si="156"/>
        <v>-462679.35631338321</v>
      </c>
      <c r="I153" s="57">
        <f t="shared" si="156"/>
        <v>-1154655.9282805291</v>
      </c>
      <c r="J153" s="57">
        <f t="shared" si="156"/>
        <v>-1212510.5460229767</v>
      </c>
      <c r="K153" s="57">
        <f t="shared" si="156"/>
        <v>-1263713.1541930111</v>
      </c>
      <c r="L153" s="57">
        <f t="shared" si="156"/>
        <v>-1663191.2882465785</v>
      </c>
      <c r="M153" s="57">
        <f t="shared" si="156"/>
        <v>-1700871.6401052177</v>
      </c>
      <c r="N153" s="57">
        <f t="shared" si="156"/>
        <v>-1731680.0473429356</v>
      </c>
      <c r="O153" s="103">
        <f>SUM(C153:N153)</f>
        <v>-4155159.7672496303</v>
      </c>
      <c r="P153" s="57">
        <f>SUM(P151:P152)</f>
        <v>-1945412.8768403018</v>
      </c>
      <c r="Q153" s="57">
        <f t="shared" ref="Q153:AA153" si="157">SUM(Q151:Q152)</f>
        <v>-1807801.1174895419</v>
      </c>
      <c r="R153" s="57">
        <f t="shared" si="157"/>
        <v>-1673385.020010436</v>
      </c>
      <c r="S153" s="57">
        <f t="shared" si="157"/>
        <v>-1845812.1961064842</v>
      </c>
      <c r="T153" s="57">
        <f t="shared" si="157"/>
        <v>-1707044.8436286105</v>
      </c>
      <c r="U153" s="57">
        <f t="shared" si="157"/>
        <v>-1411955.0717144329</v>
      </c>
      <c r="V153" s="57">
        <f t="shared" si="157"/>
        <v>-1352666.865265023</v>
      </c>
      <c r="W153" s="57">
        <f t="shared" si="157"/>
        <v>-1039078.5558653744</v>
      </c>
      <c r="X153" s="57">
        <f t="shared" si="157"/>
        <v>-716087.26473493548</v>
      </c>
      <c r="Y153" s="57">
        <f t="shared" si="157"/>
        <v>-628588.88675032975</v>
      </c>
      <c r="Z153" s="57">
        <f t="shared" si="157"/>
        <v>-286478.0742308246</v>
      </c>
      <c r="AA153" s="57">
        <f t="shared" si="157"/>
        <v>65351.779517363757</v>
      </c>
      <c r="AB153" s="103">
        <f>SUM(P153:AA153)</f>
        <v>-14348958.993118931</v>
      </c>
    </row>
    <row r="154" spans="1:67" outlineLevel="1" x14ac:dyDescent="0.35">
      <c r="A154" s="56" t="s">
        <v>213</v>
      </c>
      <c r="C154" s="57">
        <f t="shared" ref="C154:N154" si="158">SUM(C149,C153)</f>
        <v>3838325</v>
      </c>
      <c r="D154" s="57">
        <f t="shared" si="158"/>
        <v>4514828</v>
      </c>
      <c r="E154" s="57">
        <f t="shared" si="158"/>
        <v>4579369.7850000001</v>
      </c>
      <c r="F154" s="57">
        <f t="shared" si="158"/>
        <v>3826977.8925999999</v>
      </c>
      <c r="G154" s="57">
        <f t="shared" si="158"/>
        <v>4007059.1155175003</v>
      </c>
      <c r="H154" s="57">
        <f t="shared" si="158"/>
        <v>3486770.1260542423</v>
      </c>
      <c r="I154" s="57">
        <f t="shared" si="158"/>
        <v>2820436.9829966021</v>
      </c>
      <c r="J154" s="57">
        <f t="shared" si="158"/>
        <v>3234781.547449016</v>
      </c>
      <c r="K154" s="57">
        <f t="shared" si="158"/>
        <v>3214247.2112365989</v>
      </c>
      <c r="L154" s="57">
        <f t="shared" si="158"/>
        <v>2845767.9388806829</v>
      </c>
      <c r="M154" s="57">
        <f t="shared" si="158"/>
        <v>2839420.8224975392</v>
      </c>
      <c r="N154" s="57">
        <f t="shared" si="158"/>
        <v>2840283.8559541553</v>
      </c>
      <c r="O154" s="103">
        <f>SUM(C154:N154)</f>
        <v>42048268.278186336</v>
      </c>
      <c r="P154" s="57">
        <f>SUM(P149,P153)</f>
        <v>3913169.7584838439</v>
      </c>
      <c r="Q154" s="57">
        <f t="shared" ref="Q154:AA154" si="159">SUM(Q149,Q153)</f>
        <v>4096478.9667757908</v>
      </c>
      <c r="R154" s="57">
        <f t="shared" si="159"/>
        <v>6277091.7201372571</v>
      </c>
      <c r="S154" s="57">
        <f t="shared" si="159"/>
        <v>6151366.2435831847</v>
      </c>
      <c r="T154" s="57">
        <f t="shared" si="159"/>
        <v>6337346.2512412658</v>
      </c>
      <c r="U154" s="57">
        <f t="shared" si="159"/>
        <v>7344333.3869498018</v>
      </c>
      <c r="V154" s="57">
        <f t="shared" si="159"/>
        <v>7458865.9403036069</v>
      </c>
      <c r="W154" s="57">
        <f t="shared" si="159"/>
        <v>7828304.6693230486</v>
      </c>
      <c r="X154" s="57">
        <f t="shared" si="159"/>
        <v>8207759.5861007646</v>
      </c>
      <c r="Y154" s="57">
        <f t="shared" si="159"/>
        <v>8352342.0218570251</v>
      </c>
      <c r="Z154" s="57">
        <f t="shared" si="159"/>
        <v>8752164.6445111707</v>
      </c>
      <c r="AA154" s="57">
        <f t="shared" si="159"/>
        <v>9162341.4765163139</v>
      </c>
      <c r="AB154" s="103">
        <f>SUM(P154:AA154)</f>
        <v>83881564.665783077</v>
      </c>
    </row>
    <row r="155" spans="1:67" outlineLevel="1" x14ac:dyDescent="0.35">
      <c r="A155" s="56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Q155" s="73"/>
      <c r="R155" s="73"/>
      <c r="S155" s="73"/>
    </row>
    <row r="156" spans="1:67" outlineLevel="1" x14ac:dyDescent="0.35">
      <c r="A156" s="56" t="s">
        <v>214</v>
      </c>
      <c r="C156" s="57">
        <f>C145-C154</f>
        <v>0</v>
      </c>
      <c r="D156" s="57">
        <f t="shared" ref="D156:P156" si="160">D145-D154</f>
        <v>0</v>
      </c>
      <c r="E156" s="57">
        <f t="shared" si="160"/>
        <v>0</v>
      </c>
      <c r="F156" s="57">
        <f t="shared" si="160"/>
        <v>0</v>
      </c>
      <c r="G156" s="57">
        <f t="shared" si="160"/>
        <v>0</v>
      </c>
      <c r="H156" s="57">
        <f t="shared" si="160"/>
        <v>0</v>
      </c>
      <c r="I156" s="57">
        <f t="shared" si="160"/>
        <v>0</v>
      </c>
      <c r="J156" s="57">
        <f t="shared" si="160"/>
        <v>0</v>
      </c>
      <c r="K156" s="57">
        <f t="shared" si="160"/>
        <v>0</v>
      </c>
      <c r="L156" s="57">
        <f t="shared" si="160"/>
        <v>0</v>
      </c>
      <c r="M156" s="57">
        <f t="shared" si="160"/>
        <v>0</v>
      </c>
      <c r="N156" s="57">
        <f t="shared" si="160"/>
        <v>0</v>
      </c>
      <c r="O156" s="103">
        <f t="shared" si="160"/>
        <v>0</v>
      </c>
      <c r="P156" s="57">
        <f t="shared" si="160"/>
        <v>0</v>
      </c>
      <c r="Q156" s="57">
        <f t="shared" ref="Q156:AB156" si="161">Q145-Q154</f>
        <v>0</v>
      </c>
      <c r="R156" s="57">
        <f>R145-R154</f>
        <v>0</v>
      </c>
      <c r="S156" s="57">
        <f t="shared" si="161"/>
        <v>0</v>
      </c>
      <c r="T156" s="57">
        <f t="shared" si="161"/>
        <v>0</v>
      </c>
      <c r="U156" s="57">
        <f t="shared" si="161"/>
        <v>0</v>
      </c>
      <c r="V156" s="57">
        <f t="shared" si="161"/>
        <v>0</v>
      </c>
      <c r="W156" s="57">
        <f t="shared" si="161"/>
        <v>0</v>
      </c>
      <c r="X156" s="57">
        <f t="shared" si="161"/>
        <v>0</v>
      </c>
      <c r="Y156" s="57">
        <f t="shared" si="161"/>
        <v>0</v>
      </c>
      <c r="Z156" s="57">
        <f t="shared" si="161"/>
        <v>0</v>
      </c>
      <c r="AA156" s="57">
        <f t="shared" si="161"/>
        <v>0</v>
      </c>
      <c r="AB156" s="103">
        <f t="shared" si="161"/>
        <v>0</v>
      </c>
    </row>
    <row r="157" spans="1:67" outlineLevel="1" x14ac:dyDescent="0.35">
      <c r="A157" s="56"/>
      <c r="C157" s="57"/>
    </row>
    <row r="158" spans="1:67" s="70" customFormat="1" x14ac:dyDescent="0.35">
      <c r="A158" s="70" t="s">
        <v>171</v>
      </c>
      <c r="C158" s="69"/>
      <c r="D158" s="69"/>
      <c r="E158" s="69"/>
      <c r="F158" s="69"/>
      <c r="G158" s="69"/>
      <c r="O158" s="98"/>
      <c r="AB158" s="98"/>
      <c r="AO158" s="98"/>
      <c r="BB158" s="98"/>
      <c r="BO158" s="98"/>
    </row>
    <row r="159" spans="1:67" outlineLevel="1" x14ac:dyDescent="0.35">
      <c r="A159" s="56" t="s">
        <v>215</v>
      </c>
    </row>
    <row r="160" spans="1:67" outlineLevel="1" x14ac:dyDescent="0.35">
      <c r="A160" t="s">
        <v>188</v>
      </c>
      <c r="C160" s="58">
        <f t="shared" ref="C160:N160" si="162">C131</f>
        <v>-1123325</v>
      </c>
      <c r="D160" s="58">
        <f t="shared" si="162"/>
        <v>-354253</v>
      </c>
      <c r="E160" s="58">
        <f t="shared" si="162"/>
        <v>-349292.69</v>
      </c>
      <c r="F160" s="58">
        <f t="shared" si="162"/>
        <v>-794190.28839999996</v>
      </c>
      <c r="G160" s="58">
        <f t="shared" si="162"/>
        <v>-295962.15994500014</v>
      </c>
      <c r="H160" s="58">
        <f t="shared" si="162"/>
        <v>-545656.21796838334</v>
      </c>
      <c r="I160" s="58">
        <f t="shared" si="162"/>
        <v>-691976.57196714589</v>
      </c>
      <c r="J160" s="58">
        <f t="shared" si="162"/>
        <v>-57854.617742447961</v>
      </c>
      <c r="K160" s="58">
        <f t="shared" si="162"/>
        <v>-51202.608170034677</v>
      </c>
      <c r="L160" s="58">
        <f t="shared" si="162"/>
        <v>-399478.13405356725</v>
      </c>
      <c r="M160" s="58">
        <f t="shared" si="162"/>
        <v>-37680.351858638773</v>
      </c>
      <c r="N160" s="58">
        <f t="shared" si="162"/>
        <v>-30808.407237717845</v>
      </c>
      <c r="O160" s="111">
        <f>SUM(C160:N160)</f>
        <v>-4731680.0473429356</v>
      </c>
      <c r="P160" s="58">
        <f>P131</f>
        <v>-213732.82949736642</v>
      </c>
      <c r="Q160" s="58">
        <f t="shared" ref="Q160:AA160" si="163">Q131</f>
        <v>137611.7593507595</v>
      </c>
      <c r="R160" s="58">
        <f t="shared" si="163"/>
        <v>134416.09747910619</v>
      </c>
      <c r="S160" s="58">
        <f t="shared" si="163"/>
        <v>-172427.17609604829</v>
      </c>
      <c r="T160" s="58">
        <f t="shared" si="163"/>
        <v>138767.35247787338</v>
      </c>
      <c r="U160" s="58">
        <f t="shared" si="163"/>
        <v>295089.77191417787</v>
      </c>
      <c r="V160" s="58">
        <f t="shared" si="163"/>
        <v>59288.206449409859</v>
      </c>
      <c r="W160" s="58">
        <f t="shared" si="163"/>
        <v>313588.3093996488</v>
      </c>
      <c r="X160" s="58">
        <f t="shared" si="163"/>
        <v>322991.2911304388</v>
      </c>
      <c r="Y160" s="58">
        <f t="shared" si="163"/>
        <v>87498.377984605948</v>
      </c>
      <c r="Z160" s="58">
        <f t="shared" si="163"/>
        <v>342110.81251950527</v>
      </c>
      <c r="AA160" s="58">
        <f t="shared" si="163"/>
        <v>351829.85374818824</v>
      </c>
      <c r="AB160" s="111">
        <f>SUM(P160:AA160)</f>
        <v>1797031.8268602993</v>
      </c>
    </row>
    <row r="161" spans="1:28" outlineLevel="1" x14ac:dyDescent="0.35">
      <c r="A161" t="s">
        <v>125</v>
      </c>
      <c r="C161" s="58">
        <f t="shared" ref="C161:N161" si="164">C126</f>
        <v>17500</v>
      </c>
      <c r="D161" s="58">
        <f t="shared" si="164"/>
        <v>17500</v>
      </c>
      <c r="E161" s="58">
        <f t="shared" si="164"/>
        <v>17500</v>
      </c>
      <c r="F161" s="58">
        <f t="shared" si="164"/>
        <v>17500</v>
      </c>
      <c r="G161" s="58">
        <f t="shared" si="164"/>
        <v>17500</v>
      </c>
      <c r="H161" s="58">
        <f t="shared" si="164"/>
        <v>20833.333333333336</v>
      </c>
      <c r="I161" s="58">
        <f t="shared" si="164"/>
        <v>20833.333333333336</v>
      </c>
      <c r="J161" s="58">
        <f t="shared" si="164"/>
        <v>20833.333333333336</v>
      </c>
      <c r="K161" s="58">
        <f t="shared" si="164"/>
        <v>20833.333333333336</v>
      </c>
      <c r="L161" s="58">
        <f t="shared" si="164"/>
        <v>20833.333333333336</v>
      </c>
      <c r="M161" s="58">
        <f t="shared" si="164"/>
        <v>20833.333333333336</v>
      </c>
      <c r="N161" s="58">
        <f t="shared" si="164"/>
        <v>20833.333333333336</v>
      </c>
      <c r="O161" s="111">
        <f>SUM(C161:N161)</f>
        <v>233333.3333333334</v>
      </c>
      <c r="P161" s="58">
        <f>P126</f>
        <v>20833.333333333336</v>
      </c>
      <c r="Q161" s="58">
        <f t="shared" ref="Q161:AA161" si="165">Q126</f>
        <v>20833.333333333336</v>
      </c>
      <c r="R161" s="58">
        <f t="shared" si="165"/>
        <v>20833.333333333336</v>
      </c>
      <c r="S161" s="58">
        <f t="shared" si="165"/>
        <v>20833.333333333336</v>
      </c>
      <c r="T161" s="58">
        <f t="shared" si="165"/>
        <v>20833.333333333336</v>
      </c>
      <c r="U161" s="58">
        <f t="shared" si="165"/>
        <v>20833.333333333336</v>
      </c>
      <c r="V161" s="58">
        <f t="shared" si="165"/>
        <v>20833.333333333336</v>
      </c>
      <c r="W161" s="58">
        <f t="shared" si="165"/>
        <v>20833.333333333336</v>
      </c>
      <c r="X161" s="58">
        <f t="shared" si="165"/>
        <v>20833.333333333336</v>
      </c>
      <c r="Y161" s="58">
        <f t="shared" si="165"/>
        <v>20833.333333333336</v>
      </c>
      <c r="Z161" s="58">
        <f t="shared" si="165"/>
        <v>20833.333333333336</v>
      </c>
      <c r="AA161" s="58">
        <f t="shared" si="165"/>
        <v>20833.333333333336</v>
      </c>
      <c r="AB161" s="111">
        <f>SUM(P161:AA161)</f>
        <v>250000.00000000009</v>
      </c>
    </row>
    <row r="162" spans="1:28" outlineLevel="1" x14ac:dyDescent="0.35">
      <c r="A162" t="s">
        <v>218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111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111"/>
    </row>
    <row r="163" spans="1:28" outlineLevel="1" x14ac:dyDescent="0.35">
      <c r="A163" t="s">
        <v>216</v>
      </c>
      <c r="C163" s="58">
        <f t="shared" ref="C163:N163" si="166">C139-B139</f>
        <v>15750</v>
      </c>
      <c r="D163" s="58">
        <f t="shared" si="166"/>
        <v>139575</v>
      </c>
      <c r="E163" s="58">
        <f t="shared" si="166"/>
        <v>3542.25</v>
      </c>
      <c r="F163" s="58">
        <f t="shared" si="166"/>
        <v>3636.9599999999919</v>
      </c>
      <c r="G163" s="58">
        <f t="shared" si="166"/>
        <v>56440.913599999971</v>
      </c>
      <c r="H163" s="58">
        <f t="shared" si="166"/>
        <v>444783.33055600012</v>
      </c>
      <c r="I163" s="58">
        <f t="shared" si="166"/>
        <v>6968.5087825199589</v>
      </c>
      <c r="J163" s="58">
        <f t="shared" si="166"/>
        <v>236500.81355132116</v>
      </c>
      <c r="K163" s="58">
        <f t="shared" si="166"/>
        <v>9459.6591777300928</v>
      </c>
      <c r="L163" s="58">
        <f t="shared" si="166"/>
        <v>9562.0093977642246</v>
      </c>
      <c r="M163" s="58">
        <f t="shared" si="166"/>
        <v>9665.5381925631082</v>
      </c>
      <c r="N163" s="58">
        <f t="shared" si="166"/>
        <v>9770.2604493275285</v>
      </c>
      <c r="O163" s="111">
        <f>SUM(C163:N163)</f>
        <v>945655.24370722612</v>
      </c>
      <c r="P163" s="58">
        <f>P139-N139</f>
        <v>415861.53527558665</v>
      </c>
      <c r="Q163" s="58">
        <f>Q139-P139</f>
        <v>14300.018358891597</v>
      </c>
      <c r="R163" s="58">
        <f t="shared" ref="R163:AA163" si="167">R139-Q139</f>
        <v>14456.715553862508</v>
      </c>
      <c r="S163" s="58">
        <f t="shared" si="167"/>
        <v>14615.253661009483</v>
      </c>
      <c r="T163" s="58">
        <f t="shared" si="167"/>
        <v>14775.656568260863</v>
      </c>
      <c r="U163" s="58">
        <f t="shared" si="167"/>
        <v>254038.34378480329</v>
      </c>
      <c r="V163" s="58">
        <f t="shared" si="167"/>
        <v>17619.179763187654</v>
      </c>
      <c r="W163" s="58">
        <f t="shared" si="167"/>
        <v>17813.01460270118</v>
      </c>
      <c r="X163" s="58">
        <f t="shared" si="167"/>
        <v>18009.140651447698</v>
      </c>
      <c r="Y163" s="58">
        <f t="shared" si="167"/>
        <v>18207.587878736435</v>
      </c>
      <c r="Z163" s="58">
        <f t="shared" si="167"/>
        <v>18408.386694712797</v>
      </c>
      <c r="AA163" s="58">
        <f t="shared" si="167"/>
        <v>18611.567957593361</v>
      </c>
      <c r="AB163" s="111">
        <f>SUM(P163:AA163)</f>
        <v>836716.40075079352</v>
      </c>
    </row>
    <row r="164" spans="1:28" outlineLevel="1" x14ac:dyDescent="0.35">
      <c r="A164" t="s">
        <v>202</v>
      </c>
      <c r="C164" s="58">
        <f t="shared" ref="C164:N164" si="168">C140-B140</f>
        <v>262500</v>
      </c>
      <c r="D164" s="58">
        <f t="shared" si="168"/>
        <v>773000</v>
      </c>
      <c r="E164" s="58">
        <f t="shared" si="168"/>
        <v>23615</v>
      </c>
      <c r="F164" s="58">
        <f t="shared" si="168"/>
        <v>24246.399999999907</v>
      </c>
      <c r="G164" s="58">
        <f t="shared" si="168"/>
        <v>285045.62250000006</v>
      </c>
      <c r="H164" s="58">
        <f t="shared" si="168"/>
        <v>14360.590324999997</v>
      </c>
      <c r="I164" s="58">
        <f t="shared" si="168"/>
        <v>14517.726630250225</v>
      </c>
      <c r="J164" s="58">
        <f t="shared" si="168"/>
        <v>282710.54293334484</v>
      </c>
      <c r="K164" s="58">
        <f t="shared" si="168"/>
        <v>17517.887366166571</v>
      </c>
      <c r="L164" s="58">
        <f t="shared" si="168"/>
        <v>17707.424810674507</v>
      </c>
      <c r="M164" s="58">
        <f t="shared" si="168"/>
        <v>17899.144801043207</v>
      </c>
      <c r="N164" s="58">
        <f t="shared" si="168"/>
        <v>18093.074906161753</v>
      </c>
      <c r="O164" s="111">
        <f>SUM(C164:N164)</f>
        <v>1751213.4142726411</v>
      </c>
      <c r="P164" s="58">
        <f>P140-N140</f>
        <v>1274379.4279113875</v>
      </c>
      <c r="Q164" s="58">
        <f t="shared" ref="Q164:AA164" si="169">Q140-P140</f>
        <v>31777.818575315177</v>
      </c>
      <c r="R164" s="58">
        <f t="shared" si="169"/>
        <v>32126.034564138856</v>
      </c>
      <c r="S164" s="58">
        <f t="shared" si="169"/>
        <v>32478.341468909755</v>
      </c>
      <c r="T164" s="58">
        <f t="shared" si="169"/>
        <v>32834.79237391334</v>
      </c>
      <c r="U164" s="58">
        <f t="shared" si="169"/>
        <v>564529.65285511827</v>
      </c>
      <c r="V164" s="58">
        <f t="shared" si="169"/>
        <v>39153.732807083521</v>
      </c>
      <c r="W164" s="58">
        <f t="shared" si="169"/>
        <v>39584.476894891821</v>
      </c>
      <c r="X164" s="58">
        <f t="shared" si="169"/>
        <v>40020.312558772508</v>
      </c>
      <c r="Y164" s="58">
        <f t="shared" si="169"/>
        <v>40461.30639719218</v>
      </c>
      <c r="Z164" s="58">
        <f t="shared" si="169"/>
        <v>40907.525988250505</v>
      </c>
      <c r="AA164" s="58">
        <f t="shared" si="169"/>
        <v>41359.039905762766</v>
      </c>
      <c r="AB164" s="111">
        <f>SUM(P164:AA164)</f>
        <v>2209612.4623007365</v>
      </c>
    </row>
    <row r="165" spans="1:28" outlineLevel="1" x14ac:dyDescent="0.35">
      <c r="A165" t="s">
        <v>217</v>
      </c>
      <c r="C165" s="58">
        <f t="shared" ref="C165:N165" si="170">C147-B147</f>
        <v>461650</v>
      </c>
      <c r="D165" s="58">
        <f t="shared" si="170"/>
        <v>1030756</v>
      </c>
      <c r="E165" s="58">
        <f t="shared" si="170"/>
        <v>413834.47499999986</v>
      </c>
      <c r="F165" s="58">
        <f t="shared" si="170"/>
        <v>41798.39599999995</v>
      </c>
      <c r="G165" s="58">
        <f t="shared" si="170"/>
        <v>476043.38286250038</v>
      </c>
      <c r="H165" s="58">
        <f t="shared" si="170"/>
        <v>25367.228505125269</v>
      </c>
      <c r="I165" s="58">
        <f t="shared" si="170"/>
        <v>25643.428909505717</v>
      </c>
      <c r="J165" s="58">
        <f t="shared" si="170"/>
        <v>472199.18219486112</v>
      </c>
      <c r="K165" s="58">
        <f t="shared" si="170"/>
        <v>30668.271957617253</v>
      </c>
      <c r="L165" s="58">
        <f t="shared" si="170"/>
        <v>30998.861697651912</v>
      </c>
      <c r="M165" s="58">
        <f t="shared" si="170"/>
        <v>31333.235475494992</v>
      </c>
      <c r="N165" s="58">
        <f t="shared" si="170"/>
        <v>31671.440694334917</v>
      </c>
      <c r="O165" s="111">
        <f>SUM(C165:N165)</f>
        <v>3071963.9032970914</v>
      </c>
      <c r="P165" s="58">
        <f>P147-N147</f>
        <v>1286618.7320270543</v>
      </c>
      <c r="Q165" s="58">
        <f t="shared" ref="Q165:AA165" si="171">Q147-P147</f>
        <v>45697.448941187002</v>
      </c>
      <c r="R165" s="58">
        <f t="shared" si="171"/>
        <v>46196.655882360414</v>
      </c>
      <c r="S165" s="58">
        <f t="shared" si="171"/>
        <v>46701.699541975744</v>
      </c>
      <c r="T165" s="58">
        <f t="shared" si="171"/>
        <v>47212.655180207454</v>
      </c>
      <c r="U165" s="58">
        <f t="shared" si="171"/>
        <v>711897.36379435845</v>
      </c>
      <c r="V165" s="58">
        <f t="shared" si="171"/>
        <v>55244.346904395148</v>
      </c>
      <c r="W165" s="58">
        <f t="shared" si="171"/>
        <v>55850.419619794004</v>
      </c>
      <c r="X165" s="58">
        <f t="shared" si="171"/>
        <v>56463.625647275709</v>
      </c>
      <c r="Y165" s="58">
        <f t="shared" si="171"/>
        <v>57084.0577716548</v>
      </c>
      <c r="Z165" s="58">
        <f t="shared" si="171"/>
        <v>57711.810134639964</v>
      </c>
      <c r="AA165" s="58">
        <f t="shared" si="171"/>
        <v>58346.978256955743</v>
      </c>
      <c r="AB165" s="111">
        <f>SUM(P165:AA165)</f>
        <v>2525025.7937018587</v>
      </c>
    </row>
    <row r="166" spans="1:28" outlineLevel="1" x14ac:dyDescent="0.35">
      <c r="A166" s="56" t="s">
        <v>219</v>
      </c>
      <c r="C166" s="91">
        <f t="shared" ref="C166:N166" si="172">(C160+C161)-C163-C164+C165</f>
        <v>-922425</v>
      </c>
      <c r="D166" s="91">
        <f t="shared" si="172"/>
        <v>-218572</v>
      </c>
      <c r="E166" s="91">
        <f t="shared" si="172"/>
        <v>54884.534999999858</v>
      </c>
      <c r="F166" s="91">
        <f t="shared" si="172"/>
        <v>-762775.25239999988</v>
      </c>
      <c r="G166" s="91">
        <f t="shared" si="172"/>
        <v>-143905.31318249973</v>
      </c>
      <c r="H166" s="91">
        <f t="shared" si="172"/>
        <v>-958599.57701092481</v>
      </c>
      <c r="I166" s="91">
        <f t="shared" si="172"/>
        <v>-666986.04513707699</v>
      </c>
      <c r="J166" s="91">
        <f t="shared" si="172"/>
        <v>-84033.458698919509</v>
      </c>
      <c r="K166" s="91">
        <f t="shared" si="172"/>
        <v>-26678.549422980752</v>
      </c>
      <c r="L166" s="91">
        <f t="shared" si="172"/>
        <v>-374915.37323102076</v>
      </c>
      <c r="M166" s="91">
        <f t="shared" si="172"/>
        <v>-13078.46604341676</v>
      </c>
      <c r="N166" s="91">
        <f t="shared" si="172"/>
        <v>-6166.9685655388748</v>
      </c>
      <c r="O166" s="107">
        <f>SUM(C166:N166)</f>
        <v>-4123251.4686923786</v>
      </c>
      <c r="P166" s="91">
        <f>(P160+P161)-P163-P164+P165</f>
        <v>-596521.72732395306</v>
      </c>
      <c r="Q166" s="91">
        <f t="shared" ref="Q166:AA166" si="173">(Q160+Q161)-Q163-Q164+Q165</f>
        <v>158064.70469107307</v>
      </c>
      <c r="R166" s="91">
        <f t="shared" si="173"/>
        <v>154863.33657679858</v>
      </c>
      <c r="S166" s="91">
        <f t="shared" si="173"/>
        <v>-151985.73835065844</v>
      </c>
      <c r="T166" s="91">
        <f t="shared" si="173"/>
        <v>159202.89204923998</v>
      </c>
      <c r="U166" s="91">
        <f t="shared" si="173"/>
        <v>209252.47240194806</v>
      </c>
      <c r="V166" s="91">
        <f t="shared" si="173"/>
        <v>78592.974116867175</v>
      </c>
      <c r="W166" s="91">
        <f t="shared" si="173"/>
        <v>332874.57085518312</v>
      </c>
      <c r="X166" s="91">
        <f t="shared" si="173"/>
        <v>342258.79690082761</v>
      </c>
      <c r="Y166" s="91">
        <f t="shared" si="173"/>
        <v>106746.87481366546</v>
      </c>
      <c r="Z166" s="91">
        <f t="shared" si="173"/>
        <v>361340.04330451525</v>
      </c>
      <c r="AA166" s="91">
        <f t="shared" si="173"/>
        <v>371039.55747512117</v>
      </c>
      <c r="AB166" s="107">
        <f>SUM(P166:AA166)</f>
        <v>1525728.7575106281</v>
      </c>
    </row>
    <row r="167" spans="1:28" outlineLevel="1" x14ac:dyDescent="0.35"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111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111"/>
    </row>
    <row r="168" spans="1:28" outlineLevel="1" x14ac:dyDescent="0.35">
      <c r="A168" s="56" t="s">
        <v>220</v>
      </c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111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111"/>
    </row>
    <row r="169" spans="1:28" outlineLevel="1" x14ac:dyDescent="0.35">
      <c r="A169" t="s">
        <v>175</v>
      </c>
      <c r="C169" s="58">
        <f t="shared" ref="C169:N169" si="174">-C192</f>
        <v>-250000</v>
      </c>
      <c r="D169" s="58">
        <f t="shared" si="174"/>
        <v>0</v>
      </c>
      <c r="E169" s="58">
        <f t="shared" si="174"/>
        <v>0</v>
      </c>
      <c r="F169" s="58">
        <f t="shared" si="174"/>
        <v>0</v>
      </c>
      <c r="G169" s="58">
        <f t="shared" si="174"/>
        <v>0</v>
      </c>
      <c r="H169" s="58">
        <f t="shared" si="174"/>
        <v>0</v>
      </c>
      <c r="I169" s="58">
        <f t="shared" si="174"/>
        <v>0</v>
      </c>
      <c r="J169" s="58">
        <f t="shared" si="174"/>
        <v>0</v>
      </c>
      <c r="K169" s="58">
        <f t="shared" si="174"/>
        <v>0</v>
      </c>
      <c r="L169" s="58">
        <f t="shared" si="174"/>
        <v>0</v>
      </c>
      <c r="M169" s="58">
        <f t="shared" si="174"/>
        <v>0</v>
      </c>
      <c r="N169" s="58">
        <f t="shared" si="174"/>
        <v>0</v>
      </c>
      <c r="O169" s="111">
        <f>SUM(C169:N169)</f>
        <v>-250000</v>
      </c>
      <c r="P169" s="58">
        <f>-P192</f>
        <v>0</v>
      </c>
      <c r="Q169" s="58">
        <f t="shared" ref="Q169:AA169" si="175">-Q192</f>
        <v>0</v>
      </c>
      <c r="R169" s="58">
        <f t="shared" si="175"/>
        <v>0</v>
      </c>
      <c r="S169" s="58">
        <f t="shared" si="175"/>
        <v>0</v>
      </c>
      <c r="T169" s="58">
        <f t="shared" si="175"/>
        <v>0</v>
      </c>
      <c r="U169" s="58">
        <f t="shared" si="175"/>
        <v>0</v>
      </c>
      <c r="V169" s="58">
        <f t="shared" si="175"/>
        <v>0</v>
      </c>
      <c r="W169" s="58">
        <f t="shared" si="175"/>
        <v>0</v>
      </c>
      <c r="X169" s="58">
        <f t="shared" si="175"/>
        <v>0</v>
      </c>
      <c r="Y169" s="58">
        <f t="shared" si="175"/>
        <v>0</v>
      </c>
      <c r="Z169" s="58">
        <f t="shared" si="175"/>
        <v>0</v>
      </c>
      <c r="AA169" s="58">
        <f t="shared" si="175"/>
        <v>0</v>
      </c>
      <c r="AB169" s="111">
        <f>SUM(P169:AA169)</f>
        <v>0</v>
      </c>
    </row>
    <row r="170" spans="1:28" outlineLevel="1" x14ac:dyDescent="0.35">
      <c r="A170" t="s">
        <v>176</v>
      </c>
      <c r="C170" s="58">
        <f t="shared" ref="C170:N170" si="176">-C193</f>
        <v>-800000</v>
      </c>
      <c r="D170" s="58">
        <f t="shared" si="176"/>
        <v>0</v>
      </c>
      <c r="E170" s="58">
        <f t="shared" si="176"/>
        <v>0</v>
      </c>
      <c r="F170" s="58">
        <f t="shared" si="176"/>
        <v>0</v>
      </c>
      <c r="G170" s="58">
        <f t="shared" si="176"/>
        <v>0</v>
      </c>
      <c r="H170" s="58">
        <f t="shared" si="176"/>
        <v>-200000</v>
      </c>
      <c r="I170" s="58">
        <f t="shared" si="176"/>
        <v>0</v>
      </c>
      <c r="J170" s="58">
        <f t="shared" si="176"/>
        <v>0</v>
      </c>
      <c r="K170" s="58">
        <f t="shared" si="176"/>
        <v>0</v>
      </c>
      <c r="L170" s="58">
        <f t="shared" si="176"/>
        <v>0</v>
      </c>
      <c r="M170" s="58">
        <f t="shared" si="176"/>
        <v>0</v>
      </c>
      <c r="N170" s="58">
        <f t="shared" si="176"/>
        <v>0</v>
      </c>
      <c r="O170" s="111">
        <f>SUM(C170:N170)</f>
        <v>-1000000</v>
      </c>
      <c r="P170" s="58">
        <f>-P193</f>
        <v>0</v>
      </c>
      <c r="Q170" s="58">
        <f t="shared" ref="Q170:AA170" si="177">-Q193</f>
        <v>0</v>
      </c>
      <c r="R170" s="58">
        <f t="shared" si="177"/>
        <v>0</v>
      </c>
      <c r="S170" s="58">
        <f t="shared" si="177"/>
        <v>-600000</v>
      </c>
      <c r="T170" s="58">
        <f t="shared" si="177"/>
        <v>-600000</v>
      </c>
      <c r="U170" s="58">
        <f t="shared" si="177"/>
        <v>-600000</v>
      </c>
      <c r="V170" s="58">
        <f t="shared" si="177"/>
        <v>-600000</v>
      </c>
      <c r="W170" s="58">
        <f t="shared" si="177"/>
        <v>-600000</v>
      </c>
      <c r="X170" s="58">
        <f t="shared" si="177"/>
        <v>-600000</v>
      </c>
      <c r="Y170" s="58">
        <f t="shared" si="177"/>
        <v>-600000</v>
      </c>
      <c r="Z170" s="58">
        <f t="shared" si="177"/>
        <v>-600000</v>
      </c>
      <c r="AA170" s="58">
        <f t="shared" si="177"/>
        <v>-600000</v>
      </c>
      <c r="AB170" s="111">
        <f>SUM(P170:AA170)</f>
        <v>-5400000</v>
      </c>
    </row>
    <row r="171" spans="1:28" outlineLevel="1" x14ac:dyDescent="0.35">
      <c r="A171" s="56" t="s">
        <v>221</v>
      </c>
      <c r="C171" s="91">
        <f t="shared" ref="C171:N171" si="178">SUM(C169:C170)</f>
        <v>-1050000</v>
      </c>
      <c r="D171" s="91">
        <f t="shared" si="178"/>
        <v>0</v>
      </c>
      <c r="E171" s="91">
        <f t="shared" si="178"/>
        <v>0</v>
      </c>
      <c r="F171" s="91">
        <f t="shared" si="178"/>
        <v>0</v>
      </c>
      <c r="G171" s="91">
        <f t="shared" si="178"/>
        <v>0</v>
      </c>
      <c r="H171" s="91">
        <f t="shared" si="178"/>
        <v>-200000</v>
      </c>
      <c r="I171" s="91">
        <f t="shared" si="178"/>
        <v>0</v>
      </c>
      <c r="J171" s="91">
        <f t="shared" si="178"/>
        <v>0</v>
      </c>
      <c r="K171" s="91">
        <f t="shared" si="178"/>
        <v>0</v>
      </c>
      <c r="L171" s="91">
        <f t="shared" si="178"/>
        <v>0</v>
      </c>
      <c r="M171" s="91">
        <f t="shared" si="178"/>
        <v>0</v>
      </c>
      <c r="N171" s="91">
        <f t="shared" si="178"/>
        <v>0</v>
      </c>
      <c r="O171" s="107">
        <f>SUM(C171:N171)</f>
        <v>-1250000</v>
      </c>
      <c r="P171" s="91">
        <f>SUM(P169:P170)</f>
        <v>0</v>
      </c>
      <c r="Q171" s="91">
        <f t="shared" ref="Q171:AA171" si="179">SUM(Q169:Q170)</f>
        <v>0</v>
      </c>
      <c r="R171" s="91">
        <f t="shared" si="179"/>
        <v>0</v>
      </c>
      <c r="S171" s="91">
        <f t="shared" si="179"/>
        <v>-600000</v>
      </c>
      <c r="T171" s="91">
        <f t="shared" si="179"/>
        <v>-600000</v>
      </c>
      <c r="U171" s="91">
        <f t="shared" si="179"/>
        <v>-600000</v>
      </c>
      <c r="V171" s="91">
        <f t="shared" si="179"/>
        <v>-600000</v>
      </c>
      <c r="W171" s="91">
        <f t="shared" si="179"/>
        <v>-600000</v>
      </c>
      <c r="X171" s="91">
        <f t="shared" si="179"/>
        <v>-600000</v>
      </c>
      <c r="Y171" s="91">
        <f t="shared" si="179"/>
        <v>-600000</v>
      </c>
      <c r="Z171" s="91">
        <f t="shared" si="179"/>
        <v>-600000</v>
      </c>
      <c r="AA171" s="91">
        <f t="shared" si="179"/>
        <v>-600000</v>
      </c>
      <c r="AB171" s="107">
        <f>SUM(P171:AA171)</f>
        <v>-5400000</v>
      </c>
    </row>
    <row r="172" spans="1:28" outlineLevel="1" x14ac:dyDescent="0.35"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111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111"/>
    </row>
    <row r="173" spans="1:28" outlineLevel="1" x14ac:dyDescent="0.35">
      <c r="A173" s="56" t="s">
        <v>222</v>
      </c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111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111"/>
    </row>
    <row r="174" spans="1:28" outlineLevel="1" x14ac:dyDescent="0.35">
      <c r="A174" t="s">
        <v>127</v>
      </c>
      <c r="C174" s="58">
        <f t="shared" ref="C174:N174" si="180">C238</f>
        <v>1500000</v>
      </c>
      <c r="D174" s="58">
        <f t="shared" si="180"/>
        <v>0</v>
      </c>
      <c r="E174" s="58">
        <f t="shared" si="180"/>
        <v>0</v>
      </c>
      <c r="F174" s="58">
        <f t="shared" si="180"/>
        <v>0</v>
      </c>
      <c r="G174" s="58">
        <f t="shared" si="180"/>
        <v>0</v>
      </c>
      <c r="H174" s="58">
        <f t="shared" si="180"/>
        <v>0</v>
      </c>
      <c r="I174" s="58">
        <f t="shared" si="180"/>
        <v>0</v>
      </c>
      <c r="J174" s="58">
        <f t="shared" si="180"/>
        <v>0</v>
      </c>
      <c r="K174" s="58">
        <f t="shared" si="180"/>
        <v>0</v>
      </c>
      <c r="L174" s="58">
        <f t="shared" si="180"/>
        <v>0</v>
      </c>
      <c r="M174" s="58">
        <f t="shared" si="180"/>
        <v>0</v>
      </c>
      <c r="N174" s="58">
        <f t="shared" si="180"/>
        <v>0</v>
      </c>
      <c r="O174" s="111">
        <f>SUM(C174:N174)</f>
        <v>1500000</v>
      </c>
      <c r="P174" s="58">
        <f>P238</f>
        <v>0</v>
      </c>
      <c r="Q174" s="58">
        <f t="shared" ref="Q174:AA174" si="181">Q238</f>
        <v>0</v>
      </c>
      <c r="R174" s="58">
        <f t="shared" si="181"/>
        <v>2000000</v>
      </c>
      <c r="S174" s="58">
        <f t="shared" si="181"/>
        <v>0</v>
      </c>
      <c r="T174" s="58">
        <f t="shared" si="181"/>
        <v>0</v>
      </c>
      <c r="U174" s="58">
        <f t="shared" si="181"/>
        <v>0</v>
      </c>
      <c r="V174" s="58">
        <f t="shared" si="181"/>
        <v>0</v>
      </c>
      <c r="W174" s="58">
        <f t="shared" si="181"/>
        <v>0</v>
      </c>
      <c r="X174" s="58">
        <f t="shared" si="181"/>
        <v>0</v>
      </c>
      <c r="Y174" s="58">
        <f t="shared" si="181"/>
        <v>0</v>
      </c>
      <c r="Z174" s="58">
        <f t="shared" si="181"/>
        <v>0</v>
      </c>
      <c r="AA174" s="58">
        <f t="shared" si="181"/>
        <v>0</v>
      </c>
      <c r="AB174" s="111">
        <f>SUM(P174:AA174)</f>
        <v>2000000</v>
      </c>
    </row>
    <row r="175" spans="1:28" outlineLevel="1" x14ac:dyDescent="0.35">
      <c r="A175" t="s">
        <v>128</v>
      </c>
      <c r="C175" s="58">
        <f t="shared" ref="C175:N175" si="182">C92</f>
        <v>3000000</v>
      </c>
      <c r="D175" s="58">
        <f t="shared" si="182"/>
        <v>0</v>
      </c>
      <c r="E175" s="58">
        <f t="shared" si="182"/>
        <v>0</v>
      </c>
      <c r="F175" s="58">
        <f t="shared" si="182"/>
        <v>0</v>
      </c>
      <c r="G175" s="58">
        <f t="shared" si="182"/>
        <v>0</v>
      </c>
      <c r="H175" s="58">
        <f t="shared" si="182"/>
        <v>0</v>
      </c>
      <c r="I175" s="58">
        <f t="shared" si="182"/>
        <v>0</v>
      </c>
      <c r="J175" s="58">
        <f t="shared" si="182"/>
        <v>0</v>
      </c>
      <c r="K175" s="58">
        <f t="shared" si="182"/>
        <v>0</v>
      </c>
      <c r="L175" s="58">
        <f t="shared" si="182"/>
        <v>0</v>
      </c>
      <c r="M175" s="58">
        <f t="shared" si="182"/>
        <v>0</v>
      </c>
      <c r="N175" s="58">
        <f t="shared" si="182"/>
        <v>0</v>
      </c>
      <c r="O175" s="111">
        <f>SUM(C175:N175)</f>
        <v>3000000</v>
      </c>
      <c r="P175" s="58">
        <f>P92</f>
        <v>0</v>
      </c>
      <c r="Q175" s="58">
        <f t="shared" ref="Q175:AA175" si="183">Q92</f>
        <v>0</v>
      </c>
      <c r="R175" s="58">
        <f t="shared" si="183"/>
        <v>0</v>
      </c>
      <c r="S175" s="58">
        <f t="shared" si="183"/>
        <v>0</v>
      </c>
      <c r="T175" s="58">
        <f t="shared" si="183"/>
        <v>0</v>
      </c>
      <c r="U175" s="58">
        <f t="shared" si="183"/>
        <v>0</v>
      </c>
      <c r="V175" s="58">
        <f t="shared" si="183"/>
        <v>0</v>
      </c>
      <c r="W175" s="58">
        <f t="shared" si="183"/>
        <v>0</v>
      </c>
      <c r="X175" s="58">
        <f t="shared" si="183"/>
        <v>0</v>
      </c>
      <c r="Y175" s="58">
        <f t="shared" si="183"/>
        <v>0</v>
      </c>
      <c r="Z175" s="58">
        <f t="shared" si="183"/>
        <v>0</v>
      </c>
      <c r="AA175" s="58">
        <f t="shared" si="183"/>
        <v>0</v>
      </c>
      <c r="AB175" s="111">
        <f>SUM(P175:AA175)</f>
        <v>0</v>
      </c>
    </row>
    <row r="176" spans="1:28" outlineLevel="1" x14ac:dyDescent="0.35">
      <c r="A176" s="56" t="s">
        <v>223</v>
      </c>
      <c r="C176" s="91">
        <f t="shared" ref="C176:N176" si="184">SUM(C174:C175)</f>
        <v>4500000</v>
      </c>
      <c r="D176" s="91">
        <f t="shared" si="184"/>
        <v>0</v>
      </c>
      <c r="E176" s="91">
        <f t="shared" si="184"/>
        <v>0</v>
      </c>
      <c r="F176" s="91">
        <f t="shared" si="184"/>
        <v>0</v>
      </c>
      <c r="G176" s="91">
        <f t="shared" si="184"/>
        <v>0</v>
      </c>
      <c r="H176" s="91">
        <f t="shared" si="184"/>
        <v>0</v>
      </c>
      <c r="I176" s="91">
        <f t="shared" si="184"/>
        <v>0</v>
      </c>
      <c r="J176" s="91">
        <f t="shared" si="184"/>
        <v>0</v>
      </c>
      <c r="K176" s="91">
        <f t="shared" si="184"/>
        <v>0</v>
      </c>
      <c r="L176" s="91">
        <f t="shared" si="184"/>
        <v>0</v>
      </c>
      <c r="M176" s="91">
        <f t="shared" si="184"/>
        <v>0</v>
      </c>
      <c r="N176" s="91">
        <f t="shared" si="184"/>
        <v>0</v>
      </c>
      <c r="O176" s="107">
        <f>SUM(C176:N176)</f>
        <v>4500000</v>
      </c>
      <c r="P176" s="91">
        <f>SUM(P174:P175)</f>
        <v>0</v>
      </c>
      <c r="Q176" s="91">
        <f t="shared" ref="Q176:AA176" si="185">SUM(Q174:Q175)</f>
        <v>0</v>
      </c>
      <c r="R176" s="91">
        <f t="shared" si="185"/>
        <v>2000000</v>
      </c>
      <c r="S176" s="91">
        <f t="shared" si="185"/>
        <v>0</v>
      </c>
      <c r="T176" s="91">
        <f t="shared" si="185"/>
        <v>0</v>
      </c>
      <c r="U176" s="91">
        <f t="shared" si="185"/>
        <v>0</v>
      </c>
      <c r="V176" s="91">
        <f t="shared" si="185"/>
        <v>0</v>
      </c>
      <c r="W176" s="91">
        <f t="shared" si="185"/>
        <v>0</v>
      </c>
      <c r="X176" s="91">
        <f t="shared" si="185"/>
        <v>0</v>
      </c>
      <c r="Y176" s="91">
        <f t="shared" si="185"/>
        <v>0</v>
      </c>
      <c r="Z176" s="91">
        <f t="shared" si="185"/>
        <v>0</v>
      </c>
      <c r="AA176" s="91">
        <f t="shared" si="185"/>
        <v>0</v>
      </c>
      <c r="AB176" s="107">
        <f>SUM(P176:AA176)</f>
        <v>2000000</v>
      </c>
    </row>
    <row r="177" spans="1:67" outlineLevel="1" x14ac:dyDescent="0.35">
      <c r="A177" s="56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111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111"/>
    </row>
    <row r="178" spans="1:67" s="56" customFormat="1" outlineLevel="1" x14ac:dyDescent="0.35">
      <c r="A178" s="56" t="s">
        <v>224</v>
      </c>
      <c r="C178" s="91">
        <f t="shared" ref="C178:N178" si="186">C166+C171+C176</f>
        <v>2527575</v>
      </c>
      <c r="D178" s="91">
        <f t="shared" si="186"/>
        <v>-218572</v>
      </c>
      <c r="E178" s="91">
        <f t="shared" si="186"/>
        <v>54884.534999999858</v>
      </c>
      <c r="F178" s="91">
        <f t="shared" si="186"/>
        <v>-762775.25239999988</v>
      </c>
      <c r="G178" s="91">
        <f t="shared" si="186"/>
        <v>-143905.31318249973</v>
      </c>
      <c r="H178" s="91">
        <f t="shared" si="186"/>
        <v>-1158599.5770109249</v>
      </c>
      <c r="I178" s="91">
        <f t="shared" si="186"/>
        <v>-666986.04513707699</v>
      </c>
      <c r="J178" s="91">
        <f t="shared" si="186"/>
        <v>-84033.458698919509</v>
      </c>
      <c r="K178" s="91">
        <f t="shared" si="186"/>
        <v>-26678.549422980752</v>
      </c>
      <c r="L178" s="91">
        <f t="shared" si="186"/>
        <v>-374915.37323102076</v>
      </c>
      <c r="M178" s="91">
        <f t="shared" si="186"/>
        <v>-13078.46604341676</v>
      </c>
      <c r="N178" s="91">
        <f t="shared" si="186"/>
        <v>-6166.9685655388748</v>
      </c>
      <c r="O178" s="107">
        <f>SUM(C178:N178)</f>
        <v>-873251.46869237849</v>
      </c>
      <c r="P178" s="91">
        <f>P166+P171+P176</f>
        <v>-596521.72732395306</v>
      </c>
      <c r="Q178" s="91">
        <f t="shared" ref="Q178:AA178" si="187">Q166+Q171+Q176</f>
        <v>158064.70469107307</v>
      </c>
      <c r="R178" s="91">
        <f t="shared" si="187"/>
        <v>2154863.3365767985</v>
      </c>
      <c r="S178" s="91">
        <f t="shared" si="187"/>
        <v>-751985.73835065844</v>
      </c>
      <c r="T178" s="91">
        <f t="shared" si="187"/>
        <v>-440797.10795076005</v>
      </c>
      <c r="U178" s="91">
        <f t="shared" si="187"/>
        <v>-390747.52759805194</v>
      </c>
      <c r="V178" s="91">
        <f t="shared" si="187"/>
        <v>-521407.02588313282</v>
      </c>
      <c r="W178" s="91">
        <f t="shared" si="187"/>
        <v>-267125.42914481688</v>
      </c>
      <c r="X178" s="91">
        <f t="shared" si="187"/>
        <v>-257741.20309917239</v>
      </c>
      <c r="Y178" s="91">
        <f t="shared" si="187"/>
        <v>-493253.12518633454</v>
      </c>
      <c r="Z178" s="91">
        <f t="shared" si="187"/>
        <v>-238659.95669548475</v>
      </c>
      <c r="AA178" s="91">
        <f t="shared" si="187"/>
        <v>-228960.44252487883</v>
      </c>
      <c r="AB178" s="107">
        <f>SUM(P178:AA178)</f>
        <v>-1874271.2424893721</v>
      </c>
      <c r="AO178" s="102"/>
      <c r="BB178" s="102"/>
      <c r="BO178" s="102"/>
    </row>
    <row r="179" spans="1:67" outlineLevel="1" x14ac:dyDescent="0.35">
      <c r="A179" s="56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111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111"/>
    </row>
    <row r="180" spans="1:67" outlineLevel="1" x14ac:dyDescent="0.35">
      <c r="A180" s="56" t="s">
        <v>225</v>
      </c>
      <c r="C180" s="91">
        <f t="shared" ref="C180:N180" si="188">B182</f>
        <v>0</v>
      </c>
      <c r="D180" s="91">
        <f t="shared" si="188"/>
        <v>2527575</v>
      </c>
      <c r="E180" s="91">
        <f t="shared" si="188"/>
        <v>2309003</v>
      </c>
      <c r="F180" s="91">
        <f t="shared" si="188"/>
        <v>2363887.5349999997</v>
      </c>
      <c r="G180" s="91">
        <f t="shared" si="188"/>
        <v>1601112.2825999998</v>
      </c>
      <c r="H180" s="91">
        <f t="shared" si="188"/>
        <v>1457206.9694175001</v>
      </c>
      <c r="I180" s="91">
        <f t="shared" si="188"/>
        <v>298607.39240657515</v>
      </c>
      <c r="J180" s="91">
        <f t="shared" si="188"/>
        <v>-368378.65273050184</v>
      </c>
      <c r="K180" s="91">
        <f t="shared" si="188"/>
        <v>-452412.11142942135</v>
      </c>
      <c r="L180" s="91">
        <f t="shared" si="188"/>
        <v>-479090.6608524021</v>
      </c>
      <c r="M180" s="91">
        <f t="shared" si="188"/>
        <v>-854006.03408342286</v>
      </c>
      <c r="N180" s="91">
        <f t="shared" si="188"/>
        <v>-867084.50012683962</v>
      </c>
      <c r="O180" s="107">
        <f>SUM(C180:N180)</f>
        <v>7536420.2202014877</v>
      </c>
      <c r="P180" s="91">
        <f>N182</f>
        <v>-873251.46869237849</v>
      </c>
      <c r="Q180" s="91">
        <f t="shared" ref="Q180:AA180" si="189">P182</f>
        <v>-1469773.1960163317</v>
      </c>
      <c r="R180" s="91">
        <f t="shared" si="189"/>
        <v>-1311708.4913252585</v>
      </c>
      <c r="S180" s="91">
        <f t="shared" si="189"/>
        <v>843154.84525153995</v>
      </c>
      <c r="T180" s="91">
        <f t="shared" si="189"/>
        <v>91169.10690088151</v>
      </c>
      <c r="U180" s="91">
        <f t="shared" si="189"/>
        <v>-349628.00104987854</v>
      </c>
      <c r="V180" s="91">
        <f t="shared" si="189"/>
        <v>-740375.52864793048</v>
      </c>
      <c r="W180" s="91">
        <f t="shared" si="189"/>
        <v>-1261782.5545310634</v>
      </c>
      <c r="X180" s="91">
        <f t="shared" si="189"/>
        <v>-1528907.9836758804</v>
      </c>
      <c r="Y180" s="91">
        <f t="shared" si="189"/>
        <v>-1786649.1867750527</v>
      </c>
      <c r="Z180" s="91">
        <f t="shared" si="189"/>
        <v>-2279902.3119613873</v>
      </c>
      <c r="AA180" s="91">
        <f t="shared" si="189"/>
        <v>-2518562.2686568722</v>
      </c>
      <c r="AB180" s="107">
        <f>SUM(P180:AA180)</f>
        <v>-13186217.039179612</v>
      </c>
    </row>
    <row r="181" spans="1:67" outlineLevel="1" x14ac:dyDescent="0.35">
      <c r="A181" s="56" t="s">
        <v>226</v>
      </c>
      <c r="C181" s="91">
        <f t="shared" ref="C181:N181" si="190">C178</f>
        <v>2527575</v>
      </c>
      <c r="D181" s="91">
        <f t="shared" si="190"/>
        <v>-218572</v>
      </c>
      <c r="E181" s="91">
        <f t="shared" si="190"/>
        <v>54884.534999999858</v>
      </c>
      <c r="F181" s="91">
        <f t="shared" si="190"/>
        <v>-762775.25239999988</v>
      </c>
      <c r="G181" s="91">
        <f t="shared" si="190"/>
        <v>-143905.31318249973</v>
      </c>
      <c r="H181" s="91">
        <f t="shared" si="190"/>
        <v>-1158599.5770109249</v>
      </c>
      <c r="I181" s="91">
        <f t="shared" si="190"/>
        <v>-666986.04513707699</v>
      </c>
      <c r="J181" s="91">
        <f t="shared" si="190"/>
        <v>-84033.458698919509</v>
      </c>
      <c r="K181" s="91">
        <f t="shared" si="190"/>
        <v>-26678.549422980752</v>
      </c>
      <c r="L181" s="91">
        <f t="shared" si="190"/>
        <v>-374915.37323102076</v>
      </c>
      <c r="M181" s="91">
        <f t="shared" si="190"/>
        <v>-13078.46604341676</v>
      </c>
      <c r="N181" s="91">
        <f t="shared" si="190"/>
        <v>-6166.9685655388748</v>
      </c>
      <c r="O181" s="107">
        <f>SUM(C181:N181)</f>
        <v>-873251.46869237849</v>
      </c>
      <c r="P181" s="91">
        <f>P178</f>
        <v>-596521.72732395306</v>
      </c>
      <c r="Q181" s="91">
        <f t="shared" ref="Q181:AA181" si="191">Q178</f>
        <v>158064.70469107307</v>
      </c>
      <c r="R181" s="91">
        <f t="shared" si="191"/>
        <v>2154863.3365767985</v>
      </c>
      <c r="S181" s="91">
        <f t="shared" si="191"/>
        <v>-751985.73835065844</v>
      </c>
      <c r="T181" s="91">
        <f t="shared" si="191"/>
        <v>-440797.10795076005</v>
      </c>
      <c r="U181" s="91">
        <f t="shared" si="191"/>
        <v>-390747.52759805194</v>
      </c>
      <c r="V181" s="91">
        <f t="shared" si="191"/>
        <v>-521407.02588313282</v>
      </c>
      <c r="W181" s="91">
        <f t="shared" si="191"/>
        <v>-267125.42914481688</v>
      </c>
      <c r="X181" s="91">
        <f t="shared" si="191"/>
        <v>-257741.20309917239</v>
      </c>
      <c r="Y181" s="91">
        <f t="shared" si="191"/>
        <v>-493253.12518633454</v>
      </c>
      <c r="Z181" s="91">
        <f t="shared" si="191"/>
        <v>-238659.95669548475</v>
      </c>
      <c r="AA181" s="91">
        <f t="shared" si="191"/>
        <v>-228960.44252487883</v>
      </c>
      <c r="AB181" s="107">
        <f>SUM(P181:AA181)</f>
        <v>-1874271.2424893721</v>
      </c>
    </row>
    <row r="182" spans="1:67" outlineLevel="1" x14ac:dyDescent="0.35">
      <c r="A182" s="56" t="s">
        <v>227</v>
      </c>
      <c r="C182" s="91">
        <f t="shared" ref="C182:N182" si="192">SUM(C180:C181)</f>
        <v>2527575</v>
      </c>
      <c r="D182" s="91">
        <f t="shared" si="192"/>
        <v>2309003</v>
      </c>
      <c r="E182" s="91">
        <f t="shared" si="192"/>
        <v>2363887.5349999997</v>
      </c>
      <c r="F182" s="91">
        <f t="shared" si="192"/>
        <v>1601112.2825999998</v>
      </c>
      <c r="G182" s="91">
        <f t="shared" si="192"/>
        <v>1457206.9694175001</v>
      </c>
      <c r="H182" s="91">
        <f t="shared" si="192"/>
        <v>298607.39240657515</v>
      </c>
      <c r="I182" s="91">
        <f t="shared" si="192"/>
        <v>-368378.65273050184</v>
      </c>
      <c r="J182" s="91">
        <f t="shared" si="192"/>
        <v>-452412.11142942135</v>
      </c>
      <c r="K182" s="91">
        <f t="shared" si="192"/>
        <v>-479090.6608524021</v>
      </c>
      <c r="L182" s="91">
        <f t="shared" si="192"/>
        <v>-854006.03408342286</v>
      </c>
      <c r="M182" s="91">
        <f t="shared" si="192"/>
        <v>-867084.50012683962</v>
      </c>
      <c r="N182" s="91">
        <f t="shared" si="192"/>
        <v>-873251.46869237849</v>
      </c>
      <c r="O182" s="107">
        <f>SUM(C182:N182)</f>
        <v>6663168.7515091095</v>
      </c>
      <c r="P182" s="91">
        <f>SUM(P180:P181)</f>
        <v>-1469773.1960163317</v>
      </c>
      <c r="Q182" s="91">
        <f t="shared" ref="Q182:AA182" si="193">SUM(Q180:Q181)</f>
        <v>-1311708.4913252585</v>
      </c>
      <c r="R182" s="91">
        <f t="shared" si="193"/>
        <v>843154.84525153995</v>
      </c>
      <c r="S182" s="91">
        <f t="shared" si="193"/>
        <v>91169.10690088151</v>
      </c>
      <c r="T182" s="91">
        <f t="shared" si="193"/>
        <v>-349628.00104987854</v>
      </c>
      <c r="U182" s="91">
        <f t="shared" si="193"/>
        <v>-740375.52864793048</v>
      </c>
      <c r="V182" s="91">
        <f t="shared" si="193"/>
        <v>-1261782.5545310634</v>
      </c>
      <c r="W182" s="91">
        <f t="shared" si="193"/>
        <v>-1528907.9836758804</v>
      </c>
      <c r="X182" s="91">
        <f t="shared" si="193"/>
        <v>-1786649.1867750527</v>
      </c>
      <c r="Y182" s="91">
        <f t="shared" si="193"/>
        <v>-2279902.3119613873</v>
      </c>
      <c r="Z182" s="91">
        <f t="shared" si="193"/>
        <v>-2518562.2686568722</v>
      </c>
      <c r="AA182" s="91">
        <f t="shared" si="193"/>
        <v>-2747522.711181751</v>
      </c>
      <c r="AB182" s="107">
        <f>SUM(P182:AA182)</f>
        <v>-15060488.281668985</v>
      </c>
    </row>
    <row r="183" spans="1:67" outlineLevel="1" x14ac:dyDescent="0.35">
      <c r="A183" s="56"/>
    </row>
    <row r="184" spans="1:67" s="70" customFormat="1" x14ac:dyDescent="0.35">
      <c r="A184" s="70" t="s">
        <v>172</v>
      </c>
      <c r="C184" s="69"/>
      <c r="D184" s="69"/>
      <c r="E184" s="69"/>
      <c r="F184" s="69"/>
      <c r="G184" s="69"/>
      <c r="O184" s="98"/>
      <c r="AB184" s="98"/>
      <c r="AO184" s="98"/>
      <c r="BB184" s="98"/>
      <c r="BO184" s="98"/>
    </row>
    <row r="185" spans="1:67" outlineLevel="1" x14ac:dyDescent="0.35">
      <c r="A185" s="56" t="s">
        <v>173</v>
      </c>
    </row>
    <row r="186" spans="1:67" outlineLevel="1" x14ac:dyDescent="0.35">
      <c r="A186" s="56" t="s">
        <v>174</v>
      </c>
    </row>
    <row r="187" spans="1:67" outlineLevel="1" x14ac:dyDescent="0.35">
      <c r="A187" t="s">
        <v>175</v>
      </c>
      <c r="C187">
        <f>B233</f>
        <v>0</v>
      </c>
      <c r="D187" s="58">
        <f>C233</f>
        <v>245833.33333333334</v>
      </c>
      <c r="E187" s="58">
        <f t="shared" ref="E187:N187" si="194">D233</f>
        <v>241666.66666666669</v>
      </c>
      <c r="F187" s="58">
        <f t="shared" si="194"/>
        <v>237500.00000000003</v>
      </c>
      <c r="G187" s="58">
        <f t="shared" si="194"/>
        <v>233333.33333333337</v>
      </c>
      <c r="H187" s="58">
        <f t="shared" si="194"/>
        <v>229166.66666666672</v>
      </c>
      <c r="I187" s="58">
        <f t="shared" si="194"/>
        <v>225000.00000000006</v>
      </c>
      <c r="J187" s="58">
        <f t="shared" si="194"/>
        <v>220833.3333333334</v>
      </c>
      <c r="K187" s="58">
        <f t="shared" si="194"/>
        <v>216666.66666666674</v>
      </c>
      <c r="L187" s="58">
        <f t="shared" si="194"/>
        <v>212500.00000000009</v>
      </c>
      <c r="M187" s="58">
        <f t="shared" si="194"/>
        <v>208333.33333333343</v>
      </c>
      <c r="N187" s="58">
        <f t="shared" si="194"/>
        <v>204166.66666666677</v>
      </c>
      <c r="P187" s="58">
        <f>N233</f>
        <v>200000.00000000012</v>
      </c>
      <c r="Q187" s="58">
        <f>P233</f>
        <v>195833.33333333346</v>
      </c>
      <c r="R187" s="58">
        <f t="shared" ref="R187:AA187" si="195">Q233</f>
        <v>191666.6666666668</v>
      </c>
      <c r="S187" s="58">
        <f t="shared" si="195"/>
        <v>187500.00000000015</v>
      </c>
      <c r="T187" s="58">
        <f t="shared" si="195"/>
        <v>183333.33333333349</v>
      </c>
      <c r="U187" s="58">
        <f t="shared" si="195"/>
        <v>179166.66666666683</v>
      </c>
      <c r="V187" s="58">
        <f t="shared" si="195"/>
        <v>175000.00000000017</v>
      </c>
      <c r="W187" s="58">
        <f t="shared" si="195"/>
        <v>170833.33333333352</v>
      </c>
      <c r="X187" s="58">
        <f t="shared" si="195"/>
        <v>166666.66666666686</v>
      </c>
      <c r="Y187" s="58">
        <f t="shared" si="195"/>
        <v>162500.0000000002</v>
      </c>
      <c r="Z187" s="58">
        <f t="shared" si="195"/>
        <v>158333.33333333355</v>
      </c>
      <c r="AA187" s="58">
        <f t="shared" si="195"/>
        <v>154166.66666666689</v>
      </c>
      <c r="AB187" s="111"/>
    </row>
    <row r="188" spans="1:67" outlineLevel="1" x14ac:dyDescent="0.35">
      <c r="A188" t="s">
        <v>176</v>
      </c>
      <c r="C188">
        <f t="shared" ref="C188:N188" si="196">B234</f>
        <v>0</v>
      </c>
      <c r="D188" s="58">
        <f t="shared" si="196"/>
        <v>786666.66666666663</v>
      </c>
      <c r="E188" s="58">
        <f t="shared" si="196"/>
        <v>773333.33333333326</v>
      </c>
      <c r="F188" s="58">
        <f t="shared" si="196"/>
        <v>759999.99999999988</v>
      </c>
      <c r="G188" s="58">
        <f t="shared" si="196"/>
        <v>746666.66666666651</v>
      </c>
      <c r="H188" s="58">
        <f t="shared" si="196"/>
        <v>733333.33333333314</v>
      </c>
      <c r="I188" s="58">
        <f t="shared" si="196"/>
        <v>916666.66666666651</v>
      </c>
      <c r="J188" s="58">
        <f t="shared" si="196"/>
        <v>899999.99999999988</v>
      </c>
      <c r="K188" s="58">
        <f t="shared" si="196"/>
        <v>883333.33333333326</v>
      </c>
      <c r="L188" s="58">
        <f t="shared" si="196"/>
        <v>866666.66666666663</v>
      </c>
      <c r="M188" s="58">
        <f t="shared" si="196"/>
        <v>850000</v>
      </c>
      <c r="N188" s="58">
        <f t="shared" si="196"/>
        <v>833333.33333333337</v>
      </c>
      <c r="P188" s="58">
        <f>N234</f>
        <v>816666.66666666674</v>
      </c>
      <c r="Q188" s="58">
        <f>P234</f>
        <v>800000.00000000012</v>
      </c>
      <c r="R188" s="58">
        <f t="shared" ref="R188:AA188" si="197">Q234</f>
        <v>783333.33333333349</v>
      </c>
      <c r="S188" s="58">
        <f t="shared" si="197"/>
        <v>766666.66666666686</v>
      </c>
      <c r="T188" s="58">
        <f t="shared" si="197"/>
        <v>1350000.0000000002</v>
      </c>
      <c r="U188" s="58">
        <f t="shared" si="197"/>
        <v>1933333.3333333335</v>
      </c>
      <c r="V188" s="58">
        <f t="shared" si="197"/>
        <v>2516666.666666667</v>
      </c>
      <c r="W188" s="58">
        <f t="shared" si="197"/>
        <v>3100000.0000000005</v>
      </c>
      <c r="X188" s="58">
        <f t="shared" si="197"/>
        <v>3683333.333333334</v>
      </c>
      <c r="Y188" s="58">
        <f t="shared" si="197"/>
        <v>4266666.666666667</v>
      </c>
      <c r="Z188" s="58">
        <f t="shared" si="197"/>
        <v>4850000</v>
      </c>
      <c r="AA188" s="58">
        <f t="shared" si="197"/>
        <v>5433333.333333333</v>
      </c>
      <c r="AB188" s="111"/>
    </row>
    <row r="189" spans="1:67" s="72" customFormat="1" outlineLevel="1" x14ac:dyDescent="0.35">
      <c r="A189" s="72" t="s">
        <v>32</v>
      </c>
      <c r="C189" s="72">
        <f t="shared" ref="C189:N189" si="198">SUM(C187:C188)</f>
        <v>0</v>
      </c>
      <c r="D189" s="79">
        <f t="shared" si="198"/>
        <v>1032500</v>
      </c>
      <c r="E189" s="79">
        <f t="shared" si="198"/>
        <v>1015000</v>
      </c>
      <c r="F189" s="79">
        <f t="shared" si="198"/>
        <v>997499.99999999988</v>
      </c>
      <c r="G189" s="79">
        <f t="shared" si="198"/>
        <v>979999.99999999988</v>
      </c>
      <c r="H189" s="79">
        <f t="shared" si="198"/>
        <v>962499.99999999988</v>
      </c>
      <c r="I189" s="79">
        <f t="shared" si="198"/>
        <v>1141666.6666666665</v>
      </c>
      <c r="J189" s="79">
        <f t="shared" si="198"/>
        <v>1120833.3333333333</v>
      </c>
      <c r="K189" s="79">
        <f t="shared" si="198"/>
        <v>1100000</v>
      </c>
      <c r="L189" s="79">
        <f t="shared" si="198"/>
        <v>1079166.6666666667</v>
      </c>
      <c r="M189" s="79">
        <f t="shared" si="198"/>
        <v>1058333.3333333335</v>
      </c>
      <c r="N189" s="79">
        <f t="shared" si="198"/>
        <v>1037500.0000000001</v>
      </c>
      <c r="O189" s="100"/>
      <c r="P189" s="79">
        <f>SUM(P187:P188)</f>
        <v>1016666.6666666669</v>
      </c>
      <c r="Q189" s="79">
        <f t="shared" ref="Q189:AA189" si="199">SUM(Q187:Q188)</f>
        <v>995833.3333333336</v>
      </c>
      <c r="R189" s="79">
        <f t="shared" si="199"/>
        <v>975000.00000000023</v>
      </c>
      <c r="S189" s="79">
        <f t="shared" si="199"/>
        <v>954166.66666666698</v>
      </c>
      <c r="T189" s="79">
        <f t="shared" si="199"/>
        <v>1533333.3333333337</v>
      </c>
      <c r="U189" s="79">
        <f t="shared" si="199"/>
        <v>2112500.0000000005</v>
      </c>
      <c r="V189" s="79">
        <f t="shared" si="199"/>
        <v>2691666.666666667</v>
      </c>
      <c r="W189" s="79">
        <f t="shared" si="199"/>
        <v>3270833.333333334</v>
      </c>
      <c r="X189" s="79">
        <f t="shared" si="199"/>
        <v>3850000.0000000009</v>
      </c>
      <c r="Y189" s="79">
        <f t="shared" si="199"/>
        <v>4429166.666666667</v>
      </c>
      <c r="Z189" s="79">
        <f t="shared" si="199"/>
        <v>5008333.333333334</v>
      </c>
      <c r="AA189" s="79">
        <f t="shared" si="199"/>
        <v>5587500</v>
      </c>
      <c r="AB189" s="115"/>
      <c r="AO189" s="100"/>
      <c r="BB189" s="100"/>
      <c r="BO189" s="100"/>
    </row>
    <row r="190" spans="1:67" outlineLevel="1" x14ac:dyDescent="0.35"/>
    <row r="191" spans="1:67" outlineLevel="1" x14ac:dyDescent="0.35">
      <c r="A191" s="72" t="s">
        <v>177</v>
      </c>
    </row>
    <row r="192" spans="1:67" outlineLevel="1" x14ac:dyDescent="0.35">
      <c r="A192" t="s">
        <v>175</v>
      </c>
      <c r="C192" s="42">
        <f t="shared" ref="C192:N192" si="200">C81</f>
        <v>250000</v>
      </c>
      <c r="D192" s="42">
        <f t="shared" si="200"/>
        <v>0</v>
      </c>
      <c r="E192" s="42">
        <f t="shared" si="200"/>
        <v>0</v>
      </c>
      <c r="F192" s="42">
        <f t="shared" si="200"/>
        <v>0</v>
      </c>
      <c r="G192" s="42">
        <f t="shared" si="200"/>
        <v>0</v>
      </c>
      <c r="H192" s="42">
        <f t="shared" si="200"/>
        <v>0</v>
      </c>
      <c r="I192" s="42">
        <f t="shared" si="200"/>
        <v>0</v>
      </c>
      <c r="J192" s="42">
        <f t="shared" si="200"/>
        <v>0</v>
      </c>
      <c r="K192" s="42">
        <f t="shared" si="200"/>
        <v>0</v>
      </c>
      <c r="L192" s="42">
        <f t="shared" si="200"/>
        <v>0</v>
      </c>
      <c r="M192" s="42">
        <f t="shared" si="200"/>
        <v>0</v>
      </c>
      <c r="N192" s="42">
        <f t="shared" si="200"/>
        <v>0</v>
      </c>
      <c r="P192" s="42">
        <f>P81</f>
        <v>0</v>
      </c>
      <c r="Q192" s="42">
        <f t="shared" ref="Q192:AA192" si="201">Q81</f>
        <v>0</v>
      </c>
      <c r="R192" s="42">
        <f t="shared" si="201"/>
        <v>0</v>
      </c>
      <c r="S192" s="42">
        <f t="shared" si="201"/>
        <v>0</v>
      </c>
      <c r="T192" s="42">
        <f t="shared" si="201"/>
        <v>0</v>
      </c>
      <c r="U192" s="42">
        <f t="shared" si="201"/>
        <v>0</v>
      </c>
      <c r="V192" s="42">
        <f t="shared" si="201"/>
        <v>0</v>
      </c>
      <c r="W192" s="42">
        <f t="shared" si="201"/>
        <v>0</v>
      </c>
      <c r="X192" s="42">
        <f t="shared" si="201"/>
        <v>0</v>
      </c>
      <c r="Y192" s="42">
        <f t="shared" si="201"/>
        <v>0</v>
      </c>
      <c r="Z192" s="42">
        <f t="shared" si="201"/>
        <v>0</v>
      </c>
      <c r="AA192" s="42">
        <f t="shared" si="201"/>
        <v>0</v>
      </c>
      <c r="AB192" s="128"/>
    </row>
    <row r="193" spans="1:67" outlineLevel="1" x14ac:dyDescent="0.35">
      <c r="A193" t="s">
        <v>176</v>
      </c>
      <c r="C193" s="42">
        <f t="shared" ref="C193:N193" si="202">C82</f>
        <v>800000</v>
      </c>
      <c r="D193" s="42">
        <f t="shared" si="202"/>
        <v>0</v>
      </c>
      <c r="E193" s="42">
        <f t="shared" si="202"/>
        <v>0</v>
      </c>
      <c r="F193" s="42">
        <f t="shared" si="202"/>
        <v>0</v>
      </c>
      <c r="G193" s="42">
        <f t="shared" si="202"/>
        <v>0</v>
      </c>
      <c r="H193" s="42">
        <f t="shared" si="202"/>
        <v>200000</v>
      </c>
      <c r="I193" s="42">
        <f t="shared" si="202"/>
        <v>0</v>
      </c>
      <c r="J193" s="42">
        <f t="shared" si="202"/>
        <v>0</v>
      </c>
      <c r="K193" s="42">
        <f t="shared" si="202"/>
        <v>0</v>
      </c>
      <c r="L193" s="42">
        <f t="shared" si="202"/>
        <v>0</v>
      </c>
      <c r="M193" s="42">
        <f t="shared" si="202"/>
        <v>0</v>
      </c>
      <c r="N193" s="42">
        <f t="shared" si="202"/>
        <v>0</v>
      </c>
      <c r="P193" s="42">
        <f>P82</f>
        <v>0</v>
      </c>
      <c r="Q193" s="42">
        <f t="shared" ref="Q193:AA193" si="203">Q82</f>
        <v>0</v>
      </c>
      <c r="R193" s="42">
        <f t="shared" si="203"/>
        <v>0</v>
      </c>
      <c r="S193" s="42">
        <f t="shared" si="203"/>
        <v>600000</v>
      </c>
      <c r="T193" s="42">
        <f t="shared" si="203"/>
        <v>600000</v>
      </c>
      <c r="U193" s="42">
        <f t="shared" si="203"/>
        <v>600000</v>
      </c>
      <c r="V193" s="42">
        <f t="shared" si="203"/>
        <v>600000</v>
      </c>
      <c r="W193" s="42">
        <f t="shared" si="203"/>
        <v>600000</v>
      </c>
      <c r="X193" s="42">
        <f t="shared" si="203"/>
        <v>600000</v>
      </c>
      <c r="Y193" s="42">
        <f t="shared" si="203"/>
        <v>600000</v>
      </c>
      <c r="Z193" s="42">
        <f t="shared" si="203"/>
        <v>600000</v>
      </c>
      <c r="AA193" s="42">
        <f t="shared" si="203"/>
        <v>600000</v>
      </c>
      <c r="AB193" s="128"/>
    </row>
    <row r="194" spans="1:67" s="72" customFormat="1" outlineLevel="1" x14ac:dyDescent="0.35">
      <c r="A194" s="72" t="s">
        <v>32</v>
      </c>
      <c r="C194" s="85">
        <f t="shared" ref="C194:N194" si="204">SUM(C192:C193)</f>
        <v>1050000</v>
      </c>
      <c r="D194" s="85">
        <f t="shared" si="204"/>
        <v>0</v>
      </c>
      <c r="E194" s="85">
        <f t="shared" si="204"/>
        <v>0</v>
      </c>
      <c r="F194" s="85">
        <f t="shared" si="204"/>
        <v>0</v>
      </c>
      <c r="G194" s="85">
        <f t="shared" si="204"/>
        <v>0</v>
      </c>
      <c r="H194" s="85">
        <f t="shared" si="204"/>
        <v>200000</v>
      </c>
      <c r="I194" s="85">
        <f t="shared" si="204"/>
        <v>0</v>
      </c>
      <c r="J194" s="85">
        <f t="shared" si="204"/>
        <v>0</v>
      </c>
      <c r="K194" s="85">
        <f t="shared" si="204"/>
        <v>0</v>
      </c>
      <c r="L194" s="85">
        <f t="shared" si="204"/>
        <v>0</v>
      </c>
      <c r="M194" s="85">
        <f t="shared" si="204"/>
        <v>0</v>
      </c>
      <c r="N194" s="85">
        <f t="shared" si="204"/>
        <v>0</v>
      </c>
      <c r="O194" s="100"/>
      <c r="P194" s="85">
        <f>SUM(P192:P193)</f>
        <v>0</v>
      </c>
      <c r="Q194" s="85">
        <f t="shared" ref="Q194:AA194" si="205">SUM(Q192:Q193)</f>
        <v>0</v>
      </c>
      <c r="R194" s="85">
        <f t="shared" si="205"/>
        <v>0</v>
      </c>
      <c r="S194" s="85">
        <f t="shared" si="205"/>
        <v>600000</v>
      </c>
      <c r="T194" s="85">
        <f t="shared" si="205"/>
        <v>600000</v>
      </c>
      <c r="U194" s="85">
        <f t="shared" si="205"/>
        <v>600000</v>
      </c>
      <c r="V194" s="85">
        <f t="shared" si="205"/>
        <v>600000</v>
      </c>
      <c r="W194" s="85">
        <f t="shared" si="205"/>
        <v>600000</v>
      </c>
      <c r="X194" s="85">
        <f t="shared" si="205"/>
        <v>600000</v>
      </c>
      <c r="Y194" s="85">
        <f t="shared" si="205"/>
        <v>600000</v>
      </c>
      <c r="Z194" s="85">
        <f t="shared" si="205"/>
        <v>600000</v>
      </c>
      <c r="AA194" s="85">
        <f t="shared" si="205"/>
        <v>600000</v>
      </c>
      <c r="AB194" s="125"/>
      <c r="AO194" s="100"/>
      <c r="BB194" s="100"/>
      <c r="BO194" s="100"/>
    </row>
    <row r="195" spans="1:67" outlineLevel="1" x14ac:dyDescent="0.35"/>
    <row r="196" spans="1:67" outlineLevel="1" x14ac:dyDescent="0.35">
      <c r="A196" s="72" t="s">
        <v>115</v>
      </c>
    </row>
    <row r="197" spans="1:67" outlineLevel="1" x14ac:dyDescent="0.35">
      <c r="A197" t="s">
        <v>175</v>
      </c>
      <c r="C197" s="42">
        <f>C187+C192</f>
        <v>250000</v>
      </c>
      <c r="D197" s="42">
        <f t="shared" ref="D197:N197" si="206">D187+D192</f>
        <v>245833.33333333334</v>
      </c>
      <c r="E197" s="42">
        <f t="shared" si="206"/>
        <v>241666.66666666669</v>
      </c>
      <c r="F197" s="42">
        <f t="shared" si="206"/>
        <v>237500.00000000003</v>
      </c>
      <c r="G197" s="42">
        <f t="shared" si="206"/>
        <v>233333.33333333337</v>
      </c>
      <c r="H197" s="42">
        <f t="shared" si="206"/>
        <v>229166.66666666672</v>
      </c>
      <c r="I197" s="42">
        <f t="shared" si="206"/>
        <v>225000.00000000006</v>
      </c>
      <c r="J197" s="42">
        <f t="shared" si="206"/>
        <v>220833.3333333334</v>
      </c>
      <c r="K197" s="42">
        <f t="shared" si="206"/>
        <v>216666.66666666674</v>
      </c>
      <c r="L197" s="42">
        <f t="shared" si="206"/>
        <v>212500.00000000009</v>
      </c>
      <c r="M197" s="42">
        <f t="shared" si="206"/>
        <v>208333.33333333343</v>
      </c>
      <c r="N197" s="42">
        <f t="shared" si="206"/>
        <v>204166.66666666677</v>
      </c>
      <c r="P197" s="42">
        <f>P187+P192</f>
        <v>200000.00000000012</v>
      </c>
      <c r="Q197" s="42">
        <f t="shared" ref="Q197:AA197" si="207">Q187+Q192</f>
        <v>195833.33333333346</v>
      </c>
      <c r="R197" s="42">
        <f t="shared" si="207"/>
        <v>191666.6666666668</v>
      </c>
      <c r="S197" s="42">
        <f t="shared" si="207"/>
        <v>187500.00000000015</v>
      </c>
      <c r="T197" s="42">
        <f t="shared" si="207"/>
        <v>183333.33333333349</v>
      </c>
      <c r="U197" s="42">
        <f t="shared" si="207"/>
        <v>179166.66666666683</v>
      </c>
      <c r="V197" s="42">
        <f t="shared" si="207"/>
        <v>175000.00000000017</v>
      </c>
      <c r="W197" s="42">
        <f t="shared" si="207"/>
        <v>170833.33333333352</v>
      </c>
      <c r="X197" s="42">
        <f t="shared" si="207"/>
        <v>166666.66666666686</v>
      </c>
      <c r="Y197" s="42">
        <f t="shared" si="207"/>
        <v>162500.0000000002</v>
      </c>
      <c r="Z197" s="42">
        <f t="shared" si="207"/>
        <v>158333.33333333355</v>
      </c>
      <c r="AA197" s="42">
        <f t="shared" si="207"/>
        <v>154166.66666666689</v>
      </c>
      <c r="AB197" s="128"/>
    </row>
    <row r="198" spans="1:67" outlineLevel="1" x14ac:dyDescent="0.35">
      <c r="A198" t="s">
        <v>176</v>
      </c>
      <c r="C198" s="42">
        <f>C188+C193</f>
        <v>800000</v>
      </c>
      <c r="D198" s="42">
        <f t="shared" ref="D198:N198" si="208">D188+D193</f>
        <v>786666.66666666663</v>
      </c>
      <c r="E198" s="42">
        <f t="shared" si="208"/>
        <v>773333.33333333326</v>
      </c>
      <c r="F198" s="42">
        <f t="shared" si="208"/>
        <v>759999.99999999988</v>
      </c>
      <c r="G198" s="42">
        <f t="shared" si="208"/>
        <v>746666.66666666651</v>
      </c>
      <c r="H198" s="42">
        <f t="shared" si="208"/>
        <v>933333.33333333314</v>
      </c>
      <c r="I198" s="42">
        <f t="shared" si="208"/>
        <v>916666.66666666651</v>
      </c>
      <c r="J198" s="42">
        <f t="shared" si="208"/>
        <v>899999.99999999988</v>
      </c>
      <c r="K198" s="42">
        <f t="shared" si="208"/>
        <v>883333.33333333326</v>
      </c>
      <c r="L198" s="42">
        <f t="shared" si="208"/>
        <v>866666.66666666663</v>
      </c>
      <c r="M198" s="42">
        <f t="shared" si="208"/>
        <v>850000</v>
      </c>
      <c r="N198" s="42">
        <f t="shared" si="208"/>
        <v>833333.33333333337</v>
      </c>
      <c r="P198" s="42">
        <f>P188+P193</f>
        <v>816666.66666666674</v>
      </c>
      <c r="Q198" s="42">
        <f t="shared" ref="Q198:AA198" si="209">Q188+Q193</f>
        <v>800000.00000000012</v>
      </c>
      <c r="R198" s="42">
        <f t="shared" si="209"/>
        <v>783333.33333333349</v>
      </c>
      <c r="S198" s="42">
        <f t="shared" si="209"/>
        <v>1366666.666666667</v>
      </c>
      <c r="T198" s="42">
        <f t="shared" si="209"/>
        <v>1950000.0000000002</v>
      </c>
      <c r="U198" s="42">
        <f t="shared" si="209"/>
        <v>2533333.3333333335</v>
      </c>
      <c r="V198" s="42">
        <f t="shared" si="209"/>
        <v>3116666.666666667</v>
      </c>
      <c r="W198" s="42">
        <f t="shared" si="209"/>
        <v>3700000.0000000005</v>
      </c>
      <c r="X198" s="42">
        <f t="shared" si="209"/>
        <v>4283333.333333334</v>
      </c>
      <c r="Y198" s="42">
        <f t="shared" si="209"/>
        <v>4866666.666666667</v>
      </c>
      <c r="Z198" s="42">
        <f t="shared" si="209"/>
        <v>5450000</v>
      </c>
      <c r="AA198" s="42">
        <f t="shared" si="209"/>
        <v>6033333.333333333</v>
      </c>
      <c r="AB198" s="128"/>
    </row>
    <row r="199" spans="1:67" s="72" customFormat="1" outlineLevel="1" x14ac:dyDescent="0.35">
      <c r="A199" s="72" t="s">
        <v>32</v>
      </c>
      <c r="C199" s="85">
        <f t="shared" ref="C199:N199" si="210">SUM(C197:C198)</f>
        <v>1050000</v>
      </c>
      <c r="D199" s="85">
        <f t="shared" si="210"/>
        <v>1032500</v>
      </c>
      <c r="E199" s="85">
        <f t="shared" si="210"/>
        <v>1015000</v>
      </c>
      <c r="F199" s="85">
        <f t="shared" si="210"/>
        <v>997499.99999999988</v>
      </c>
      <c r="G199" s="85">
        <f t="shared" si="210"/>
        <v>979999.99999999988</v>
      </c>
      <c r="H199" s="85">
        <f t="shared" si="210"/>
        <v>1162499.9999999998</v>
      </c>
      <c r="I199" s="85">
        <f t="shared" si="210"/>
        <v>1141666.6666666665</v>
      </c>
      <c r="J199" s="85">
        <f t="shared" si="210"/>
        <v>1120833.3333333333</v>
      </c>
      <c r="K199" s="85">
        <f t="shared" si="210"/>
        <v>1100000</v>
      </c>
      <c r="L199" s="85">
        <f t="shared" si="210"/>
        <v>1079166.6666666667</v>
      </c>
      <c r="M199" s="85">
        <f t="shared" si="210"/>
        <v>1058333.3333333335</v>
      </c>
      <c r="N199" s="85">
        <f t="shared" si="210"/>
        <v>1037500.0000000001</v>
      </c>
      <c r="O199" s="100"/>
      <c r="P199" s="85">
        <f>SUM(P197:P198)</f>
        <v>1016666.6666666669</v>
      </c>
      <c r="Q199" s="85">
        <f t="shared" ref="Q199:AA199" si="211">SUM(Q197:Q198)</f>
        <v>995833.3333333336</v>
      </c>
      <c r="R199" s="85">
        <f t="shared" si="211"/>
        <v>975000.00000000023</v>
      </c>
      <c r="S199" s="85">
        <f t="shared" si="211"/>
        <v>1554166.6666666672</v>
      </c>
      <c r="T199" s="85">
        <f t="shared" si="211"/>
        <v>2133333.333333334</v>
      </c>
      <c r="U199" s="85">
        <f t="shared" si="211"/>
        <v>2712500.0000000005</v>
      </c>
      <c r="V199" s="85">
        <f t="shared" si="211"/>
        <v>3291666.666666667</v>
      </c>
      <c r="W199" s="85">
        <f t="shared" si="211"/>
        <v>3870833.333333334</v>
      </c>
      <c r="X199" s="85">
        <f t="shared" si="211"/>
        <v>4450000.0000000009</v>
      </c>
      <c r="Y199" s="85">
        <f t="shared" si="211"/>
        <v>5029166.666666667</v>
      </c>
      <c r="Z199" s="85">
        <f t="shared" si="211"/>
        <v>5608333.333333334</v>
      </c>
      <c r="AA199" s="85">
        <f t="shared" si="211"/>
        <v>6187500</v>
      </c>
      <c r="AB199" s="125"/>
      <c r="AO199" s="100"/>
      <c r="BB199" s="100"/>
      <c r="BO199" s="100"/>
    </row>
    <row r="200" spans="1:67" outlineLevel="1" x14ac:dyDescent="0.35"/>
    <row r="201" spans="1:67" outlineLevel="1" x14ac:dyDescent="0.35">
      <c r="A201" s="72" t="s">
        <v>125</v>
      </c>
    </row>
    <row r="202" spans="1:67" outlineLevel="1" x14ac:dyDescent="0.35">
      <c r="A202" s="72" t="s">
        <v>175</v>
      </c>
      <c r="C202" s="55"/>
    </row>
    <row r="203" spans="1:67" outlineLevel="1" x14ac:dyDescent="0.35">
      <c r="A203" t="s">
        <v>230</v>
      </c>
      <c r="C203" s="58">
        <f t="shared" ref="C203:N203" si="212">($C$81/C86)/$B$16</f>
        <v>4166.666666666667</v>
      </c>
      <c r="D203" s="58">
        <f t="shared" si="212"/>
        <v>4166.666666666667</v>
      </c>
      <c r="E203" s="58">
        <f t="shared" si="212"/>
        <v>4166.666666666667</v>
      </c>
      <c r="F203" s="58">
        <f t="shared" si="212"/>
        <v>4166.666666666667</v>
      </c>
      <c r="G203" s="58">
        <f t="shared" si="212"/>
        <v>4166.666666666667</v>
      </c>
      <c r="H203" s="58">
        <f t="shared" si="212"/>
        <v>4166.666666666667</v>
      </c>
      <c r="I203" s="58">
        <f t="shared" si="212"/>
        <v>4166.666666666667</v>
      </c>
      <c r="J203" s="58">
        <f t="shared" si="212"/>
        <v>4166.666666666667</v>
      </c>
      <c r="K203" s="58">
        <f t="shared" si="212"/>
        <v>4166.666666666667</v>
      </c>
      <c r="L203" s="58">
        <f t="shared" si="212"/>
        <v>4166.666666666667</v>
      </c>
      <c r="M203" s="58">
        <f t="shared" si="212"/>
        <v>4166.666666666667</v>
      </c>
      <c r="N203" s="58">
        <f t="shared" si="212"/>
        <v>4166.666666666667</v>
      </c>
      <c r="P203" s="58">
        <f>($C$81/P86)/$B$16</f>
        <v>4166.666666666667</v>
      </c>
      <c r="Q203" s="58">
        <f t="shared" ref="Q203:AA203" si="213">($C$81/Q86)/$B$16</f>
        <v>4166.666666666667</v>
      </c>
      <c r="R203" s="58">
        <f t="shared" si="213"/>
        <v>4166.666666666667</v>
      </c>
      <c r="S203" s="58">
        <f t="shared" si="213"/>
        <v>4166.666666666667</v>
      </c>
      <c r="T203" s="58">
        <f t="shared" si="213"/>
        <v>4166.666666666667</v>
      </c>
      <c r="U203" s="58">
        <f t="shared" si="213"/>
        <v>4166.666666666667</v>
      </c>
      <c r="V203" s="58">
        <f t="shared" si="213"/>
        <v>4166.666666666667</v>
      </c>
      <c r="W203" s="58">
        <f t="shared" si="213"/>
        <v>4166.666666666667</v>
      </c>
      <c r="X203" s="58">
        <f t="shared" si="213"/>
        <v>4166.666666666667</v>
      </c>
      <c r="Y203" s="58">
        <f t="shared" si="213"/>
        <v>4166.666666666667</v>
      </c>
      <c r="Z203" s="58">
        <f t="shared" si="213"/>
        <v>4166.666666666667</v>
      </c>
      <c r="AA203" s="58">
        <f t="shared" si="213"/>
        <v>4166.666666666667</v>
      </c>
      <c r="AB203" s="111"/>
    </row>
    <row r="204" spans="1:67" outlineLevel="1" x14ac:dyDescent="0.35">
      <c r="A204" t="s">
        <v>231</v>
      </c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</row>
    <row r="205" spans="1:67" outlineLevel="1" x14ac:dyDescent="0.35">
      <c r="A205" t="s">
        <v>232</v>
      </c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</row>
    <row r="206" spans="1:67" outlineLevel="1" x14ac:dyDescent="0.35">
      <c r="A206" t="s">
        <v>233</v>
      </c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</row>
    <row r="207" spans="1:67" outlineLevel="1" x14ac:dyDescent="0.35">
      <c r="A207" t="s">
        <v>234</v>
      </c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</row>
    <row r="208" spans="1:67" outlineLevel="1" x14ac:dyDescent="0.35">
      <c r="A208" t="s">
        <v>235</v>
      </c>
      <c r="C208" s="58"/>
      <c r="D208" s="58"/>
      <c r="E208" s="58"/>
      <c r="F208" s="58"/>
      <c r="G208" s="58"/>
    </row>
    <row r="209" spans="1:67" outlineLevel="1" x14ac:dyDescent="0.35">
      <c r="A209" t="s">
        <v>236</v>
      </c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</row>
    <row r="210" spans="1:67" outlineLevel="1" x14ac:dyDescent="0.35">
      <c r="A210" t="s">
        <v>237</v>
      </c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</row>
    <row r="211" spans="1:67" outlineLevel="1" x14ac:dyDescent="0.35">
      <c r="A211" t="s">
        <v>238</v>
      </c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</row>
    <row r="212" spans="1:67" outlineLevel="1" x14ac:dyDescent="0.35">
      <c r="A212" t="s">
        <v>239</v>
      </c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</row>
    <row r="213" spans="1:67" outlineLevel="1" x14ac:dyDescent="0.35">
      <c r="A213" t="s">
        <v>240</v>
      </c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</row>
    <row r="214" spans="1:67" outlineLevel="1" x14ac:dyDescent="0.35">
      <c r="A214" t="s">
        <v>241</v>
      </c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</row>
    <row r="215" spans="1:67" s="72" customFormat="1" outlineLevel="1" x14ac:dyDescent="0.35">
      <c r="A215" s="72" t="s">
        <v>115</v>
      </c>
      <c r="C215" s="90">
        <f t="shared" ref="C215:N215" si="214">SUM(C203:C214)</f>
        <v>4166.666666666667</v>
      </c>
      <c r="D215" s="90">
        <f t="shared" si="214"/>
        <v>4166.666666666667</v>
      </c>
      <c r="E215" s="90">
        <f t="shared" si="214"/>
        <v>4166.666666666667</v>
      </c>
      <c r="F215" s="90">
        <f t="shared" si="214"/>
        <v>4166.666666666667</v>
      </c>
      <c r="G215" s="90">
        <f t="shared" si="214"/>
        <v>4166.666666666667</v>
      </c>
      <c r="H215" s="90">
        <f t="shared" si="214"/>
        <v>4166.666666666667</v>
      </c>
      <c r="I215" s="90">
        <f t="shared" si="214"/>
        <v>4166.666666666667</v>
      </c>
      <c r="J215" s="90">
        <f t="shared" si="214"/>
        <v>4166.666666666667</v>
      </c>
      <c r="K215" s="90">
        <f t="shared" si="214"/>
        <v>4166.666666666667</v>
      </c>
      <c r="L215" s="90">
        <f t="shared" si="214"/>
        <v>4166.666666666667</v>
      </c>
      <c r="M215" s="90">
        <f t="shared" si="214"/>
        <v>4166.666666666667</v>
      </c>
      <c r="N215" s="90">
        <f t="shared" si="214"/>
        <v>4166.666666666667</v>
      </c>
      <c r="O215" s="100"/>
      <c r="P215" s="90">
        <f>SUM(P203:P214)</f>
        <v>4166.666666666667</v>
      </c>
      <c r="Q215" s="90">
        <f t="shared" ref="Q215:AA215" si="215">SUM(Q203:Q214)</f>
        <v>4166.666666666667</v>
      </c>
      <c r="R215" s="90">
        <f t="shared" si="215"/>
        <v>4166.666666666667</v>
      </c>
      <c r="S215" s="90">
        <f t="shared" si="215"/>
        <v>4166.666666666667</v>
      </c>
      <c r="T215" s="90">
        <f t="shared" si="215"/>
        <v>4166.666666666667</v>
      </c>
      <c r="U215" s="90">
        <f t="shared" si="215"/>
        <v>4166.666666666667</v>
      </c>
      <c r="V215" s="90">
        <f t="shared" si="215"/>
        <v>4166.666666666667</v>
      </c>
      <c r="W215" s="90">
        <f t="shared" si="215"/>
        <v>4166.666666666667</v>
      </c>
      <c r="X215" s="90">
        <f t="shared" si="215"/>
        <v>4166.666666666667</v>
      </c>
      <c r="Y215" s="90">
        <f t="shared" si="215"/>
        <v>4166.666666666667</v>
      </c>
      <c r="Z215" s="90">
        <f t="shared" si="215"/>
        <v>4166.666666666667</v>
      </c>
      <c r="AA215" s="90">
        <f t="shared" si="215"/>
        <v>4166.666666666667</v>
      </c>
      <c r="AB215" s="129"/>
      <c r="AO215" s="100"/>
      <c r="BB215" s="100"/>
      <c r="BO215" s="100"/>
    </row>
    <row r="216" spans="1:67" outlineLevel="1" x14ac:dyDescent="0.35"/>
    <row r="217" spans="1:67" outlineLevel="1" x14ac:dyDescent="0.35">
      <c r="A217" s="72" t="s">
        <v>176</v>
      </c>
    </row>
    <row r="218" spans="1:67" outlineLevel="1" x14ac:dyDescent="0.35">
      <c r="A218" t="s">
        <v>230</v>
      </c>
      <c r="C218" s="58">
        <f t="shared" ref="C218:N218" si="216">($C$82/C87)/$B$16</f>
        <v>13333.333333333334</v>
      </c>
      <c r="D218" s="58">
        <f t="shared" si="216"/>
        <v>13333.333333333334</v>
      </c>
      <c r="E218" s="58">
        <f t="shared" si="216"/>
        <v>13333.333333333334</v>
      </c>
      <c r="F218" s="58">
        <f t="shared" si="216"/>
        <v>13333.333333333334</v>
      </c>
      <c r="G218" s="58">
        <f t="shared" si="216"/>
        <v>13333.333333333334</v>
      </c>
      <c r="H218" s="58">
        <f t="shared" si="216"/>
        <v>13333.333333333334</v>
      </c>
      <c r="I218" s="58">
        <f t="shared" si="216"/>
        <v>13333.333333333334</v>
      </c>
      <c r="J218" s="58">
        <f t="shared" si="216"/>
        <v>13333.333333333334</v>
      </c>
      <c r="K218" s="58">
        <f t="shared" si="216"/>
        <v>13333.333333333334</v>
      </c>
      <c r="L218" s="58">
        <f t="shared" si="216"/>
        <v>13333.333333333334</v>
      </c>
      <c r="M218" s="58">
        <f t="shared" si="216"/>
        <v>13333.333333333334</v>
      </c>
      <c r="N218" s="58">
        <f t="shared" si="216"/>
        <v>13333.333333333334</v>
      </c>
      <c r="P218" s="58">
        <f>($C$82/P87)/$B$16</f>
        <v>13333.333333333334</v>
      </c>
      <c r="Q218" s="58">
        <f t="shared" ref="Q218:AA218" si="217">($C$82/Q87)/$B$16</f>
        <v>13333.333333333334</v>
      </c>
      <c r="R218" s="58">
        <f t="shared" si="217"/>
        <v>13333.333333333334</v>
      </c>
      <c r="S218" s="58">
        <f t="shared" si="217"/>
        <v>13333.333333333334</v>
      </c>
      <c r="T218" s="58">
        <f t="shared" si="217"/>
        <v>13333.333333333334</v>
      </c>
      <c r="U218" s="58">
        <f t="shared" si="217"/>
        <v>13333.333333333334</v>
      </c>
      <c r="V218" s="58">
        <f t="shared" si="217"/>
        <v>13333.333333333334</v>
      </c>
      <c r="W218" s="58">
        <f t="shared" si="217"/>
        <v>13333.333333333334</v>
      </c>
      <c r="X218" s="58">
        <f t="shared" si="217"/>
        <v>13333.333333333334</v>
      </c>
      <c r="Y218" s="58">
        <f t="shared" si="217"/>
        <v>13333.333333333334</v>
      </c>
      <c r="Z218" s="58">
        <f t="shared" si="217"/>
        <v>13333.333333333334</v>
      </c>
      <c r="AA218" s="58">
        <f t="shared" si="217"/>
        <v>13333.333333333334</v>
      </c>
      <c r="AB218" s="111"/>
    </row>
    <row r="219" spans="1:67" outlineLevel="1" x14ac:dyDescent="0.35">
      <c r="A219" t="s">
        <v>231</v>
      </c>
    </row>
    <row r="220" spans="1:67" outlineLevel="1" x14ac:dyDescent="0.35">
      <c r="A220" t="s">
        <v>232</v>
      </c>
    </row>
    <row r="221" spans="1:67" outlineLevel="1" x14ac:dyDescent="0.35">
      <c r="A221" t="s">
        <v>233</v>
      </c>
    </row>
    <row r="222" spans="1:67" outlineLevel="1" x14ac:dyDescent="0.35">
      <c r="A222" t="s">
        <v>234</v>
      </c>
    </row>
    <row r="223" spans="1:67" outlineLevel="1" x14ac:dyDescent="0.35">
      <c r="A223" t="s">
        <v>235</v>
      </c>
      <c r="H223" s="58">
        <f t="shared" ref="H223:N223" si="218">($H$82/H87)/$B$16</f>
        <v>3333.3333333333335</v>
      </c>
      <c r="I223" s="58">
        <f t="shared" si="218"/>
        <v>3333.3333333333335</v>
      </c>
      <c r="J223" s="58">
        <f t="shared" si="218"/>
        <v>3333.3333333333335</v>
      </c>
      <c r="K223" s="58">
        <f t="shared" si="218"/>
        <v>3333.3333333333335</v>
      </c>
      <c r="L223" s="58">
        <f t="shared" si="218"/>
        <v>3333.3333333333335</v>
      </c>
      <c r="M223" s="58">
        <f t="shared" si="218"/>
        <v>3333.3333333333335</v>
      </c>
      <c r="N223" s="58">
        <f t="shared" si="218"/>
        <v>3333.3333333333335</v>
      </c>
      <c r="P223" s="58">
        <f>($H$82/P87)/$B$16</f>
        <v>3333.3333333333335</v>
      </c>
      <c r="Q223" s="58">
        <f t="shared" ref="Q223:AA223" si="219">($H$82/Q87)/$B$16</f>
        <v>3333.3333333333335</v>
      </c>
      <c r="R223" s="58">
        <f t="shared" si="219"/>
        <v>3333.3333333333335</v>
      </c>
      <c r="S223" s="58">
        <f t="shared" si="219"/>
        <v>3333.3333333333335</v>
      </c>
      <c r="T223" s="58">
        <f t="shared" si="219"/>
        <v>3333.3333333333335</v>
      </c>
      <c r="U223" s="58">
        <f t="shared" si="219"/>
        <v>3333.3333333333335</v>
      </c>
      <c r="V223" s="58">
        <f t="shared" si="219"/>
        <v>3333.3333333333335</v>
      </c>
      <c r="W223" s="58">
        <f t="shared" si="219"/>
        <v>3333.3333333333335</v>
      </c>
      <c r="X223" s="58">
        <f t="shared" si="219"/>
        <v>3333.3333333333335</v>
      </c>
      <c r="Y223" s="58">
        <f t="shared" si="219"/>
        <v>3333.3333333333335</v>
      </c>
      <c r="Z223" s="58">
        <f t="shared" si="219"/>
        <v>3333.3333333333335</v>
      </c>
      <c r="AA223" s="58">
        <f t="shared" si="219"/>
        <v>3333.3333333333335</v>
      </c>
      <c r="AB223" s="111"/>
    </row>
    <row r="224" spans="1:67" outlineLevel="1" x14ac:dyDescent="0.35">
      <c r="A224" t="s">
        <v>236</v>
      </c>
    </row>
    <row r="225" spans="1:67" outlineLevel="1" x14ac:dyDescent="0.35">
      <c r="A225" t="s">
        <v>237</v>
      </c>
    </row>
    <row r="226" spans="1:67" outlineLevel="1" x14ac:dyDescent="0.35">
      <c r="A226" t="s">
        <v>238</v>
      </c>
    </row>
    <row r="227" spans="1:67" outlineLevel="1" x14ac:dyDescent="0.35">
      <c r="A227" t="s">
        <v>239</v>
      </c>
    </row>
    <row r="228" spans="1:67" outlineLevel="1" x14ac:dyDescent="0.35">
      <c r="A228" t="s">
        <v>240</v>
      </c>
    </row>
    <row r="229" spans="1:67" outlineLevel="1" x14ac:dyDescent="0.35">
      <c r="A229" t="s">
        <v>241</v>
      </c>
    </row>
    <row r="230" spans="1:67" s="72" customFormat="1" outlineLevel="1" x14ac:dyDescent="0.35">
      <c r="A230" s="72" t="s">
        <v>115</v>
      </c>
      <c r="C230" s="90">
        <f t="shared" ref="C230:N230" si="220">SUM(C218:C229)</f>
        <v>13333.333333333334</v>
      </c>
      <c r="D230" s="90">
        <f t="shared" si="220"/>
        <v>13333.333333333334</v>
      </c>
      <c r="E230" s="90">
        <f t="shared" si="220"/>
        <v>13333.333333333334</v>
      </c>
      <c r="F230" s="90">
        <f t="shared" si="220"/>
        <v>13333.333333333334</v>
      </c>
      <c r="G230" s="90">
        <f t="shared" si="220"/>
        <v>13333.333333333334</v>
      </c>
      <c r="H230" s="90">
        <f t="shared" si="220"/>
        <v>16666.666666666668</v>
      </c>
      <c r="I230" s="90">
        <f t="shared" si="220"/>
        <v>16666.666666666668</v>
      </c>
      <c r="J230" s="90">
        <f t="shared" si="220"/>
        <v>16666.666666666668</v>
      </c>
      <c r="K230" s="90">
        <f t="shared" si="220"/>
        <v>16666.666666666668</v>
      </c>
      <c r="L230" s="90">
        <f t="shared" si="220"/>
        <v>16666.666666666668</v>
      </c>
      <c r="M230" s="90">
        <f t="shared" si="220"/>
        <v>16666.666666666668</v>
      </c>
      <c r="N230" s="90">
        <f t="shared" si="220"/>
        <v>16666.666666666668</v>
      </c>
      <c r="O230" s="100"/>
      <c r="P230" s="90">
        <f>SUM(P218:P229)</f>
        <v>16666.666666666668</v>
      </c>
      <c r="Q230" s="90">
        <f t="shared" ref="Q230:AA230" si="221">SUM(Q218:Q229)</f>
        <v>16666.666666666668</v>
      </c>
      <c r="R230" s="90">
        <f t="shared" si="221"/>
        <v>16666.666666666668</v>
      </c>
      <c r="S230" s="90">
        <f t="shared" si="221"/>
        <v>16666.666666666668</v>
      </c>
      <c r="T230" s="90">
        <f t="shared" si="221"/>
        <v>16666.666666666668</v>
      </c>
      <c r="U230" s="90">
        <f t="shared" si="221"/>
        <v>16666.666666666668</v>
      </c>
      <c r="V230" s="90">
        <f t="shared" si="221"/>
        <v>16666.666666666668</v>
      </c>
      <c r="W230" s="90">
        <f t="shared" si="221"/>
        <v>16666.666666666668</v>
      </c>
      <c r="X230" s="90">
        <f t="shared" si="221"/>
        <v>16666.666666666668</v>
      </c>
      <c r="Y230" s="90">
        <f t="shared" si="221"/>
        <v>16666.666666666668</v>
      </c>
      <c r="Z230" s="90">
        <f t="shared" si="221"/>
        <v>16666.666666666668</v>
      </c>
      <c r="AA230" s="90">
        <f t="shared" si="221"/>
        <v>16666.666666666668</v>
      </c>
      <c r="AB230" s="129"/>
      <c r="AO230" s="100"/>
      <c r="BB230" s="100"/>
      <c r="BO230" s="100"/>
    </row>
    <row r="231" spans="1:67" s="56" customFormat="1" outlineLevel="1" x14ac:dyDescent="0.35">
      <c r="A231" s="56" t="s">
        <v>197</v>
      </c>
      <c r="C231" s="57">
        <f>SUM(C215,C230)</f>
        <v>17500</v>
      </c>
      <c r="D231" s="57">
        <f t="shared" ref="D231:N231" si="222">SUM(D215,D230)</f>
        <v>17500</v>
      </c>
      <c r="E231" s="57">
        <f t="shared" si="222"/>
        <v>17500</v>
      </c>
      <c r="F231" s="57">
        <f t="shared" si="222"/>
        <v>17500</v>
      </c>
      <c r="G231" s="57">
        <f t="shared" si="222"/>
        <v>17500</v>
      </c>
      <c r="H231" s="57">
        <f t="shared" si="222"/>
        <v>20833.333333333336</v>
      </c>
      <c r="I231" s="57">
        <f t="shared" si="222"/>
        <v>20833.333333333336</v>
      </c>
      <c r="J231" s="57">
        <f t="shared" si="222"/>
        <v>20833.333333333336</v>
      </c>
      <c r="K231" s="57">
        <f t="shared" si="222"/>
        <v>20833.333333333336</v>
      </c>
      <c r="L231" s="57">
        <f t="shared" si="222"/>
        <v>20833.333333333336</v>
      </c>
      <c r="M231" s="57">
        <f t="shared" si="222"/>
        <v>20833.333333333336</v>
      </c>
      <c r="N231" s="57">
        <f t="shared" si="222"/>
        <v>20833.333333333336</v>
      </c>
      <c r="O231" s="102"/>
      <c r="P231" s="57">
        <f>SUM(P215,P230)</f>
        <v>20833.333333333336</v>
      </c>
      <c r="Q231" s="57">
        <f t="shared" ref="Q231:AA231" si="223">SUM(Q215,Q230)</f>
        <v>20833.333333333336</v>
      </c>
      <c r="R231" s="57">
        <f t="shared" si="223"/>
        <v>20833.333333333336</v>
      </c>
      <c r="S231" s="57">
        <f t="shared" si="223"/>
        <v>20833.333333333336</v>
      </c>
      <c r="T231" s="57">
        <f t="shared" si="223"/>
        <v>20833.333333333336</v>
      </c>
      <c r="U231" s="57">
        <f t="shared" si="223"/>
        <v>20833.333333333336</v>
      </c>
      <c r="V231" s="57">
        <f t="shared" si="223"/>
        <v>20833.333333333336</v>
      </c>
      <c r="W231" s="57">
        <f t="shared" si="223"/>
        <v>20833.333333333336</v>
      </c>
      <c r="X231" s="57">
        <f t="shared" si="223"/>
        <v>20833.333333333336</v>
      </c>
      <c r="Y231" s="57">
        <f t="shared" si="223"/>
        <v>20833.333333333336</v>
      </c>
      <c r="Z231" s="57">
        <f t="shared" si="223"/>
        <v>20833.333333333336</v>
      </c>
      <c r="AA231" s="57">
        <f t="shared" si="223"/>
        <v>20833.333333333336</v>
      </c>
      <c r="AB231" s="103"/>
      <c r="AO231" s="102"/>
      <c r="BB231" s="102"/>
      <c r="BO231" s="102"/>
    </row>
    <row r="232" spans="1:67" outlineLevel="1" x14ac:dyDescent="0.35">
      <c r="A232" s="56" t="s">
        <v>178</v>
      </c>
    </row>
    <row r="233" spans="1:67" outlineLevel="1" x14ac:dyDescent="0.35">
      <c r="A233" t="s">
        <v>175</v>
      </c>
      <c r="C233" s="55">
        <f>C197-C215</f>
        <v>245833.33333333334</v>
      </c>
      <c r="D233" s="55">
        <f t="shared" ref="D233:N233" si="224">D197-D215</f>
        <v>241666.66666666669</v>
      </c>
      <c r="E233" s="55">
        <f t="shared" si="224"/>
        <v>237500.00000000003</v>
      </c>
      <c r="F233" s="55">
        <f t="shared" si="224"/>
        <v>233333.33333333337</v>
      </c>
      <c r="G233" s="55">
        <f t="shared" si="224"/>
        <v>229166.66666666672</v>
      </c>
      <c r="H233" s="55">
        <f t="shared" si="224"/>
        <v>225000.00000000006</v>
      </c>
      <c r="I233" s="55">
        <f t="shared" si="224"/>
        <v>220833.3333333334</v>
      </c>
      <c r="J233" s="55">
        <f t="shared" si="224"/>
        <v>216666.66666666674</v>
      </c>
      <c r="K233" s="55">
        <f t="shared" si="224"/>
        <v>212500.00000000009</v>
      </c>
      <c r="L233" s="55">
        <f t="shared" si="224"/>
        <v>208333.33333333343</v>
      </c>
      <c r="M233" s="55">
        <f t="shared" si="224"/>
        <v>204166.66666666677</v>
      </c>
      <c r="N233" s="55">
        <f t="shared" si="224"/>
        <v>200000.00000000012</v>
      </c>
      <c r="P233" s="55">
        <f>P197-P215</f>
        <v>195833.33333333346</v>
      </c>
      <c r="Q233" s="55">
        <f t="shared" ref="Q233:AA233" si="225">Q197-Q215</f>
        <v>191666.6666666668</v>
      </c>
      <c r="R233" s="55">
        <f t="shared" si="225"/>
        <v>187500.00000000015</v>
      </c>
      <c r="S233" s="55">
        <f t="shared" si="225"/>
        <v>183333.33333333349</v>
      </c>
      <c r="T233" s="55">
        <f t="shared" si="225"/>
        <v>179166.66666666683</v>
      </c>
      <c r="U233" s="55">
        <f t="shared" si="225"/>
        <v>175000.00000000017</v>
      </c>
      <c r="V233" s="55">
        <f t="shared" si="225"/>
        <v>170833.33333333352</v>
      </c>
      <c r="W233" s="55">
        <f t="shared" si="225"/>
        <v>166666.66666666686</v>
      </c>
      <c r="X233" s="55">
        <f t="shared" si="225"/>
        <v>162500.0000000002</v>
      </c>
      <c r="Y233" s="55">
        <f t="shared" si="225"/>
        <v>158333.33333333355</v>
      </c>
      <c r="Z233" s="55">
        <f t="shared" si="225"/>
        <v>154166.66666666689</v>
      </c>
      <c r="AA233" s="55">
        <f t="shared" si="225"/>
        <v>150000.00000000023</v>
      </c>
      <c r="AB233" s="104"/>
    </row>
    <row r="234" spans="1:67" outlineLevel="1" x14ac:dyDescent="0.35">
      <c r="A234" t="s">
        <v>176</v>
      </c>
      <c r="C234" s="55">
        <f>C198-C230</f>
        <v>786666.66666666663</v>
      </c>
      <c r="D234" s="55">
        <f t="shared" ref="D234:N234" si="226">D198-D230</f>
        <v>773333.33333333326</v>
      </c>
      <c r="E234" s="55">
        <f t="shared" si="226"/>
        <v>759999.99999999988</v>
      </c>
      <c r="F234" s="55">
        <f t="shared" si="226"/>
        <v>746666.66666666651</v>
      </c>
      <c r="G234" s="55">
        <f t="shared" si="226"/>
        <v>733333.33333333314</v>
      </c>
      <c r="H234" s="55">
        <f t="shared" si="226"/>
        <v>916666.66666666651</v>
      </c>
      <c r="I234" s="55">
        <f t="shared" si="226"/>
        <v>899999.99999999988</v>
      </c>
      <c r="J234" s="55">
        <f t="shared" si="226"/>
        <v>883333.33333333326</v>
      </c>
      <c r="K234" s="55">
        <f t="shared" si="226"/>
        <v>866666.66666666663</v>
      </c>
      <c r="L234" s="55">
        <f t="shared" si="226"/>
        <v>850000</v>
      </c>
      <c r="M234" s="55">
        <f t="shared" si="226"/>
        <v>833333.33333333337</v>
      </c>
      <c r="N234" s="55">
        <f t="shared" si="226"/>
        <v>816666.66666666674</v>
      </c>
      <c r="P234" s="55">
        <f>P198-P230</f>
        <v>800000.00000000012</v>
      </c>
      <c r="Q234" s="55">
        <f t="shared" ref="Q234:AA234" si="227">Q198-Q230</f>
        <v>783333.33333333349</v>
      </c>
      <c r="R234" s="55">
        <f t="shared" si="227"/>
        <v>766666.66666666686</v>
      </c>
      <c r="S234" s="55">
        <f t="shared" si="227"/>
        <v>1350000.0000000002</v>
      </c>
      <c r="T234" s="55">
        <f t="shared" si="227"/>
        <v>1933333.3333333335</v>
      </c>
      <c r="U234" s="55">
        <f t="shared" si="227"/>
        <v>2516666.666666667</v>
      </c>
      <c r="V234" s="55">
        <f t="shared" si="227"/>
        <v>3100000.0000000005</v>
      </c>
      <c r="W234" s="55">
        <f t="shared" si="227"/>
        <v>3683333.333333334</v>
      </c>
      <c r="X234" s="55">
        <f t="shared" si="227"/>
        <v>4266666.666666667</v>
      </c>
      <c r="Y234" s="55">
        <f t="shared" si="227"/>
        <v>4850000</v>
      </c>
      <c r="Z234" s="55">
        <f t="shared" si="227"/>
        <v>5433333.333333333</v>
      </c>
      <c r="AA234" s="55">
        <f t="shared" si="227"/>
        <v>6016666.666666666</v>
      </c>
      <c r="AB234" s="104"/>
    </row>
    <row r="235" spans="1:67" s="72" customFormat="1" outlineLevel="1" x14ac:dyDescent="0.35">
      <c r="A235" s="72" t="s">
        <v>32</v>
      </c>
      <c r="C235" s="90">
        <f t="shared" ref="C235:N235" si="228">SUM(C233:C234)</f>
        <v>1032500</v>
      </c>
      <c r="D235" s="90">
        <f t="shared" si="228"/>
        <v>1015000</v>
      </c>
      <c r="E235" s="90">
        <f t="shared" si="228"/>
        <v>997499.99999999988</v>
      </c>
      <c r="F235" s="90">
        <f t="shared" si="228"/>
        <v>979999.99999999988</v>
      </c>
      <c r="G235" s="90">
        <f t="shared" si="228"/>
        <v>962499.99999999988</v>
      </c>
      <c r="H235" s="90">
        <f t="shared" si="228"/>
        <v>1141666.6666666665</v>
      </c>
      <c r="I235" s="90">
        <f t="shared" si="228"/>
        <v>1120833.3333333333</v>
      </c>
      <c r="J235" s="90">
        <f t="shared" si="228"/>
        <v>1100000</v>
      </c>
      <c r="K235" s="90">
        <f t="shared" si="228"/>
        <v>1079166.6666666667</v>
      </c>
      <c r="L235" s="90">
        <f t="shared" si="228"/>
        <v>1058333.3333333335</v>
      </c>
      <c r="M235" s="90">
        <f t="shared" si="228"/>
        <v>1037500.0000000001</v>
      </c>
      <c r="N235" s="90">
        <f t="shared" si="228"/>
        <v>1016666.6666666669</v>
      </c>
      <c r="O235" s="100"/>
      <c r="P235" s="90">
        <f>SUM(P233:P234)</f>
        <v>995833.3333333336</v>
      </c>
      <c r="Q235" s="90">
        <f t="shared" ref="Q235:AA235" si="229">SUM(Q233:Q234)</f>
        <v>975000.00000000023</v>
      </c>
      <c r="R235" s="90">
        <f t="shared" si="229"/>
        <v>954166.66666666698</v>
      </c>
      <c r="S235" s="90">
        <f t="shared" si="229"/>
        <v>1533333.3333333337</v>
      </c>
      <c r="T235" s="90">
        <f t="shared" si="229"/>
        <v>2112500.0000000005</v>
      </c>
      <c r="U235" s="90">
        <f t="shared" si="229"/>
        <v>2691666.666666667</v>
      </c>
      <c r="V235" s="90">
        <f t="shared" si="229"/>
        <v>3270833.333333334</v>
      </c>
      <c r="W235" s="90">
        <f t="shared" si="229"/>
        <v>3850000.0000000009</v>
      </c>
      <c r="X235" s="90">
        <f t="shared" si="229"/>
        <v>4429166.666666667</v>
      </c>
      <c r="Y235" s="90">
        <f t="shared" si="229"/>
        <v>5008333.333333334</v>
      </c>
      <c r="Z235" s="90">
        <f t="shared" si="229"/>
        <v>5587500</v>
      </c>
      <c r="AA235" s="90">
        <f t="shared" si="229"/>
        <v>6166666.666666666</v>
      </c>
      <c r="AB235" s="129"/>
      <c r="AO235" s="100"/>
      <c r="BB235" s="100"/>
      <c r="BO235" s="100"/>
    </row>
    <row r="236" spans="1:67" outlineLevel="1" x14ac:dyDescent="0.35">
      <c r="A236" s="56" t="s">
        <v>179</v>
      </c>
      <c r="C236" s="55"/>
    </row>
    <row r="237" spans="1:67" outlineLevel="1" x14ac:dyDescent="0.35">
      <c r="A237" t="s">
        <v>174</v>
      </c>
      <c r="C237">
        <f>B239</f>
        <v>0</v>
      </c>
      <c r="D237" s="58">
        <f t="shared" ref="D237:N237" si="230">C239</f>
        <v>1500000</v>
      </c>
      <c r="E237" s="58">
        <f t="shared" si="230"/>
        <v>1500000</v>
      </c>
      <c r="F237" s="58">
        <f t="shared" si="230"/>
        <v>1500000</v>
      </c>
      <c r="G237" s="58">
        <f t="shared" si="230"/>
        <v>1500000</v>
      </c>
      <c r="H237" s="58">
        <f t="shared" si="230"/>
        <v>1500000</v>
      </c>
      <c r="I237" s="58">
        <f t="shared" si="230"/>
        <v>1500000</v>
      </c>
      <c r="J237" s="58">
        <f t="shared" si="230"/>
        <v>1500000</v>
      </c>
      <c r="K237" s="58">
        <f t="shared" si="230"/>
        <v>1500000</v>
      </c>
      <c r="L237" s="58">
        <f t="shared" si="230"/>
        <v>1500000</v>
      </c>
      <c r="M237" s="58">
        <f t="shared" si="230"/>
        <v>1500000</v>
      </c>
      <c r="N237" s="58">
        <f t="shared" si="230"/>
        <v>1500000</v>
      </c>
      <c r="P237" s="58">
        <f>N239</f>
        <v>1500000</v>
      </c>
      <c r="Q237" s="58">
        <f t="shared" ref="Q237:AA237" si="231">P239</f>
        <v>1500000</v>
      </c>
      <c r="R237" s="58">
        <f t="shared" si="231"/>
        <v>1500000</v>
      </c>
      <c r="S237" s="58">
        <f t="shared" si="231"/>
        <v>3500000</v>
      </c>
      <c r="T237" s="58">
        <f t="shared" si="231"/>
        <v>3500000</v>
      </c>
      <c r="U237" s="58">
        <f t="shared" si="231"/>
        <v>3500000</v>
      </c>
      <c r="V237" s="58">
        <f t="shared" si="231"/>
        <v>3500000</v>
      </c>
      <c r="W237" s="58">
        <f t="shared" si="231"/>
        <v>3500000</v>
      </c>
      <c r="X237" s="58">
        <f t="shared" si="231"/>
        <v>3500000</v>
      </c>
      <c r="Y237" s="58">
        <f t="shared" si="231"/>
        <v>3500000</v>
      </c>
      <c r="Z237" s="58">
        <f t="shared" si="231"/>
        <v>3500000</v>
      </c>
      <c r="AA237" s="58">
        <f t="shared" si="231"/>
        <v>3500000</v>
      </c>
      <c r="AB237" s="111"/>
    </row>
    <row r="238" spans="1:67" outlineLevel="1" x14ac:dyDescent="0.35">
      <c r="A238" t="s">
        <v>127</v>
      </c>
      <c r="C238" s="42">
        <f t="shared" ref="C238:N238" si="232">C91</f>
        <v>1500000</v>
      </c>
      <c r="D238" s="42">
        <f t="shared" si="232"/>
        <v>0</v>
      </c>
      <c r="E238" s="42">
        <f t="shared" si="232"/>
        <v>0</v>
      </c>
      <c r="F238" s="42">
        <f t="shared" si="232"/>
        <v>0</v>
      </c>
      <c r="G238" s="42">
        <f t="shared" si="232"/>
        <v>0</v>
      </c>
      <c r="H238" s="42">
        <f t="shared" si="232"/>
        <v>0</v>
      </c>
      <c r="I238" s="42">
        <f t="shared" si="232"/>
        <v>0</v>
      </c>
      <c r="J238" s="42">
        <f t="shared" si="232"/>
        <v>0</v>
      </c>
      <c r="K238" s="42">
        <f t="shared" si="232"/>
        <v>0</v>
      </c>
      <c r="L238" s="42">
        <f t="shared" si="232"/>
        <v>0</v>
      </c>
      <c r="M238" s="42">
        <f t="shared" si="232"/>
        <v>0</v>
      </c>
      <c r="N238" s="42">
        <f t="shared" si="232"/>
        <v>0</v>
      </c>
      <c r="P238" s="42">
        <f>P91</f>
        <v>0</v>
      </c>
      <c r="Q238" s="42">
        <f t="shared" ref="Q238:AA238" si="233">Q91</f>
        <v>0</v>
      </c>
      <c r="R238" s="42">
        <f t="shared" si="233"/>
        <v>2000000</v>
      </c>
      <c r="S238" s="42">
        <f t="shared" si="233"/>
        <v>0</v>
      </c>
      <c r="T238" s="42">
        <f t="shared" si="233"/>
        <v>0</v>
      </c>
      <c r="U238" s="42">
        <f t="shared" si="233"/>
        <v>0</v>
      </c>
      <c r="V238" s="42">
        <f t="shared" si="233"/>
        <v>0</v>
      </c>
      <c r="W238" s="42">
        <f t="shared" si="233"/>
        <v>0</v>
      </c>
      <c r="X238" s="42">
        <f t="shared" si="233"/>
        <v>0</v>
      </c>
      <c r="Y238" s="42">
        <f t="shared" si="233"/>
        <v>0</v>
      </c>
      <c r="Z238" s="42">
        <f t="shared" si="233"/>
        <v>0</v>
      </c>
      <c r="AA238" s="42">
        <f t="shared" si="233"/>
        <v>0</v>
      </c>
      <c r="AB238" s="128"/>
    </row>
    <row r="239" spans="1:67" s="72" customFormat="1" outlineLevel="1" x14ac:dyDescent="0.35">
      <c r="A239" s="72" t="s">
        <v>178</v>
      </c>
      <c r="C239" s="79">
        <f t="shared" ref="C239:N239" si="234">SUM(C237:C238)</f>
        <v>1500000</v>
      </c>
      <c r="D239" s="79">
        <f t="shared" si="234"/>
        <v>1500000</v>
      </c>
      <c r="E239" s="79">
        <f t="shared" si="234"/>
        <v>1500000</v>
      </c>
      <c r="F239" s="79">
        <f t="shared" si="234"/>
        <v>1500000</v>
      </c>
      <c r="G239" s="79">
        <f t="shared" si="234"/>
        <v>1500000</v>
      </c>
      <c r="H239" s="79">
        <f t="shared" si="234"/>
        <v>1500000</v>
      </c>
      <c r="I239" s="79">
        <f t="shared" si="234"/>
        <v>1500000</v>
      </c>
      <c r="J239" s="79">
        <f t="shared" si="234"/>
        <v>1500000</v>
      </c>
      <c r="K239" s="79">
        <f t="shared" si="234"/>
        <v>1500000</v>
      </c>
      <c r="L239" s="79">
        <f t="shared" si="234"/>
        <v>1500000</v>
      </c>
      <c r="M239" s="79">
        <f t="shared" si="234"/>
        <v>1500000</v>
      </c>
      <c r="N239" s="79">
        <f t="shared" si="234"/>
        <v>1500000</v>
      </c>
      <c r="O239" s="100"/>
      <c r="P239" s="79">
        <f>SUM(P237:P238)</f>
        <v>1500000</v>
      </c>
      <c r="Q239" s="79">
        <f t="shared" ref="Q239:AA239" si="235">SUM(Q237:Q238)</f>
        <v>1500000</v>
      </c>
      <c r="R239" s="79">
        <f t="shared" si="235"/>
        <v>3500000</v>
      </c>
      <c r="S239" s="79">
        <f t="shared" si="235"/>
        <v>3500000</v>
      </c>
      <c r="T239" s="79">
        <f t="shared" si="235"/>
        <v>3500000</v>
      </c>
      <c r="U239" s="79">
        <f t="shared" si="235"/>
        <v>3500000</v>
      </c>
      <c r="V239" s="79">
        <f t="shared" si="235"/>
        <v>3500000</v>
      </c>
      <c r="W239" s="79">
        <f t="shared" si="235"/>
        <v>3500000</v>
      </c>
      <c r="X239" s="79">
        <f t="shared" si="235"/>
        <v>3500000</v>
      </c>
      <c r="Y239" s="79">
        <f t="shared" si="235"/>
        <v>3500000</v>
      </c>
      <c r="Z239" s="79">
        <f t="shared" si="235"/>
        <v>3500000</v>
      </c>
      <c r="AA239" s="79">
        <f t="shared" si="235"/>
        <v>3500000</v>
      </c>
      <c r="AB239" s="115"/>
      <c r="AO239" s="100"/>
      <c r="BB239" s="100"/>
      <c r="BO239" s="100"/>
    </row>
    <row r="240" spans="1:67" outlineLevel="1" x14ac:dyDescent="0.35">
      <c r="A240" s="56" t="s">
        <v>180</v>
      </c>
      <c r="C240" s="55">
        <f>(C237+C239)/2*(C90)/$B$16</f>
        <v>11250</v>
      </c>
      <c r="D240" s="55">
        <f t="shared" ref="D240:N240" si="236">(D237+D239)/2*(D90)/$B$16</f>
        <v>22500</v>
      </c>
      <c r="E240" s="55">
        <f t="shared" si="236"/>
        <v>22500</v>
      </c>
      <c r="F240" s="55">
        <f t="shared" si="236"/>
        <v>22500</v>
      </c>
      <c r="G240" s="55">
        <f t="shared" si="236"/>
        <v>22500</v>
      </c>
      <c r="H240" s="55">
        <f t="shared" si="236"/>
        <v>22500</v>
      </c>
      <c r="I240" s="55">
        <f t="shared" si="236"/>
        <v>22500</v>
      </c>
      <c r="J240" s="55">
        <f t="shared" si="236"/>
        <v>22500</v>
      </c>
      <c r="K240" s="55">
        <f t="shared" si="236"/>
        <v>22500</v>
      </c>
      <c r="L240" s="55">
        <f t="shared" si="236"/>
        <v>22500</v>
      </c>
      <c r="M240" s="55">
        <f t="shared" si="236"/>
        <v>22500</v>
      </c>
      <c r="N240" s="55">
        <f t="shared" si="236"/>
        <v>22500</v>
      </c>
      <c r="P240" s="55">
        <f>(P237+P239)/2*(P90)/$B$16</f>
        <v>22500</v>
      </c>
      <c r="Q240" s="55">
        <f t="shared" ref="Q240:AA240" si="237">(Q237+Q239)/2*(Q90)/$B$16</f>
        <v>22500</v>
      </c>
      <c r="R240" s="55">
        <f t="shared" si="237"/>
        <v>37500</v>
      </c>
      <c r="S240" s="55">
        <f t="shared" si="237"/>
        <v>52500</v>
      </c>
      <c r="T240" s="55">
        <f t="shared" si="237"/>
        <v>52500</v>
      </c>
      <c r="U240" s="55">
        <f t="shared" si="237"/>
        <v>52500</v>
      </c>
      <c r="V240" s="55">
        <f t="shared" si="237"/>
        <v>52500</v>
      </c>
      <c r="W240" s="55">
        <f t="shared" si="237"/>
        <v>52500</v>
      </c>
      <c r="X240" s="55">
        <f t="shared" si="237"/>
        <v>52500</v>
      </c>
      <c r="Y240" s="55">
        <f t="shared" si="237"/>
        <v>52500</v>
      </c>
      <c r="Z240" s="55">
        <f t="shared" si="237"/>
        <v>52500</v>
      </c>
      <c r="AA240" s="55">
        <f t="shared" si="237"/>
        <v>52500</v>
      </c>
      <c r="AB240" s="104"/>
    </row>
    <row r="241" spans="3:3" outlineLevel="1" x14ac:dyDescent="0.35">
      <c r="C241" s="55"/>
    </row>
    <row r="242" spans="3:3" outlineLevel="1" x14ac:dyDescent="0.35"/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16FB-FFA2-4D22-A7B9-E8AD91F73660}">
  <dimension ref="A1:BO43"/>
  <sheetViews>
    <sheetView topLeftCell="A20" workbookViewId="0">
      <selection activeCell="B31" sqref="B31"/>
    </sheetView>
  </sheetViews>
  <sheetFormatPr defaultRowHeight="14.5" x14ac:dyDescent="0.35"/>
  <cols>
    <col min="1" max="1" width="28.36328125" customWidth="1"/>
    <col min="2" max="2" width="6.54296875" customWidth="1"/>
    <col min="3" max="3" width="14.7265625" bestFit="1" customWidth="1"/>
    <col min="4" max="4" width="13.81640625" bestFit="1" customWidth="1"/>
    <col min="5" max="5" width="12.54296875" bestFit="1" customWidth="1"/>
    <col min="6" max="8" width="11.453125" bestFit="1" customWidth="1"/>
    <col min="9" max="13" width="10.453125" bestFit="1" customWidth="1"/>
    <col min="14" max="14" width="9.36328125" bestFit="1" customWidth="1"/>
  </cols>
  <sheetData>
    <row r="1" spans="1:67" s="70" customFormat="1" collapsed="1" x14ac:dyDescent="0.35">
      <c r="A1" s="70" t="s">
        <v>134</v>
      </c>
      <c r="C1" s="69" t="s">
        <v>230</v>
      </c>
      <c r="D1" s="69" t="s">
        <v>231</v>
      </c>
      <c r="E1" s="69" t="s">
        <v>232</v>
      </c>
      <c r="F1" s="69" t="s">
        <v>233</v>
      </c>
      <c r="G1" s="69" t="s">
        <v>234</v>
      </c>
      <c r="H1" s="69" t="s">
        <v>235</v>
      </c>
      <c r="I1" s="69" t="s">
        <v>236</v>
      </c>
      <c r="J1" s="69" t="s">
        <v>237</v>
      </c>
      <c r="K1" s="69" t="s">
        <v>238</v>
      </c>
      <c r="L1" s="69" t="s">
        <v>239</v>
      </c>
      <c r="M1" s="69" t="s">
        <v>240</v>
      </c>
      <c r="N1" s="69" t="s">
        <v>241</v>
      </c>
      <c r="O1" s="105">
        <v>2024</v>
      </c>
      <c r="P1" s="69" t="s">
        <v>230</v>
      </c>
      <c r="Q1" s="69" t="s">
        <v>231</v>
      </c>
      <c r="R1" s="69" t="s">
        <v>232</v>
      </c>
      <c r="S1" s="69" t="s">
        <v>233</v>
      </c>
      <c r="T1" s="69" t="s">
        <v>234</v>
      </c>
      <c r="U1" s="69" t="s">
        <v>235</v>
      </c>
      <c r="V1" s="69" t="s">
        <v>236</v>
      </c>
      <c r="W1" s="69" t="s">
        <v>237</v>
      </c>
      <c r="X1" s="69" t="s">
        <v>238</v>
      </c>
      <c r="Y1" s="69" t="s">
        <v>239</v>
      </c>
      <c r="Z1" s="69" t="s">
        <v>240</v>
      </c>
      <c r="AA1" s="69" t="s">
        <v>241</v>
      </c>
      <c r="AB1" s="105">
        <v>2025</v>
      </c>
      <c r="AO1" s="98"/>
      <c r="BB1" s="98"/>
      <c r="BO1" s="98"/>
    </row>
    <row r="2" spans="1:67" x14ac:dyDescent="0.35">
      <c r="A2" t="s">
        <v>251</v>
      </c>
      <c r="C2">
        <f>(Financials!C110+Financials!C113)/Financials!C24</f>
        <v>585.00000000000011</v>
      </c>
      <c r="D2">
        <f>(Financials!D110+Financials!D113)/Financials!D24</f>
        <v>585</v>
      </c>
      <c r="E2">
        <f>(Financials!E110+Financials!E113)/Financials!E24</f>
        <v>585</v>
      </c>
      <c r="F2">
        <f>(Financials!F110+Financials!F113)/Financials!F24</f>
        <v>585.00000000000011</v>
      </c>
      <c r="G2">
        <f>(Financials!G110+Financials!G113)/Financials!G24</f>
        <v>734.99999999999989</v>
      </c>
      <c r="H2">
        <f>(Financials!H110+Financials!H113)/Financials!H24</f>
        <v>734.99999999999989</v>
      </c>
      <c r="I2">
        <f>(Financials!I110+Financials!I113)/Financials!I24</f>
        <v>734.99999999999989</v>
      </c>
      <c r="J2">
        <f>(Financials!J110+Financials!J113)/Financials!J24</f>
        <v>1034.9999999999993</v>
      </c>
      <c r="K2">
        <f>(Financials!K110+Financials!K113)/Financials!K24</f>
        <v>1034.9999999999995</v>
      </c>
      <c r="L2">
        <f>(Financials!L110+Financials!L113)/Financials!L24</f>
        <v>1034.9999999999995</v>
      </c>
      <c r="M2">
        <f>(Financials!M110+Financials!M113)/Financials!M24</f>
        <v>1034.9999999999995</v>
      </c>
      <c r="N2">
        <f>(Financials!N110+Financials!N113)/Financials!N24</f>
        <v>1034.9999999999998</v>
      </c>
      <c r="O2" s="99"/>
      <c r="AB2" s="99"/>
      <c r="AO2" s="99"/>
      <c r="BB2" s="99"/>
      <c r="BO2" s="99"/>
    </row>
    <row r="3" spans="1:67" x14ac:dyDescent="0.35">
      <c r="A3" t="s">
        <v>252</v>
      </c>
      <c r="C3" s="86">
        <f>'Metrics &amp; Valuation'!C2/Financials!C37</f>
        <v>596.93877551020421</v>
      </c>
      <c r="D3" s="86">
        <f>'Metrics &amp; Valuation'!D2/Financials!D37</f>
        <v>596.9387755102041</v>
      </c>
      <c r="E3" s="86">
        <f>'Metrics &amp; Valuation'!E2/Financials!E37</f>
        <v>596.9387755102041</v>
      </c>
      <c r="F3" s="86">
        <f>'Metrics &amp; Valuation'!F2/Financials!F37</f>
        <v>596.93877551020421</v>
      </c>
      <c r="G3" s="86">
        <f>'Metrics &amp; Valuation'!G2/Financials!G37</f>
        <v>773.68421052631572</v>
      </c>
      <c r="H3" s="86">
        <f>'Metrics &amp; Valuation'!H2/Financials!H37</f>
        <v>773.68421052631572</v>
      </c>
      <c r="I3" s="86">
        <f>'Metrics &amp; Valuation'!I2/Financials!I37</f>
        <v>773.68421052631572</v>
      </c>
      <c r="J3" s="86">
        <f>'Metrics &amp; Valuation'!J2/Financials!J37</f>
        <v>1112.9032258064508</v>
      </c>
      <c r="K3" s="86">
        <f>'Metrics &amp; Valuation'!K2/Financials!K37</f>
        <v>1112.903225806451</v>
      </c>
      <c r="L3" s="86">
        <f>'Metrics &amp; Valuation'!L2/Financials!L37</f>
        <v>1112.903225806451</v>
      </c>
      <c r="M3" s="86">
        <f>'Metrics &amp; Valuation'!M2/Financials!M37</f>
        <v>1112.903225806451</v>
      </c>
      <c r="N3" s="86">
        <f>'Metrics &amp; Valuation'!N2/Financials!N37</f>
        <v>1112.9032258064512</v>
      </c>
      <c r="O3" s="99"/>
      <c r="AB3" s="99"/>
      <c r="AO3" s="99"/>
      <c r="BB3" s="99"/>
      <c r="BO3" s="99"/>
    </row>
    <row r="4" spans="1:67" x14ac:dyDescent="0.35">
      <c r="A4" t="s">
        <v>250</v>
      </c>
      <c r="C4" s="86">
        <f>Financials!C110/(Financials!C23)</f>
        <v>560.00000000000011</v>
      </c>
      <c r="D4" s="86">
        <f>Financials!D110/(Financials!D23)</f>
        <v>140.00000000000003</v>
      </c>
      <c r="E4" s="86">
        <f>Financials!E110/(Financials!E23)</f>
        <v>140</v>
      </c>
      <c r="F4" s="86">
        <f>Financials!F110/(Financials!F23)</f>
        <v>140</v>
      </c>
      <c r="G4" s="86">
        <f>Financials!G110/(Financials!G23)</f>
        <v>112.00000000000003</v>
      </c>
      <c r="H4" s="86">
        <f>Financials!H110/(Financials!H23)</f>
        <v>112</v>
      </c>
      <c r="I4" s="86">
        <f>Financials!I110/(Financials!I23)</f>
        <v>112.00000000000001</v>
      </c>
      <c r="J4" s="86">
        <f>Financials!J110/(Financials!J23)</f>
        <v>93.333333333333329</v>
      </c>
      <c r="K4" s="86">
        <f>Financials!K110/(Financials!K23)</f>
        <v>93.333333333333357</v>
      </c>
      <c r="L4" s="86">
        <f>Financials!L110/(Financials!L23)</f>
        <v>93.333333333333343</v>
      </c>
      <c r="M4" s="86">
        <f>Financials!M110/(Financials!M23)</f>
        <v>93.333333333333357</v>
      </c>
      <c r="N4" s="86">
        <f>Financials!N110/(Financials!N23)</f>
        <v>93.333333333333343</v>
      </c>
      <c r="O4" s="99"/>
      <c r="AB4" s="99"/>
      <c r="AO4" s="99"/>
      <c r="BB4" s="99"/>
      <c r="BO4" s="99"/>
    </row>
    <row r="5" spans="1:67" x14ac:dyDescent="0.35">
      <c r="A5" t="s">
        <v>254</v>
      </c>
      <c r="C5" s="138">
        <f t="shared" ref="C5:N5" si="0">C3/C4</f>
        <v>1.0659620991253644</v>
      </c>
      <c r="D5" s="138">
        <f t="shared" si="0"/>
        <v>4.2638483965014569</v>
      </c>
      <c r="E5" s="138">
        <f t="shared" si="0"/>
        <v>4.2638483965014577</v>
      </c>
      <c r="F5" s="138">
        <f t="shared" si="0"/>
        <v>4.2638483965014586</v>
      </c>
      <c r="G5" s="138">
        <f t="shared" si="0"/>
        <v>6.9078947368421026</v>
      </c>
      <c r="H5" s="138">
        <f t="shared" si="0"/>
        <v>6.9078947368421044</v>
      </c>
      <c r="I5" s="138">
        <f t="shared" si="0"/>
        <v>6.9078947368421035</v>
      </c>
      <c r="J5" s="138">
        <f t="shared" si="0"/>
        <v>11.923963133640544</v>
      </c>
      <c r="K5" s="138">
        <f t="shared" si="0"/>
        <v>11.923963133640543</v>
      </c>
      <c r="L5" s="138">
        <f t="shared" si="0"/>
        <v>11.923963133640546</v>
      </c>
      <c r="M5" s="138">
        <f t="shared" si="0"/>
        <v>11.923963133640543</v>
      </c>
      <c r="N5" s="138">
        <f t="shared" si="0"/>
        <v>11.923963133640548</v>
      </c>
      <c r="O5" s="99"/>
      <c r="AB5" s="99"/>
      <c r="AO5" s="99"/>
      <c r="BB5" s="99"/>
      <c r="BO5" s="99"/>
    </row>
    <row r="6" spans="1:67" x14ac:dyDescent="0.35">
      <c r="A6" t="s">
        <v>253</v>
      </c>
      <c r="C6" s="110">
        <f>C4/C2</f>
        <v>0.95726495726495731</v>
      </c>
      <c r="D6" s="110">
        <f>D4/D2</f>
        <v>0.23931623931623935</v>
      </c>
      <c r="E6" s="110">
        <f t="shared" ref="E6:N6" si="1">E4/E2</f>
        <v>0.23931623931623933</v>
      </c>
      <c r="F6" s="110">
        <f t="shared" si="1"/>
        <v>0.23931623931623927</v>
      </c>
      <c r="G6" s="110">
        <f t="shared" si="1"/>
        <v>0.15238095238095245</v>
      </c>
      <c r="H6" s="110">
        <f t="shared" si="1"/>
        <v>0.15238095238095239</v>
      </c>
      <c r="I6" s="110">
        <f t="shared" si="1"/>
        <v>0.15238095238095242</v>
      </c>
      <c r="J6" s="110">
        <f t="shared" si="1"/>
        <v>9.0177133655394578E-2</v>
      </c>
      <c r="K6" s="110">
        <f t="shared" si="1"/>
        <v>9.0177133655394592E-2</v>
      </c>
      <c r="L6" s="110">
        <f t="shared" si="1"/>
        <v>9.0177133655394578E-2</v>
      </c>
      <c r="M6" s="110">
        <f t="shared" si="1"/>
        <v>9.0177133655394592E-2</v>
      </c>
      <c r="N6" s="110">
        <f t="shared" si="1"/>
        <v>9.0177133655394551E-2</v>
      </c>
      <c r="O6" s="99"/>
      <c r="AB6" s="99"/>
      <c r="AO6" s="99"/>
      <c r="BB6" s="99"/>
      <c r="BO6" s="99"/>
    </row>
    <row r="7" spans="1:67" x14ac:dyDescent="0.35">
      <c r="O7" s="99"/>
      <c r="AB7" s="99"/>
      <c r="AO7" s="99"/>
      <c r="BB7" s="99"/>
      <c r="BO7" s="99"/>
    </row>
    <row r="8" spans="1:67" s="70" customFormat="1" x14ac:dyDescent="0.35">
      <c r="A8" s="70" t="s">
        <v>130</v>
      </c>
      <c r="C8" s="70">
        <v>2024</v>
      </c>
      <c r="D8" s="70">
        <f>C8+1</f>
        <v>2025</v>
      </c>
      <c r="E8" s="69"/>
      <c r="F8" s="69"/>
      <c r="G8" s="69"/>
      <c r="H8" s="69"/>
      <c r="I8" s="69"/>
      <c r="O8" s="98"/>
      <c r="AB8" s="98"/>
      <c r="AO8" s="98"/>
      <c r="BB8" s="98"/>
      <c r="BO8" s="98"/>
    </row>
    <row r="9" spans="1:67" s="70" customFormat="1" x14ac:dyDescent="0.35">
      <c r="A9" s="70" t="s">
        <v>273</v>
      </c>
      <c r="E9" s="69"/>
      <c r="F9" s="69"/>
      <c r="G9" s="69"/>
      <c r="H9" s="69"/>
      <c r="I9" s="69"/>
      <c r="O9" s="98"/>
      <c r="AB9" s="98"/>
      <c r="AO9" s="98"/>
      <c r="BB9" s="98"/>
      <c r="BO9" s="98"/>
    </row>
    <row r="10" spans="1:67" x14ac:dyDescent="0.35">
      <c r="A10" s="130" t="s">
        <v>255</v>
      </c>
      <c r="B10" s="130"/>
      <c r="C10" s="58">
        <f>Financials!O127+Financials!O128</f>
        <v>-4472930.0473429356</v>
      </c>
      <c r="D10" s="58">
        <f>Financials!AB127+Financials!AB128</f>
        <v>3287685.4693404627</v>
      </c>
      <c r="O10" s="99"/>
      <c r="AB10" s="99"/>
      <c r="AO10" s="99"/>
      <c r="BB10" s="99"/>
      <c r="BO10" s="99"/>
    </row>
    <row r="11" spans="1:67" x14ac:dyDescent="0.35">
      <c r="A11" s="130"/>
      <c r="B11" s="130"/>
      <c r="C11" s="58"/>
      <c r="D11" s="58"/>
      <c r="O11" s="99"/>
      <c r="AB11" s="99"/>
      <c r="AO11" s="99"/>
      <c r="BB11" s="99"/>
      <c r="BO11" s="99"/>
    </row>
    <row r="12" spans="1:67" x14ac:dyDescent="0.35">
      <c r="A12" s="134" t="s">
        <v>256</v>
      </c>
      <c r="B12" s="130"/>
      <c r="C12" s="58"/>
      <c r="D12" s="58"/>
      <c r="O12" s="99"/>
      <c r="AB12" s="99"/>
      <c r="AO12" s="99"/>
      <c r="BB12" s="99"/>
      <c r="BO12" s="99"/>
    </row>
    <row r="13" spans="1:67" x14ac:dyDescent="0.35">
      <c r="A13" s="130" t="s">
        <v>174</v>
      </c>
      <c r="B13" s="130"/>
      <c r="C13" s="58">
        <f>B17</f>
        <v>0</v>
      </c>
      <c r="D13" s="58">
        <f>C17</f>
        <v>4472930.0473429356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99"/>
      <c r="AB13" s="99"/>
      <c r="AO13" s="99"/>
      <c r="BB13" s="99"/>
      <c r="BO13" s="99"/>
    </row>
    <row r="14" spans="1:67" x14ac:dyDescent="0.35">
      <c r="A14" s="130" t="s">
        <v>257</v>
      </c>
      <c r="B14" s="130"/>
      <c r="C14" s="58">
        <f>IF(C10&lt;0,ABS(C10),0)</f>
        <v>4472930.0473429356</v>
      </c>
      <c r="D14" s="58">
        <f>IF(D10&lt;0,ABS(D10),0)</f>
        <v>0</v>
      </c>
      <c r="O14" s="99"/>
      <c r="AB14" s="99"/>
      <c r="AO14" s="99"/>
      <c r="BB14" s="99"/>
      <c r="BO14" s="99"/>
    </row>
    <row r="15" spans="1:67" x14ac:dyDescent="0.35">
      <c r="A15" s="135" t="s">
        <v>258</v>
      </c>
      <c r="B15" s="130"/>
      <c r="C15" s="58">
        <f>SUM(C13:C14)</f>
        <v>4472930.0473429356</v>
      </c>
      <c r="D15" s="58">
        <f>SUM(D13:D14)</f>
        <v>4472930.0473429356</v>
      </c>
      <c r="O15" s="99"/>
      <c r="AB15" s="99"/>
      <c r="AO15" s="99"/>
      <c r="BB15" s="99"/>
      <c r="BO15" s="99"/>
    </row>
    <row r="16" spans="1:67" x14ac:dyDescent="0.35">
      <c r="A16" s="130" t="s">
        <v>259</v>
      </c>
      <c r="B16" s="130"/>
      <c r="C16" s="58">
        <f>IF(C10&gt;0,MIN(C15,C10),0)</f>
        <v>0</v>
      </c>
      <c r="D16" s="58">
        <f>IF(D10&gt;0,MIN(D15,D10),0)</f>
        <v>3287685.4693404627</v>
      </c>
      <c r="O16" s="99"/>
      <c r="AB16" s="99"/>
      <c r="AO16" s="99"/>
      <c r="BB16" s="99"/>
      <c r="BO16" s="99"/>
    </row>
    <row r="17" spans="1:67" x14ac:dyDescent="0.35">
      <c r="A17" s="135" t="s">
        <v>178</v>
      </c>
      <c r="B17" s="130"/>
      <c r="C17" s="58">
        <f>C15-C16</f>
        <v>4472930.0473429356</v>
      </c>
      <c r="D17" s="58">
        <f>D15-D16</f>
        <v>1185244.5780024729</v>
      </c>
      <c r="O17" s="99"/>
      <c r="AB17" s="99"/>
      <c r="AO17" s="99"/>
      <c r="BB17" s="99"/>
      <c r="BO17" s="99"/>
    </row>
    <row r="18" spans="1:67" x14ac:dyDescent="0.35">
      <c r="A18" s="130"/>
      <c r="B18" s="130"/>
      <c r="C18" s="58"/>
      <c r="D18" s="58"/>
      <c r="O18" s="99"/>
      <c r="AB18" s="99"/>
      <c r="AO18" s="99"/>
      <c r="BB18" s="99"/>
      <c r="BO18" s="99"/>
    </row>
    <row r="19" spans="1:67" x14ac:dyDescent="0.35">
      <c r="A19" s="134" t="s">
        <v>260</v>
      </c>
      <c r="B19" s="130"/>
      <c r="C19" s="58"/>
      <c r="D19" s="58"/>
      <c r="O19" s="99"/>
      <c r="AB19" s="99"/>
      <c r="AO19" s="99"/>
      <c r="BB19" s="99"/>
      <c r="BO19" s="99"/>
    </row>
    <row r="20" spans="1:67" x14ac:dyDescent="0.35">
      <c r="A20" s="130" t="s">
        <v>186</v>
      </c>
      <c r="B20" s="130"/>
      <c r="C20" s="58">
        <f>Financials!O128</f>
        <v>-4731680.0473429356</v>
      </c>
      <c r="D20" s="58">
        <f>Financials!AB128</f>
        <v>2732685.4693404627</v>
      </c>
      <c r="O20" s="99"/>
      <c r="AB20" s="99"/>
      <c r="AO20" s="99"/>
      <c r="BB20" s="99"/>
      <c r="BO20" s="99"/>
    </row>
    <row r="21" spans="1:67" x14ac:dyDescent="0.35">
      <c r="A21" s="130" t="s">
        <v>185</v>
      </c>
      <c r="B21" s="130"/>
      <c r="C21" s="58">
        <f>Financials!O127</f>
        <v>258750</v>
      </c>
      <c r="D21" s="58">
        <f>Financials!AB127</f>
        <v>555000</v>
      </c>
      <c r="O21" s="99"/>
      <c r="AB21" s="99"/>
      <c r="AO21" s="99"/>
      <c r="BB21" s="99"/>
      <c r="BO21" s="99"/>
    </row>
    <row r="22" spans="1:67" x14ac:dyDescent="0.35">
      <c r="A22" s="135" t="s">
        <v>255</v>
      </c>
      <c r="B22" s="130"/>
      <c r="C22" s="58">
        <f>SUM(C20:C21)</f>
        <v>-4472930.0473429356</v>
      </c>
      <c r="D22" s="58">
        <f>SUM(D20:D21)</f>
        <v>3287685.4693404627</v>
      </c>
      <c r="O22" s="99"/>
      <c r="AB22" s="99"/>
      <c r="AO22" s="99"/>
      <c r="BB22" s="99"/>
      <c r="BO22" s="99"/>
    </row>
    <row r="23" spans="1:67" x14ac:dyDescent="0.35">
      <c r="A23" s="130" t="s">
        <v>261</v>
      </c>
      <c r="B23" s="130"/>
      <c r="C23" s="58">
        <f>Financials!O130</f>
        <v>0</v>
      </c>
      <c r="D23" s="58">
        <f>Financials!AB130</f>
        <v>935653.64248016314</v>
      </c>
      <c r="O23" s="99"/>
      <c r="AB23" s="99"/>
      <c r="AO23" s="99"/>
      <c r="BB23" s="99"/>
      <c r="BO23" s="99"/>
    </row>
    <row r="24" spans="1:67" x14ac:dyDescent="0.35">
      <c r="A24" s="130" t="s">
        <v>262</v>
      </c>
      <c r="B24" s="130"/>
      <c r="C24" s="58">
        <f>Financials!O194</f>
        <v>0</v>
      </c>
      <c r="D24" s="58">
        <f>Financials!AB194</f>
        <v>0</v>
      </c>
      <c r="O24" s="99"/>
      <c r="AB24" s="99"/>
      <c r="AO24" s="99"/>
      <c r="BB24" s="99"/>
      <c r="BO24" s="99"/>
    </row>
    <row r="25" spans="1:67" x14ac:dyDescent="0.35">
      <c r="A25" s="130" t="s">
        <v>263</v>
      </c>
      <c r="B25" s="130"/>
      <c r="C25" s="58">
        <f>Financials!O126</f>
        <v>233333.3333333334</v>
      </c>
      <c r="D25" s="58">
        <f>Financials!AB126</f>
        <v>250000.00000000009</v>
      </c>
      <c r="O25" s="99"/>
      <c r="AB25" s="99"/>
      <c r="AO25" s="99"/>
      <c r="BB25" s="99"/>
      <c r="BO25" s="99"/>
    </row>
    <row r="26" spans="1:67" s="131" customFormat="1" x14ac:dyDescent="0.35">
      <c r="A26" s="130" t="s">
        <v>264</v>
      </c>
      <c r="B26" s="130"/>
      <c r="C26" s="139">
        <f>Financials!O163-Financials!O164+Financials!O165</f>
        <v>2266405.7327316767</v>
      </c>
      <c r="D26" s="139">
        <f>Financials!AB163-Financials!AB164+Financials!AB165</f>
        <v>1152129.7321519158</v>
      </c>
      <c r="E26" s="132"/>
      <c r="F26" s="132"/>
      <c r="G26" s="132"/>
      <c r="H26" s="132"/>
      <c r="I26" s="132"/>
      <c r="O26" s="133"/>
      <c r="AB26" s="133"/>
      <c r="AO26" s="133"/>
      <c r="BB26" s="133"/>
      <c r="BO26" s="133"/>
    </row>
    <row r="27" spans="1:67" s="56" customFormat="1" x14ac:dyDescent="0.35">
      <c r="A27" s="136" t="s">
        <v>265</v>
      </c>
      <c r="B27" s="134"/>
      <c r="C27" s="91">
        <f>C22-C23-C24+C25-C26</f>
        <v>-6506002.4467412792</v>
      </c>
      <c r="D27" s="91">
        <f>D22-D23-D24+D25-D26</f>
        <v>1449902.0947083835</v>
      </c>
    </row>
    <row r="28" spans="1:67" x14ac:dyDescent="0.35">
      <c r="A28" s="130"/>
      <c r="B28" s="130"/>
    </row>
    <row r="29" spans="1:67" x14ac:dyDescent="0.35">
      <c r="A29" s="134" t="s">
        <v>266</v>
      </c>
      <c r="B29" s="130"/>
      <c r="D29" s="55"/>
    </row>
    <row r="30" spans="1:67" x14ac:dyDescent="0.35">
      <c r="A30" s="130" t="s">
        <v>267</v>
      </c>
      <c r="B30" s="51">
        <f>Financials!B97</f>
        <v>0.2</v>
      </c>
      <c r="C30" s="142">
        <f>NPV(B30,C27:D27)</f>
        <v>-4414792.2509591328</v>
      </c>
      <c r="E30" s="73"/>
    </row>
    <row r="31" spans="1:67" x14ac:dyDescent="0.35">
      <c r="A31" s="130" t="s">
        <v>268</v>
      </c>
      <c r="B31" s="130">
        <f>Financials!B98</f>
        <v>5</v>
      </c>
      <c r="C31" s="137">
        <f>B31*Financials!AB124</f>
        <v>17688427.346702311</v>
      </c>
    </row>
    <row r="32" spans="1:67" x14ac:dyDescent="0.35">
      <c r="A32" s="130" t="s">
        <v>269</v>
      </c>
      <c r="B32" s="130"/>
      <c r="C32" s="143">
        <f>C31/(1+B30)^(COUNTA(C8:D8))</f>
        <v>12283630.101876605</v>
      </c>
      <c r="D32" s="146"/>
    </row>
    <row r="33" spans="1:67" x14ac:dyDescent="0.35">
      <c r="A33" s="134" t="s">
        <v>270</v>
      </c>
      <c r="B33" s="130"/>
      <c r="C33" s="140">
        <f>C30+C32</f>
        <v>7868837.8509174725</v>
      </c>
    </row>
    <row r="34" spans="1:67" x14ac:dyDescent="0.35">
      <c r="A34" s="130"/>
      <c r="B34" s="130"/>
    </row>
    <row r="35" spans="1:67" x14ac:dyDescent="0.35">
      <c r="A35" s="134" t="s">
        <v>272</v>
      </c>
      <c r="B35" s="130"/>
      <c r="C35" s="141">
        <f>C33/Financials!AB101</f>
        <v>0.18592737203138041</v>
      </c>
    </row>
    <row r="36" spans="1:67" x14ac:dyDescent="0.35">
      <c r="A36" s="134"/>
      <c r="B36" s="130"/>
    </row>
    <row r="37" spans="1:67" x14ac:dyDescent="0.35">
      <c r="A37" s="134" t="s">
        <v>271</v>
      </c>
      <c r="B37" s="130"/>
      <c r="C37" s="144">
        <f>1-(Financials!C92/(C33+Financials!C92))</f>
        <v>0.72398152947449113</v>
      </c>
    </row>
    <row r="39" spans="1:67" s="70" customFormat="1" x14ac:dyDescent="0.35">
      <c r="A39" s="70" t="s">
        <v>274</v>
      </c>
      <c r="E39" s="69"/>
      <c r="F39" s="69"/>
      <c r="G39" s="69"/>
      <c r="H39" s="69"/>
      <c r="I39" s="69"/>
      <c r="O39" s="98"/>
      <c r="AB39" s="98"/>
      <c r="AO39" s="98"/>
      <c r="BB39" s="98"/>
      <c r="BO39" s="98"/>
    </row>
    <row r="43" spans="1:67" s="70" customFormat="1" x14ac:dyDescent="0.35">
      <c r="A43" s="70" t="s">
        <v>275</v>
      </c>
      <c r="E43" s="69"/>
      <c r="F43" s="69"/>
      <c r="G43" s="69"/>
      <c r="H43" s="69"/>
      <c r="I43" s="69"/>
      <c r="O43" s="98"/>
      <c r="AB43" s="98"/>
      <c r="AO43" s="98"/>
      <c r="BB43" s="98"/>
      <c r="BO43" s="9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 Structure</vt:lpstr>
      <vt:lpstr>Financials</vt:lpstr>
      <vt:lpstr>Metrics &amp;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Biruk Haregwoin</dc:creator>
  <cp:lastModifiedBy>Biruk Haregwoin</cp:lastModifiedBy>
  <dcterms:created xsi:type="dcterms:W3CDTF">2024-03-13T08:25:16Z</dcterms:created>
  <dcterms:modified xsi:type="dcterms:W3CDTF">2024-05-06T11:28:11Z</dcterms:modified>
</cp:coreProperties>
</file>