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6.xml" ContentType="application/vnd.ms-excel.person+xml"/>
  <Override PartName="/xl/persons/person8.xml" ContentType="application/vnd.ms-excel.person+xml"/>
  <Override PartName="/xl/persons/person5.xml" ContentType="application/vnd.ms-excel.person+xml"/>
  <Override PartName="/xl/persons/person11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2.xml" ContentType="application/vnd.ms-excel.person+xml"/>
  <Override PartName="/xl/persons/person9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7740ffd3fe0520/Documents/"/>
    </mc:Choice>
  </mc:AlternateContent>
  <xr:revisionPtr revIDLastSave="26" documentId="13_ncr:1_{F70CAE41-2E99-4A37-92DD-67EE1912AB48}" xr6:coauthVersionLast="47" xr6:coauthVersionMax="47" xr10:uidLastSave="{0E461ED2-FA28-4E46-A1FE-AD962EC762EB}"/>
  <bookViews>
    <workbookView xWindow="-110" yWindow="-110" windowWidth="19420" windowHeight="10300" activeTab="1" xr2:uid="{D0900459-5095-40CC-818C-09DA9322F224}"/>
  </bookViews>
  <sheets>
    <sheet name="Customer Acquisition" sheetId="1" r:id="rId1"/>
    <sheet name="Assumptions" sheetId="3" r:id="rId2"/>
    <sheet name="Supporting Schedule" sheetId="6" r:id="rId3"/>
    <sheet name="Income Statement" sheetId="2" r:id="rId4"/>
    <sheet name="Outputs" sheetId="4" r:id="rId5"/>
    <sheet name="Cap Table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Z38" i="2"/>
  <c r="V14" i="1"/>
  <c r="J14" i="1"/>
  <c r="I14" i="1"/>
  <c r="H14" i="1"/>
  <c r="G14" i="1"/>
  <c r="F14" i="1"/>
  <c r="D14" i="1"/>
  <c r="B14" i="1"/>
  <c r="C26" i="2"/>
  <c r="C23" i="2"/>
  <c r="C21" i="2"/>
  <c r="C7" i="2"/>
  <c r="C6" i="2"/>
  <c r="C8" i="2" s="1"/>
  <c r="D8" i="2"/>
  <c r="Z17" i="6"/>
  <c r="C23" i="6"/>
  <c r="C17" i="6"/>
  <c r="C16" i="6"/>
  <c r="C15" i="6" s="1"/>
  <c r="C14" i="6"/>
  <c r="C19" i="3"/>
  <c r="C14" i="1"/>
  <c r="D6" i="2" s="1"/>
  <c r="C13" i="1"/>
  <c r="E12" i="1"/>
  <c r="D12" i="1"/>
  <c r="C12" i="1"/>
  <c r="Z38" i="3"/>
  <c r="B7" i="1"/>
  <c r="C22" i="6"/>
  <c r="C36" i="2"/>
  <c r="C37" i="3" s="1"/>
  <c r="C36" i="3" s="1"/>
  <c r="C38" i="3" s="1"/>
  <c r="D35" i="3" s="1"/>
  <c r="D38" i="3" s="1"/>
  <c r="E35" i="3" s="1"/>
  <c r="E38" i="3" s="1"/>
  <c r="F35" i="3" s="1"/>
  <c r="F38" i="3" s="1"/>
  <c r="G35" i="3" s="1"/>
  <c r="G38" i="3" s="1"/>
  <c r="H35" i="3" s="1"/>
  <c r="H38" i="3" s="1"/>
  <c r="I35" i="3" s="1"/>
  <c r="I38" i="3" s="1"/>
  <c r="J35" i="3" s="1"/>
  <c r="J38" i="3" s="1"/>
  <c r="K35" i="3" s="1"/>
  <c r="K38" i="3" s="1"/>
  <c r="L35" i="3" s="1"/>
  <c r="L38" i="3" s="1"/>
  <c r="M35" i="3" s="1"/>
  <c r="M38" i="3" s="1"/>
  <c r="N35" i="3" s="1"/>
  <c r="N38" i="3" s="1"/>
  <c r="O35" i="3" s="1"/>
  <c r="O38" i="3" s="1"/>
  <c r="P35" i="3" s="1"/>
  <c r="P38" i="3" s="1"/>
  <c r="Q35" i="3" s="1"/>
  <c r="Q38" i="3" s="1"/>
  <c r="R35" i="3" s="1"/>
  <c r="R38" i="3" s="1"/>
  <c r="S35" i="3" s="1"/>
  <c r="S38" i="3" s="1"/>
  <c r="T35" i="3" s="1"/>
  <c r="T38" i="3" s="1"/>
  <c r="U35" i="3" s="1"/>
  <c r="U38" i="3" s="1"/>
  <c r="V35" i="3" s="1"/>
  <c r="V38" i="3" s="1"/>
  <c r="W35" i="3" s="1"/>
  <c r="W38" i="3" s="1"/>
  <c r="X35" i="3" s="1"/>
  <c r="X38" i="3" s="1"/>
  <c r="Y35" i="3" s="1"/>
  <c r="Y38" i="3" s="1"/>
  <c r="Z35" i="3" s="1"/>
  <c r="C29" i="2"/>
  <c r="F24" i="2"/>
  <c r="E24" i="2"/>
  <c r="D24" i="2"/>
  <c r="C24" i="2"/>
  <c r="C22" i="2"/>
  <c r="D23" i="6"/>
  <c r="I8" i="6"/>
  <c r="H8" i="6"/>
  <c r="G8" i="6"/>
  <c r="F8" i="6"/>
  <c r="E8" i="6"/>
  <c r="D8" i="6"/>
  <c r="C5" i="3"/>
  <c r="C7" i="1"/>
  <c r="C35" i="3"/>
  <c r="C11" i="6"/>
  <c r="F32" i="3"/>
  <c r="E32" i="3"/>
  <c r="D32" i="3"/>
  <c r="C32" i="3"/>
  <c r="D36" i="2"/>
  <c r="E36" i="2"/>
  <c r="F36" i="2"/>
  <c r="G36" i="2"/>
  <c r="H36" i="2"/>
  <c r="I36" i="2"/>
  <c r="J36" i="2"/>
  <c r="K36" i="2"/>
  <c r="L36" i="2"/>
  <c r="M36" i="2"/>
  <c r="N36" i="2"/>
  <c r="O36" i="2"/>
  <c r="O37" i="3" s="1"/>
  <c r="P36" i="2"/>
  <c r="Q36" i="2"/>
  <c r="R36" i="2"/>
  <c r="S36" i="2"/>
  <c r="T36" i="2"/>
  <c r="U36" i="2"/>
  <c r="V36" i="2"/>
  <c r="W36" i="2"/>
  <c r="X36" i="2"/>
  <c r="Y36" i="2"/>
  <c r="Z36" i="2"/>
  <c r="D13" i="1"/>
  <c r="D7" i="2"/>
  <c r="D21" i="2"/>
  <c r="D22" i="2"/>
  <c r="D23" i="2"/>
  <c r="D26" i="2"/>
  <c r="D29" i="2"/>
  <c r="Y26" i="4"/>
  <c r="X26" i="4"/>
  <c r="V26" i="4"/>
  <c r="W26" i="4"/>
  <c r="O26" i="4"/>
  <c r="P26" i="4"/>
  <c r="Q26" i="4"/>
  <c r="R26" i="4"/>
  <c r="S26" i="4"/>
  <c r="T26" i="4"/>
  <c r="U26" i="4"/>
  <c r="N26" i="4"/>
  <c r="H22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D22" i="6"/>
  <c r="E22" i="6"/>
  <c r="F22" i="6"/>
  <c r="G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D11" i="6"/>
  <c r="E11" i="6"/>
  <c r="F11" i="6"/>
  <c r="G11" i="6"/>
  <c r="H11" i="6"/>
  <c r="I11" i="6"/>
  <c r="J8" i="6"/>
  <c r="J11" i="6"/>
  <c r="K8" i="6"/>
  <c r="K11" i="6"/>
  <c r="L8" i="6"/>
  <c r="L11" i="6"/>
  <c r="M8" i="6"/>
  <c r="M11" i="6"/>
  <c r="N8" i="6"/>
  <c r="N11" i="6"/>
  <c r="O8" i="6"/>
  <c r="O11" i="6"/>
  <c r="P8" i="6"/>
  <c r="P11" i="6"/>
  <c r="Q8" i="6"/>
  <c r="Q11" i="6"/>
  <c r="R8" i="6"/>
  <c r="R11" i="6"/>
  <c r="S8" i="6"/>
  <c r="S11" i="6"/>
  <c r="T8" i="6"/>
  <c r="T11" i="6"/>
  <c r="U8" i="6"/>
  <c r="U11" i="6"/>
  <c r="V8" i="6"/>
  <c r="V11" i="6"/>
  <c r="W8" i="6"/>
  <c r="W11" i="6"/>
  <c r="X8" i="6"/>
  <c r="X11" i="6"/>
  <c r="Y8" i="6"/>
  <c r="Y11" i="6"/>
  <c r="Z8" i="6"/>
  <c r="Z11" i="6"/>
  <c r="Z9" i="6"/>
  <c r="X9" i="6"/>
  <c r="W9" i="6"/>
  <c r="U9" i="6"/>
  <c r="T9" i="6"/>
  <c r="S9" i="6"/>
  <c r="R9" i="6"/>
  <c r="P9" i="6"/>
  <c r="O9" i="6"/>
  <c r="N9" i="6"/>
  <c r="M9" i="6"/>
  <c r="K9" i="6"/>
  <c r="I9" i="6"/>
  <c r="H9" i="6"/>
  <c r="S37" i="3"/>
  <c r="K37" i="3"/>
  <c r="Z31" i="3"/>
  <c r="Z21" i="3"/>
  <c r="Z29" i="2"/>
  <c r="Y31" i="3"/>
  <c r="X31" i="3"/>
  <c r="W31" i="3"/>
  <c r="V31" i="3"/>
  <c r="U31" i="3"/>
  <c r="T31" i="3"/>
  <c r="T21" i="3"/>
  <c r="T29" i="2"/>
  <c r="S31" i="3"/>
  <c r="R31" i="3"/>
  <c r="R21" i="3"/>
  <c r="R29" i="2"/>
  <c r="Q31" i="3"/>
  <c r="P31" i="3"/>
  <c r="O31" i="3"/>
  <c r="N31" i="3"/>
  <c r="M31" i="3"/>
  <c r="L31" i="3"/>
  <c r="L21" i="3"/>
  <c r="L29" i="2"/>
  <c r="K31" i="3"/>
  <c r="J31" i="3"/>
  <c r="J21" i="3"/>
  <c r="J29" i="2"/>
  <c r="I31" i="3"/>
  <c r="H31" i="3"/>
  <c r="G31" i="3"/>
  <c r="F31" i="3"/>
  <c r="E31" i="3"/>
  <c r="D31" i="3"/>
  <c r="D21" i="3"/>
  <c r="C31" i="3"/>
  <c r="D29" i="3"/>
  <c r="E29" i="3"/>
  <c r="F29" i="3"/>
  <c r="G29" i="3"/>
  <c r="G32" i="3"/>
  <c r="H29" i="3"/>
  <c r="H32" i="3"/>
  <c r="I29" i="3"/>
  <c r="I32" i="3"/>
  <c r="J29" i="3"/>
  <c r="J32" i="3"/>
  <c r="K29" i="3"/>
  <c r="K32" i="3"/>
  <c r="L29" i="3"/>
  <c r="L32" i="3"/>
  <c r="M29" i="3"/>
  <c r="M32" i="3"/>
  <c r="N29" i="3"/>
  <c r="N32" i="3"/>
  <c r="O29" i="3"/>
  <c r="O32" i="3"/>
  <c r="P29" i="3"/>
  <c r="P32" i="3"/>
  <c r="Q29" i="3"/>
  <c r="Q32" i="3"/>
  <c r="R29" i="3"/>
  <c r="R32" i="3"/>
  <c r="S29" i="3"/>
  <c r="S32" i="3"/>
  <c r="T29" i="3"/>
  <c r="T32" i="3"/>
  <c r="U29" i="3"/>
  <c r="U32" i="3"/>
  <c r="V29" i="3"/>
  <c r="V32" i="3"/>
  <c r="W29" i="3"/>
  <c r="W32" i="3"/>
  <c r="X29" i="3"/>
  <c r="X32" i="3"/>
  <c r="Y29" i="3"/>
  <c r="Y32" i="3"/>
  <c r="Z29" i="3"/>
  <c r="Z32" i="3"/>
  <c r="Z30" i="3"/>
  <c r="X30" i="3"/>
  <c r="W30" i="3"/>
  <c r="U30" i="3"/>
  <c r="T30" i="3"/>
  <c r="S30" i="3"/>
  <c r="R30" i="3"/>
  <c r="P30" i="3"/>
  <c r="O30" i="3"/>
  <c r="N30" i="3"/>
  <c r="M30" i="3"/>
  <c r="K30" i="3"/>
  <c r="I30" i="3"/>
  <c r="H30" i="3"/>
  <c r="Y37" i="3"/>
  <c r="W37" i="3"/>
  <c r="V37" i="3"/>
  <c r="T37" i="3"/>
  <c r="Q37" i="3"/>
  <c r="N37" i="3"/>
  <c r="L37" i="3"/>
  <c r="I37" i="3"/>
  <c r="G37" i="3"/>
  <c r="F37" i="3"/>
  <c r="Y21" i="3"/>
  <c r="Y29" i="2"/>
  <c r="X21" i="3"/>
  <c r="W21" i="3"/>
  <c r="V21" i="3"/>
  <c r="V29" i="2"/>
  <c r="U21" i="3"/>
  <c r="S21" i="3"/>
  <c r="Q21" i="3"/>
  <c r="Q29" i="2"/>
  <c r="P21" i="3"/>
  <c r="O21" i="3"/>
  <c r="N21" i="3"/>
  <c r="N29" i="2"/>
  <c r="M21" i="3"/>
  <c r="K21" i="3"/>
  <c r="I21" i="3"/>
  <c r="I29" i="2"/>
  <c r="H21" i="3"/>
  <c r="G21" i="3"/>
  <c r="F21" i="3"/>
  <c r="F29" i="2"/>
  <c r="E21" i="3"/>
  <c r="Z19" i="3"/>
  <c r="Y19" i="3"/>
  <c r="X19" i="3"/>
  <c r="X26" i="2"/>
  <c r="W19" i="3"/>
  <c r="V19" i="3"/>
  <c r="V26" i="2"/>
  <c r="U19" i="3"/>
  <c r="T19" i="3"/>
  <c r="S19" i="3"/>
  <c r="R19" i="3"/>
  <c r="Q19" i="3"/>
  <c r="P19" i="3"/>
  <c r="P26" i="2"/>
  <c r="O19" i="3"/>
  <c r="N19" i="3"/>
  <c r="M19" i="3"/>
  <c r="L19" i="3"/>
  <c r="K19" i="3"/>
  <c r="J19" i="3"/>
  <c r="I19" i="3"/>
  <c r="H19" i="3"/>
  <c r="H26" i="2"/>
  <c r="G19" i="3"/>
  <c r="F19" i="3"/>
  <c r="E19" i="3"/>
  <c r="D19" i="3"/>
  <c r="E37" i="3"/>
  <c r="H37" i="3"/>
  <c r="J37" i="3"/>
  <c r="M37" i="3"/>
  <c r="P37" i="3"/>
  <c r="R37" i="3"/>
  <c r="U37" i="3"/>
  <c r="X37" i="3"/>
  <c r="Z37" i="3"/>
  <c r="D7" i="1"/>
  <c r="D37" i="3"/>
  <c r="E29" i="2"/>
  <c r="G29" i="2"/>
  <c r="H29" i="2"/>
  <c r="K29" i="2"/>
  <c r="M29" i="2"/>
  <c r="O29" i="2"/>
  <c r="P29" i="2"/>
  <c r="S29" i="2"/>
  <c r="U29" i="2"/>
  <c r="W29" i="2"/>
  <c r="X29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E23" i="2"/>
  <c r="E22" i="2"/>
  <c r="E21" i="2"/>
  <c r="E26" i="2"/>
  <c r="T12" i="1"/>
  <c r="F12" i="1"/>
  <c r="E7" i="1"/>
  <c r="F26" i="2"/>
  <c r="F7" i="1"/>
  <c r="G26" i="2"/>
  <c r="G7" i="1"/>
  <c r="H7" i="1"/>
  <c r="I26" i="2"/>
  <c r="I7" i="1"/>
  <c r="J26" i="2"/>
  <c r="J7" i="1"/>
  <c r="J12" i="1"/>
  <c r="K7" i="1"/>
  <c r="K12" i="1"/>
  <c r="L7" i="1"/>
  <c r="L12" i="1"/>
  <c r="M7" i="1"/>
  <c r="N26" i="2"/>
  <c r="N7" i="1"/>
  <c r="O7" i="1"/>
  <c r="P7" i="1"/>
  <c r="P12" i="1"/>
  <c r="Q7" i="1"/>
  <c r="R26" i="2"/>
  <c r="R7" i="1"/>
  <c r="S26" i="2"/>
  <c r="S7" i="1"/>
  <c r="S12" i="1"/>
  <c r="T7" i="1"/>
  <c r="U26" i="2"/>
  <c r="U7" i="1"/>
  <c r="V7" i="1"/>
  <c r="W26" i="2"/>
  <c r="W7" i="1"/>
  <c r="X7" i="1"/>
  <c r="X12" i="1"/>
  <c r="Y7" i="1"/>
  <c r="Y12" i="1"/>
  <c r="Y26" i="2"/>
  <c r="Q26" i="2"/>
  <c r="V12" i="1"/>
  <c r="I12" i="1"/>
  <c r="R12" i="1"/>
  <c r="M26" i="2"/>
  <c r="H12" i="1"/>
  <c r="Q12" i="1"/>
  <c r="O26" i="2"/>
  <c r="N12" i="1"/>
  <c r="U12" i="1"/>
  <c r="L26" i="2"/>
  <c r="K26" i="2"/>
  <c r="T26" i="2"/>
  <c r="G12" i="1"/>
  <c r="W12" i="1"/>
  <c r="O12" i="1"/>
  <c r="Z26" i="2"/>
  <c r="M12" i="1"/>
  <c r="S21" i="2"/>
  <c r="T23" i="2"/>
  <c r="P21" i="2"/>
  <c r="O21" i="2"/>
  <c r="Z21" i="2"/>
  <c r="L21" i="2"/>
  <c r="S22" i="2"/>
  <c r="X21" i="2"/>
  <c r="K21" i="2"/>
  <c r="W21" i="2"/>
  <c r="J21" i="2"/>
  <c r="R21" i="2"/>
  <c r="T21" i="2"/>
  <c r="H21" i="2"/>
  <c r="G21" i="2"/>
  <c r="S23" i="2"/>
  <c r="R22" i="2"/>
  <c r="L23" i="2"/>
  <c r="O22" i="2"/>
  <c r="K23" i="2"/>
  <c r="L22" i="2"/>
  <c r="K22" i="2"/>
  <c r="Z22" i="2"/>
  <c r="J22" i="2"/>
  <c r="W22" i="2"/>
  <c r="G22" i="2"/>
  <c r="T22" i="2"/>
  <c r="Z23" i="2"/>
  <c r="R23" i="2"/>
  <c r="J23" i="2"/>
  <c r="Y22" i="2"/>
  <c r="Q22" i="2"/>
  <c r="I22" i="2"/>
  <c r="Y23" i="2"/>
  <c r="Q23" i="2"/>
  <c r="I23" i="2"/>
  <c r="X22" i="2"/>
  <c r="P22" i="2"/>
  <c r="H22" i="2"/>
  <c r="X23" i="2"/>
  <c r="P23" i="2"/>
  <c r="H23" i="2"/>
  <c r="W23" i="2"/>
  <c r="O23" i="2"/>
  <c r="G23" i="2"/>
  <c r="V22" i="2"/>
  <c r="N22" i="2"/>
  <c r="F22" i="2"/>
  <c r="V23" i="2"/>
  <c r="N23" i="2"/>
  <c r="F23" i="2"/>
  <c r="U22" i="2"/>
  <c r="M22" i="2"/>
  <c r="U23" i="2"/>
  <c r="M23" i="2"/>
  <c r="Y21" i="2"/>
  <c r="Q21" i="2"/>
  <c r="I21" i="2"/>
  <c r="V21" i="2"/>
  <c r="N21" i="2"/>
  <c r="F21" i="2"/>
  <c r="U21" i="2"/>
  <c r="M21" i="2"/>
  <c r="L24" i="2"/>
  <c r="S24" i="2"/>
  <c r="M24" i="2"/>
  <c r="Y24" i="2"/>
  <c r="W24" i="2"/>
  <c r="T24" i="2"/>
  <c r="K24" i="2"/>
  <c r="X24" i="2"/>
  <c r="G24" i="2"/>
  <c r="R24" i="2"/>
  <c r="Z24" i="2"/>
  <c r="O24" i="2"/>
  <c r="I24" i="2"/>
  <c r="Q24" i="2"/>
  <c r="H24" i="2"/>
  <c r="N24" i="2"/>
  <c r="U24" i="2"/>
  <c r="V24" i="2"/>
  <c r="P24" i="2"/>
  <c r="J24" i="2"/>
  <c r="C13" i="2" l="1"/>
  <c r="C12" i="2"/>
  <c r="C11" i="2"/>
  <c r="C14" i="2" s="1"/>
  <c r="C16" i="2"/>
  <c r="C17" i="2" s="1"/>
  <c r="D14" i="6"/>
  <c r="D17" i="6" s="1"/>
  <c r="E14" i="6" s="1"/>
  <c r="E17" i="6" s="1"/>
  <c r="F14" i="6" s="1"/>
  <c r="F17" i="6" s="1"/>
  <c r="G14" i="6" s="1"/>
  <c r="G17" i="6" s="1"/>
  <c r="H14" i="6" s="1"/>
  <c r="H17" i="6" s="1"/>
  <c r="I14" i="6" s="1"/>
  <c r="I17" i="6" s="1"/>
  <c r="J14" i="6" s="1"/>
  <c r="J17" i="6" s="1"/>
  <c r="K14" i="6" s="1"/>
  <c r="K17" i="6" s="1"/>
  <c r="L14" i="6" s="1"/>
  <c r="L17" i="6" s="1"/>
  <c r="M14" i="6" s="1"/>
  <c r="M17" i="6" s="1"/>
  <c r="N14" i="6" s="1"/>
  <c r="N17" i="6" s="1"/>
  <c r="O14" i="6" s="1"/>
  <c r="O17" i="6" s="1"/>
  <c r="P14" i="6" s="1"/>
  <c r="P17" i="6" s="1"/>
  <c r="Q14" i="6" s="1"/>
  <c r="Q17" i="6" s="1"/>
  <c r="R14" i="6" s="1"/>
  <c r="R17" i="6" s="1"/>
  <c r="S14" i="6" s="1"/>
  <c r="S17" i="6" s="1"/>
  <c r="T14" i="6" s="1"/>
  <c r="T17" i="6" s="1"/>
  <c r="U14" i="6" s="1"/>
  <c r="U17" i="6" s="1"/>
  <c r="V14" i="6" s="1"/>
  <c r="V17" i="6" s="1"/>
  <c r="W14" i="6" s="1"/>
  <c r="W17" i="6" s="1"/>
  <c r="X14" i="6" s="1"/>
  <c r="X17" i="6" s="1"/>
  <c r="Y14" i="6" s="1"/>
  <c r="Y17" i="6" s="1"/>
  <c r="Z14" i="6" s="1"/>
  <c r="D11" i="2"/>
  <c r="D28" i="2"/>
  <c r="D13" i="2"/>
  <c r="D27" i="2"/>
  <c r="C27" i="2"/>
  <c r="C30" i="2" s="1"/>
  <c r="C31" i="2" s="1"/>
  <c r="C28" i="2"/>
  <c r="E6" i="2"/>
  <c r="E8" i="2" s="1"/>
  <c r="E13" i="1"/>
  <c r="E14" i="1" s="1"/>
  <c r="D12" i="2"/>
  <c r="D14" i="2" s="1"/>
  <c r="D16" i="2" s="1"/>
  <c r="D30" i="2" l="1"/>
  <c r="D31" i="2" s="1"/>
  <c r="D33" i="2" s="1"/>
  <c r="D38" i="2" s="1"/>
  <c r="D17" i="2"/>
  <c r="E13" i="2"/>
  <c r="E12" i="2"/>
  <c r="E27" i="2"/>
  <c r="E11" i="2"/>
  <c r="E28" i="2"/>
  <c r="F13" i="1"/>
  <c r="F6" i="2"/>
  <c r="F8" i="2" s="1"/>
  <c r="C33" i="2" l="1"/>
  <c r="C38" i="2" s="1"/>
  <c r="C21" i="6" s="1"/>
  <c r="C24" i="6" s="1"/>
  <c r="E14" i="2"/>
  <c r="E16" i="2" s="1"/>
  <c r="E30" i="2"/>
  <c r="E31" i="2" s="1"/>
  <c r="F13" i="2"/>
  <c r="F28" i="2"/>
  <c r="F12" i="2"/>
  <c r="F27" i="2"/>
  <c r="F11" i="2"/>
  <c r="D34" i="2"/>
  <c r="G6" i="2"/>
  <c r="G8" i="2" s="1"/>
  <c r="G13" i="1"/>
  <c r="C34" i="2" l="1"/>
  <c r="F30" i="2"/>
  <c r="F31" i="2" s="1"/>
  <c r="F14" i="2"/>
  <c r="F16" i="2" s="1"/>
  <c r="F17" i="2" s="1"/>
  <c r="E33" i="2"/>
  <c r="E38" i="2" s="1"/>
  <c r="C39" i="2"/>
  <c r="B27" i="4" s="1"/>
  <c r="D20" i="6"/>
  <c r="G28" i="2"/>
  <c r="G13" i="2"/>
  <c r="G27" i="2"/>
  <c r="G12" i="2"/>
  <c r="G11" i="2"/>
  <c r="H6" i="2"/>
  <c r="H8" i="2" s="1"/>
  <c r="H13" i="1"/>
  <c r="C28" i="4"/>
  <c r="D21" i="6"/>
  <c r="D39" i="2"/>
  <c r="C27" i="4" s="1"/>
  <c r="E17" i="2"/>
  <c r="B28" i="4"/>
  <c r="D24" i="6" l="1"/>
  <c r="E20" i="6" s="1"/>
  <c r="F33" i="2"/>
  <c r="F38" i="2" s="1"/>
  <c r="G14" i="2"/>
  <c r="G16" i="2" s="1"/>
  <c r="G17" i="2" s="1"/>
  <c r="G30" i="2"/>
  <c r="G31" i="2" s="1"/>
  <c r="E34" i="2"/>
  <c r="I6" i="2"/>
  <c r="I8" i="2" s="1"/>
  <c r="I13" i="1"/>
  <c r="H28" i="2"/>
  <c r="H12" i="2"/>
  <c r="H27" i="2"/>
  <c r="H11" i="2"/>
  <c r="H13" i="2"/>
  <c r="F34" i="2" l="1"/>
  <c r="G33" i="2"/>
  <c r="G38" i="2" s="1"/>
  <c r="E28" i="4"/>
  <c r="F21" i="6"/>
  <c r="F39" i="2"/>
  <c r="E27" i="4" s="1"/>
  <c r="H14" i="2"/>
  <c r="H16" i="2" s="1"/>
  <c r="J6" i="2"/>
  <c r="J8" i="2" s="1"/>
  <c r="J13" i="1"/>
  <c r="D28" i="4"/>
  <c r="E39" i="2"/>
  <c r="D27" i="4" s="1"/>
  <c r="E21" i="6"/>
  <c r="E24" i="6" s="1"/>
  <c r="H30" i="2"/>
  <c r="H31" i="2" s="1"/>
  <c r="I12" i="2"/>
  <c r="I11" i="2"/>
  <c r="I28" i="2"/>
  <c r="I27" i="2"/>
  <c r="I13" i="2"/>
  <c r="G34" i="2" l="1"/>
  <c r="I30" i="2"/>
  <c r="I31" i="2" s="1"/>
  <c r="H33" i="2"/>
  <c r="F20" i="6"/>
  <c r="F24" i="6" s="1"/>
  <c r="G20" i="6" s="1"/>
  <c r="J28" i="2"/>
  <c r="J27" i="2"/>
  <c r="J12" i="2"/>
  <c r="J13" i="2"/>
  <c r="J11" i="2"/>
  <c r="H17" i="2"/>
  <c r="K13" i="1"/>
  <c r="K14" i="1" s="1"/>
  <c r="K6" i="2"/>
  <c r="K8" i="2" s="1"/>
  <c r="I14" i="2"/>
  <c r="I16" i="2" s="1"/>
  <c r="G39" i="2"/>
  <c r="F27" i="4" s="1"/>
  <c r="G21" i="6"/>
  <c r="F28" i="4"/>
  <c r="I33" i="2" l="1"/>
  <c r="J30" i="2"/>
  <c r="J31" i="2" s="1"/>
  <c r="G24" i="6"/>
  <c r="H20" i="6" s="1"/>
  <c r="J14" i="2"/>
  <c r="J16" i="2" s="1"/>
  <c r="K13" i="2"/>
  <c r="K11" i="2"/>
  <c r="K27" i="2"/>
  <c r="K12" i="2"/>
  <c r="K28" i="2"/>
  <c r="H34" i="2"/>
  <c r="H38" i="2"/>
  <c r="I17" i="2"/>
  <c r="L6" i="2"/>
  <c r="L8" i="2" s="1"/>
  <c r="L13" i="1"/>
  <c r="L14" i="1" s="1"/>
  <c r="J33" i="2" l="1"/>
  <c r="J34" i="2" s="1"/>
  <c r="K30" i="2"/>
  <c r="K31" i="2" s="1"/>
  <c r="J17" i="2"/>
  <c r="K14" i="2"/>
  <c r="K16" i="2" s="1"/>
  <c r="I34" i="2"/>
  <c r="I38" i="2"/>
  <c r="G28" i="4"/>
  <c r="H21" i="6"/>
  <c r="H39" i="2"/>
  <c r="G27" i="4" s="1"/>
  <c r="M6" i="2"/>
  <c r="M8" i="2" s="1"/>
  <c r="M13" i="1"/>
  <c r="M14" i="1" s="1"/>
  <c r="L11" i="2"/>
  <c r="L12" i="2"/>
  <c r="L27" i="2"/>
  <c r="L13" i="2"/>
  <c r="L28" i="2"/>
  <c r="J38" i="2"/>
  <c r="L14" i="2" l="1"/>
  <c r="L16" i="2" s="1"/>
  <c r="L17" i="2" s="1"/>
  <c r="H24" i="6"/>
  <c r="I20" i="6" s="1"/>
  <c r="M27" i="2"/>
  <c r="M11" i="2"/>
  <c r="M28" i="2"/>
  <c r="M12" i="2"/>
  <c r="M13" i="2"/>
  <c r="N6" i="2"/>
  <c r="N8" i="2" s="1"/>
  <c r="N13" i="1"/>
  <c r="N14" i="1" s="1"/>
  <c r="I28" i="4"/>
  <c r="J21" i="6"/>
  <c r="J39" i="2"/>
  <c r="I27" i="4" s="1"/>
  <c r="I39" i="2"/>
  <c r="H27" i="4" s="1"/>
  <c r="H28" i="4"/>
  <c r="I21" i="6"/>
  <c r="L30" i="2"/>
  <c r="L31" i="2" s="1"/>
  <c r="K17" i="2"/>
  <c r="K33" i="2"/>
  <c r="L33" i="2" l="1"/>
  <c r="L34" i="2" s="1"/>
  <c r="I24" i="6"/>
  <c r="J20" i="6" s="1"/>
  <c r="J24" i="6" s="1"/>
  <c r="K20" i="6" s="1"/>
  <c r="M14" i="2"/>
  <c r="M16" i="2" s="1"/>
  <c r="M17" i="2" s="1"/>
  <c r="M30" i="2"/>
  <c r="M31" i="2" s="1"/>
  <c r="K34" i="2"/>
  <c r="K38" i="2"/>
  <c r="O6" i="2"/>
  <c r="O8" i="2" s="1"/>
  <c r="O13" i="1"/>
  <c r="O14" i="1" s="1"/>
  <c r="N27" i="2"/>
  <c r="N13" i="2"/>
  <c r="N11" i="2"/>
  <c r="N28" i="2"/>
  <c r="N12" i="2"/>
  <c r="M33" i="2" l="1"/>
  <c r="M34" i="2" s="1"/>
  <c r="L38" i="2"/>
  <c r="L21" i="6" s="1"/>
  <c r="N14" i="2"/>
  <c r="N16" i="2" s="1"/>
  <c r="P13" i="1"/>
  <c r="P14" i="1" s="1"/>
  <c r="P6" i="2"/>
  <c r="P8" i="2" s="1"/>
  <c r="K21" i="6"/>
  <c r="K24" i="6" s="1"/>
  <c r="L20" i="6" s="1"/>
  <c r="K39" i="2"/>
  <c r="J27" i="4" s="1"/>
  <c r="J28" i="4"/>
  <c r="N30" i="2"/>
  <c r="N31" i="2" s="1"/>
  <c r="O13" i="2"/>
  <c r="O28" i="2"/>
  <c r="O11" i="2"/>
  <c r="O12" i="2"/>
  <c r="O27" i="2"/>
  <c r="L39" i="2" l="1"/>
  <c r="K27" i="4" s="1"/>
  <c r="K28" i="4"/>
  <c r="M38" i="2"/>
  <c r="M21" i="6" s="1"/>
  <c r="L24" i="6"/>
  <c r="M20" i="6" s="1"/>
  <c r="Q6" i="2"/>
  <c r="Q8" i="2" s="1"/>
  <c r="Q13" i="1"/>
  <c r="Q14" i="1" s="1"/>
  <c r="P13" i="2"/>
  <c r="P27" i="2"/>
  <c r="P12" i="2"/>
  <c r="P11" i="2"/>
  <c r="P28" i="2"/>
  <c r="O14" i="2"/>
  <c r="O16" i="2" s="1"/>
  <c r="N33" i="2"/>
  <c r="N17" i="2"/>
  <c r="O30" i="2"/>
  <c r="O31" i="2" s="1"/>
  <c r="M39" i="2" l="1"/>
  <c r="L27" i="4" s="1"/>
  <c r="L28" i="4"/>
  <c r="P14" i="2"/>
  <c r="P16" i="2" s="1"/>
  <c r="P17" i="2" s="1"/>
  <c r="M24" i="6"/>
  <c r="N20" i="6" s="1"/>
  <c r="P30" i="2"/>
  <c r="P31" i="2" s="1"/>
  <c r="O17" i="2"/>
  <c r="O33" i="2"/>
  <c r="R6" i="2"/>
  <c r="R8" i="2" s="1"/>
  <c r="R13" i="1"/>
  <c r="R14" i="1" s="1"/>
  <c r="N34" i="2"/>
  <c r="N38" i="2"/>
  <c r="Q11" i="2"/>
  <c r="Q27" i="2"/>
  <c r="Q13" i="2"/>
  <c r="Q28" i="2"/>
  <c r="Q12" i="2"/>
  <c r="P33" i="2" l="1"/>
  <c r="P34" i="2" s="1"/>
  <c r="R28" i="2"/>
  <c r="R27" i="2"/>
  <c r="R12" i="2"/>
  <c r="R11" i="2"/>
  <c r="R13" i="2"/>
  <c r="S6" i="2"/>
  <c r="S8" i="2" s="1"/>
  <c r="S13" i="1"/>
  <c r="S14" i="1" s="1"/>
  <c r="Q30" i="2"/>
  <c r="Q31" i="2" s="1"/>
  <c r="N39" i="2"/>
  <c r="M27" i="4" s="1"/>
  <c r="M28" i="4"/>
  <c r="N21" i="6"/>
  <c r="N24" i="6" s="1"/>
  <c r="O20" i="6" s="1"/>
  <c r="O38" i="2"/>
  <c r="O34" i="2"/>
  <c r="Q14" i="2"/>
  <c r="Q16" i="2" s="1"/>
  <c r="P38" i="2" l="1"/>
  <c r="P21" i="6" s="1"/>
  <c r="R14" i="2"/>
  <c r="R16" i="2" s="1"/>
  <c r="R17" i="2" s="1"/>
  <c r="T6" i="2"/>
  <c r="T8" i="2" s="1"/>
  <c r="T13" i="1"/>
  <c r="T14" i="1" s="1"/>
  <c r="N28" i="4"/>
  <c r="O21" i="6"/>
  <c r="O24" i="6" s="1"/>
  <c r="P20" i="6" s="1"/>
  <c r="O39" i="2"/>
  <c r="N27" i="4" s="1"/>
  <c r="S27" i="2"/>
  <c r="S13" i="2"/>
  <c r="S11" i="2"/>
  <c r="S28" i="2"/>
  <c r="S12" i="2"/>
  <c r="R30" i="2"/>
  <c r="R31" i="2" s="1"/>
  <c r="Q17" i="2"/>
  <c r="Q33" i="2"/>
  <c r="O28" i="4" l="1"/>
  <c r="P39" i="2"/>
  <c r="O27" i="4" s="1"/>
  <c r="S30" i="2"/>
  <c r="S31" i="2" s="1"/>
  <c r="R33" i="2"/>
  <c r="R38" i="2" s="1"/>
  <c r="P24" i="6"/>
  <c r="Q20" i="6" s="1"/>
  <c r="U13" i="1"/>
  <c r="U14" i="1" s="1"/>
  <c r="U6" i="2"/>
  <c r="U8" i="2" s="1"/>
  <c r="Q34" i="2"/>
  <c r="Q38" i="2"/>
  <c r="T13" i="2"/>
  <c r="T27" i="2"/>
  <c r="T12" i="2"/>
  <c r="T11" i="2"/>
  <c r="T28" i="2"/>
  <c r="S14" i="2"/>
  <c r="S16" i="2" s="1"/>
  <c r="R34" i="2" l="1"/>
  <c r="P28" i="4"/>
  <c r="Q21" i="6"/>
  <c r="Q24" i="6" s="1"/>
  <c r="R20" i="6" s="1"/>
  <c r="Q39" i="2"/>
  <c r="P27" i="4" s="1"/>
  <c r="U27" i="2"/>
  <c r="U13" i="2"/>
  <c r="U11" i="2"/>
  <c r="U28" i="2"/>
  <c r="U12" i="2"/>
  <c r="V6" i="2"/>
  <c r="V8" i="2" s="1"/>
  <c r="V13" i="1"/>
  <c r="S17" i="2"/>
  <c r="S33" i="2"/>
  <c r="T14" i="2"/>
  <c r="T16" i="2" s="1"/>
  <c r="T30" i="2"/>
  <c r="T31" i="2" s="1"/>
  <c r="Q28" i="4"/>
  <c r="R39" i="2"/>
  <c r="Q27" i="4" s="1"/>
  <c r="R21" i="6"/>
  <c r="U30" i="2" l="1"/>
  <c r="U31" i="2" s="1"/>
  <c r="U14" i="2"/>
  <c r="U16" i="2" s="1"/>
  <c r="S34" i="2"/>
  <c r="S38" i="2"/>
  <c r="W6" i="2"/>
  <c r="W8" i="2" s="1"/>
  <c r="W13" i="1"/>
  <c r="W14" i="1" s="1"/>
  <c r="T33" i="2"/>
  <c r="T17" i="2"/>
  <c r="V27" i="2"/>
  <c r="V13" i="2"/>
  <c r="V12" i="2"/>
  <c r="V28" i="2"/>
  <c r="V11" i="2"/>
  <c r="R24" i="6"/>
  <c r="S20" i="6" s="1"/>
  <c r="V14" i="2" l="1"/>
  <c r="V16" i="2" s="1"/>
  <c r="V17" i="2" s="1"/>
  <c r="S39" i="2"/>
  <c r="R27" i="4" s="1"/>
  <c r="S21" i="6"/>
  <c r="S24" i="6" s="1"/>
  <c r="T20" i="6" s="1"/>
  <c r="R28" i="4"/>
  <c r="X13" i="1"/>
  <c r="X14" i="1" s="1"/>
  <c r="X6" i="2"/>
  <c r="X8" i="2" s="1"/>
  <c r="U33" i="2"/>
  <c r="U17" i="2"/>
  <c r="T34" i="2"/>
  <c r="T38" i="2"/>
  <c r="W28" i="2"/>
  <c r="W11" i="2"/>
  <c r="W27" i="2"/>
  <c r="W13" i="2"/>
  <c r="W12" i="2"/>
  <c r="V30" i="2"/>
  <c r="V31" i="2" s="1"/>
  <c r="V33" i="2" l="1"/>
  <c r="V38" i="2" s="1"/>
  <c r="X12" i="2"/>
  <c r="X27" i="2"/>
  <c r="X28" i="2"/>
  <c r="X11" i="2"/>
  <c r="X13" i="2"/>
  <c r="W14" i="2"/>
  <c r="W16" i="2" s="1"/>
  <c r="T21" i="6"/>
  <c r="T24" i="6" s="1"/>
  <c r="U20" i="6" s="1"/>
  <c r="T39" i="2"/>
  <c r="S27" i="4" s="1"/>
  <c r="S28" i="4"/>
  <c r="W30" i="2"/>
  <c r="W31" i="2" s="1"/>
  <c r="Y6" i="2"/>
  <c r="Y8" i="2" s="1"/>
  <c r="Y13" i="1"/>
  <c r="U34" i="2"/>
  <c r="U38" i="2"/>
  <c r="Y14" i="1" l="1"/>
  <c r="Z6" i="2" s="1"/>
  <c r="Z8" i="2" s="1"/>
  <c r="V34" i="2"/>
  <c r="X14" i="2"/>
  <c r="X16" i="2" s="1"/>
  <c r="X30" i="2"/>
  <c r="X31" i="2" s="1"/>
  <c r="T28" i="4"/>
  <c r="U39" i="2"/>
  <c r="T27" i="4" s="1"/>
  <c r="U21" i="6"/>
  <c r="U24" i="6" s="1"/>
  <c r="V20" i="6" s="1"/>
  <c r="W17" i="2"/>
  <c r="W33" i="2"/>
  <c r="Y13" i="2"/>
  <c r="Y12" i="2"/>
  <c r="Y28" i="2"/>
  <c r="Y11" i="2"/>
  <c r="Y27" i="2"/>
  <c r="V21" i="6"/>
  <c r="V39" i="2"/>
  <c r="U27" i="4" s="1"/>
  <c r="U28" i="4"/>
  <c r="Z28" i="2" l="1"/>
  <c r="Z27" i="2"/>
  <c r="Z12" i="2"/>
  <c r="Z11" i="2"/>
  <c r="Z13" i="2"/>
  <c r="V24" i="6"/>
  <c r="W20" i="6" s="1"/>
  <c r="X33" i="2"/>
  <c r="X34" i="2" s="1"/>
  <c r="X17" i="2"/>
  <c r="Y30" i="2"/>
  <c r="Y31" i="2" s="1"/>
  <c r="Y14" i="2"/>
  <c r="Y16" i="2" s="1"/>
  <c r="W34" i="2"/>
  <c r="W38" i="2"/>
  <c r="Z14" i="2"/>
  <c r="Z16" i="2" s="1"/>
  <c r="Z30" i="2"/>
  <c r="Z31" i="2" s="1"/>
  <c r="X38" i="2" l="1"/>
  <c r="W28" i="4" s="1"/>
  <c r="W21" i="6"/>
  <c r="W24" i="6" s="1"/>
  <c r="X20" i="6" s="1"/>
  <c r="W39" i="2"/>
  <c r="V27" i="4" s="1"/>
  <c r="V28" i="4"/>
  <c r="Z33" i="2"/>
  <c r="Z17" i="2"/>
  <c r="Y17" i="2"/>
  <c r="Y33" i="2"/>
  <c r="X21" i="6" l="1"/>
  <c r="X24" i="6" s="1"/>
  <c r="Y20" i="6" s="1"/>
  <c r="X39" i="2"/>
  <c r="W27" i="4" s="1"/>
  <c r="Z34" i="2"/>
  <c r="Y38" i="2"/>
  <c r="Y34" i="2"/>
  <c r="Z21" i="6" l="1"/>
  <c r="Y28" i="4"/>
  <c r="Z39" i="2"/>
  <c r="Y27" i="4" s="1"/>
  <c r="X28" i="4"/>
  <c r="Y21" i="6"/>
  <c r="Y24" i="6" s="1"/>
  <c r="Z20" i="6" s="1"/>
  <c r="Y39" i="2"/>
  <c r="X27" i="4" s="1"/>
  <c r="Z24" i="6" l="1"/>
</calcChain>
</file>

<file path=xl/sharedStrings.xml><?xml version="1.0" encoding="utf-8"?>
<sst xmlns="http://schemas.openxmlformats.org/spreadsheetml/2006/main" count="178" uniqueCount="89">
  <si>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</si>
  <si>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</si>
  <si>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</si>
  <si>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</si>
  <si>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</si>
  <si>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</si>
  <si>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</si>
  <si>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</si>
  <si>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</si>
  <si>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</si>
  <si>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</si>
  <si>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</si>
  <si>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</si>
  <si>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</si>
  <si>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</si>
  <si>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</si>
  <si>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</si>
  <si>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</si>
  <si>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</si>
  <si>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</si>
  <si>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</si>
  <si>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</si>
  <si>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</si>
  <si>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</si>
  <si>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Paid Customer Acquisition Cost</t>
  </si>
  <si>
    <t>Transactions</t>
  </si>
  <si>
    <t>Total Orders</t>
  </si>
  <si>
    <t>Churn Rate</t>
  </si>
  <si>
    <t>Revenue</t>
  </si>
  <si>
    <t>ASSUMPTIONS</t>
  </si>
  <si>
    <t>Technology Expenses (% of Rev)</t>
  </si>
  <si>
    <t>Cost of Sales:</t>
  </si>
  <si>
    <t>Cost of Sales Assumptions:</t>
  </si>
  <si>
    <t>Revenue Assumptions:</t>
  </si>
  <si>
    <t>Operating Expense Assumptions:</t>
  </si>
  <si>
    <t>Other Operating Expenses:</t>
  </si>
  <si>
    <t>Total Cost of Sales</t>
  </si>
  <si>
    <t>Design Costs (% of Revenue)</t>
  </si>
  <si>
    <t>Hosting Costs (% of Revenue)</t>
  </si>
  <si>
    <t>Other Direct Costs (% of Revenue)</t>
  </si>
  <si>
    <t>Advertising Spend ($0000)</t>
  </si>
  <si>
    <t>Debt Interest ($0000)</t>
  </si>
  <si>
    <t>Other OPEX (% of Revenue)</t>
  </si>
  <si>
    <t>Operating Expenses:</t>
  </si>
  <si>
    <t>Gross Profit</t>
  </si>
  <si>
    <t>Gross Margin</t>
  </si>
  <si>
    <t>Operating Income</t>
  </si>
  <si>
    <t>M# (New Subsribers)</t>
  </si>
  <si>
    <t>M+ (Recurring)</t>
  </si>
  <si>
    <t>Total Headcount</t>
  </si>
  <si>
    <t>Starting Cash (From Debt)</t>
  </si>
  <si>
    <t>CAPEX</t>
  </si>
  <si>
    <t>Facebook Paid Ad ($0000)</t>
  </si>
  <si>
    <t>Operating Margin</t>
  </si>
  <si>
    <t>Headcount Salary</t>
  </si>
  <si>
    <t>Total Revenue</t>
  </si>
  <si>
    <t xml:space="preserve">SUPPORTING SCHEDULES </t>
  </si>
  <si>
    <t>Property, Plant &amp; Equipment</t>
  </si>
  <si>
    <t>Revenue Mainstream</t>
  </si>
  <si>
    <t>Income Before Taxes</t>
  </si>
  <si>
    <t>Income Before Taxes Margin</t>
  </si>
  <si>
    <t>Beginning of Period</t>
  </si>
  <si>
    <t>Long Term Debt</t>
  </si>
  <si>
    <t>LTD End of Period</t>
  </si>
  <si>
    <t>Debt Principal Repayment</t>
  </si>
  <si>
    <t>Headcount Salary:</t>
  </si>
  <si>
    <t>Ending Cash Balance</t>
  </si>
  <si>
    <t>Design (Salary Per # of Employees)</t>
  </si>
  <si>
    <t>Technology (Salary Per # of Employees)</t>
  </si>
  <si>
    <t>CAPEX/Additions (Disposals) ($000)</t>
  </si>
  <si>
    <t>Debt Principal Repayment ($0000)</t>
  </si>
  <si>
    <t>Total Other Operating Expenses</t>
  </si>
  <si>
    <t>Total Operating Expenses</t>
  </si>
  <si>
    <t>ACQUISITION MODEL</t>
  </si>
  <si>
    <t>Advertising Spend</t>
  </si>
  <si>
    <t>Net PP&amp;E</t>
  </si>
  <si>
    <t>QEMARI's FINANCIAL MODEL</t>
  </si>
  <si>
    <t>INCOME STATEMENT FORECAST</t>
  </si>
  <si>
    <t>Revenue from Equip. Rental ($0000)</t>
  </si>
  <si>
    <t>Current Customers Subscription ($000)</t>
  </si>
  <si>
    <t>Average Sales Value ($0000)</t>
  </si>
  <si>
    <t>Depreciation Expense ($0000)</t>
  </si>
  <si>
    <t>Sales (Salary Per # of Employees)</t>
  </si>
  <si>
    <t>Cash Balance</t>
  </si>
  <si>
    <t>Key Metrics</t>
  </si>
  <si>
    <t xml:space="preserve"> </t>
  </si>
  <si>
    <t>Debt Schedule</t>
  </si>
  <si>
    <t>SUBSCRIPTION FINANCIAL MODEL</t>
  </si>
  <si>
    <t>LTD End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</si>
</sst>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#,##0;\(#,##0\)"/>
    <numFmt numFmtId="166" formatCode="_-&quot;$&quot;* #,##0.0_-;\-&quot;$&quot;* #,##0.0_-;_-&quot;$&quot;* &quot;-&quot;?_-;_-@_-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64" fontId="5" fillId="0" borderId="0" xfId="2" applyNumberFormat="1" applyFont="1" applyAlignment="1">
      <alignment horizontal="center"/>
    </xf>
    <xf numFmtId="9" fontId="5" fillId="0" borderId="0" xfId="3" applyFont="1" applyAlignment="1">
      <alignment horizontal="center"/>
    </xf>
    <xf numFmtId="0" fontId="4" fillId="0" borderId="0" xfId="0" applyFont="1"/>
    <xf numFmtId="0" fontId="2" fillId="3" borderId="0" xfId="0" applyFont="1" applyFill="1"/>
    <xf numFmtId="164" fontId="5" fillId="0" borderId="0" xfId="0" applyNumberFormat="1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1" fontId="0" fillId="0" borderId="0" xfId="0" applyNumberFormat="1"/>
    <xf numFmtId="0" fontId="7" fillId="0" borderId="0" xfId="0" applyFont="1"/>
    <xf numFmtId="9" fontId="2" fillId="0" borderId="0" xfId="3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0" xfId="0" applyFont="1" applyFill="1"/>
    <xf numFmtId="0" fontId="0" fillId="4" borderId="0" xfId="0" applyFill="1"/>
    <xf numFmtId="164" fontId="5" fillId="4" borderId="0" xfId="0" applyNumberFormat="1" applyFont="1" applyFill="1" applyAlignment="1">
      <alignment horizontal="center"/>
    </xf>
    <xf numFmtId="9" fontId="5" fillId="4" borderId="0" xfId="3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0" borderId="0" xfId="3" applyNumberFormat="1" applyFont="1" applyAlignment="1">
      <alignment horizontal="center"/>
    </xf>
    <xf numFmtId="164" fontId="2" fillId="2" borderId="0" xfId="3" applyNumberFormat="1" applyFont="1" applyFill="1" applyAlignment="1">
      <alignment horizontal="center"/>
    </xf>
    <xf numFmtId="164" fontId="0" fillId="0" borderId="0" xfId="2" applyNumberFormat="1" applyFont="1"/>
    <xf numFmtId="164" fontId="0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9" fontId="2" fillId="0" borderId="0" xfId="3" applyFont="1" applyBorder="1" applyAlignment="1">
      <alignment horizontal="center"/>
    </xf>
    <xf numFmtId="164" fontId="0" fillId="0" borderId="0" xfId="0" applyNumberFormat="1"/>
    <xf numFmtId="164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3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1" xfId="3" applyNumberFormat="1" applyFont="1" applyBorder="1" applyAlignment="1">
      <alignment horizontal="center"/>
    </xf>
    <xf numFmtId="1" fontId="1" fillId="0" borderId="0" xfId="3" applyNumberFormat="1" applyFont="1" applyAlignment="1">
      <alignment horizontal="center"/>
    </xf>
    <xf numFmtId="0" fontId="5" fillId="0" borderId="0" xfId="2" applyNumberFormat="1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2" fillId="0" borderId="1" xfId="0" applyFont="1" applyBorder="1"/>
    <xf numFmtId="0" fontId="7" fillId="0" borderId="1" xfId="0" applyFont="1" applyBorder="1"/>
    <xf numFmtId="1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10" fillId="6" borderId="0" xfId="0" applyFont="1" applyFill="1"/>
    <xf numFmtId="0" fontId="11" fillId="6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2" fillId="0" borderId="0" xfId="0" applyFont="1"/>
    <xf numFmtId="164" fontId="13" fillId="0" borderId="0" xfId="2" applyNumberFormat="1" applyFont="1" applyAlignment="1">
      <alignment horizontal="center"/>
    </xf>
    <xf numFmtId="0" fontId="14" fillId="0" borderId="0" xfId="2" applyNumberFormat="1" applyFont="1" applyAlignment="1">
      <alignment horizontal="center"/>
    </xf>
    <xf numFmtId="164" fontId="14" fillId="0" borderId="0" xfId="0" applyNumberFormat="1" applyFont="1"/>
    <xf numFmtId="0" fontId="14" fillId="0" borderId="0" xfId="0" applyFont="1" applyAlignment="1">
      <alignment horizontal="center"/>
    </xf>
    <xf numFmtId="0" fontId="10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1" fontId="10" fillId="0" borderId="1" xfId="1" applyNumberFormat="1" applyFont="1" applyBorder="1" applyAlignment="1">
      <alignment horizontal="center"/>
    </xf>
    <xf numFmtId="9" fontId="14" fillId="0" borderId="0" xfId="3" applyFont="1" applyAlignment="1">
      <alignment horizontal="center"/>
    </xf>
    <xf numFmtId="164" fontId="8" fillId="7" borderId="0" xfId="0" applyNumberFormat="1" applyFont="1" applyFill="1"/>
    <xf numFmtId="0" fontId="8" fillId="0" borderId="0" xfId="0" applyFont="1" applyAlignment="1">
      <alignment horizontal="center"/>
    </xf>
    <xf numFmtId="164" fontId="14" fillId="0" borderId="0" xfId="2" applyNumberFormat="1" applyFont="1" applyAlignment="1">
      <alignment horizontal="center"/>
    </xf>
    <xf numFmtId="9" fontId="2" fillId="0" borderId="0" xfId="3" applyFont="1" applyBorder="1" applyAlignment="1">
      <alignment horizontal="right"/>
    </xf>
    <xf numFmtId="9" fontId="5" fillId="0" borderId="0" xfId="3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4" fontId="0" fillId="0" borderId="0" xfId="0" applyNumberFormat="1" applyAlignment="1">
      <alignment horizontal="right"/>
    </xf>
    <xf numFmtId="165" fontId="1" fillId="0" borderId="0" xfId="3" applyNumberFormat="1" applyFont="1" applyFill="1" applyAlignment="1">
      <alignment horizontal="center"/>
    </xf>
    <xf numFmtId="165" fontId="1" fillId="0" borderId="0" xfId="3" applyNumberFormat="1" applyFont="1" applyFill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6" fontId="0" fillId="0" borderId="0" xfId="0" applyNumberFormat="1"/>
    <xf numFmtId="165" fontId="5" fillId="0" borderId="0" xfId="3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9" borderId="0" xfId="3" applyNumberFormat="1" applyFont="1" applyFill="1" applyAlignment="1">
      <alignment horizontal="center"/>
    </xf>
    <xf numFmtId="0" fontId="16" fillId="8" borderId="3" xfId="0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10" fontId="16" fillId="0" borderId="1" xfId="3" applyNumberFormat="1" applyFont="1" applyBorder="1" applyAlignment="1">
      <alignment horizontal="center"/>
    </xf>
    <xf numFmtId="9" fontId="16" fillId="0" borderId="0" xfId="3" applyFont="1" applyBorder="1" applyAlignment="1">
      <alignment horizontal="right"/>
    </xf>
    <xf numFmtId="0" fontId="18" fillId="5" borderId="0" xfId="0" applyFont="1" applyFill="1" applyAlignment="1">
      <alignment horizontal="center"/>
    </xf>
    <xf numFmtId="164" fontId="12" fillId="0" borderId="0" xfId="0" applyNumberFormat="1" applyFont="1" applyAlignment="1">
      <alignment horizontal="center"/>
    </xf>
    <xf numFmtId="164" fontId="12" fillId="0" borderId="0" xfId="2" applyNumberFormat="1" applyFont="1" applyAlignment="1">
      <alignment horizontal="center"/>
    </xf>
    <xf numFmtId="167" fontId="5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right"/>
    </xf>
    <xf numFmtId="0" fontId="15" fillId="5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0" fillId="5" borderId="0" xfId="0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DA873"/>
      <color rgb="FF0000FF"/>
      <color rgb="FF0066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0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8.xml"/><Relationship Id="rId7" Type="http://schemas.openxmlformats.org/officeDocument/2006/relationships/externalLink" Target="externalLinks/externalLink1.xml"/><Relationship Id="rId17" Type="http://schemas.microsoft.com/office/2017/10/relationships/person" Target="persons/person5.xml"/><Relationship Id="rId25" Type="http://schemas.microsoft.com/office/2017/10/relationships/person" Target="persons/person11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20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24" Type="http://schemas.microsoft.com/office/2017/10/relationships/person" Target="persons/person10.xml"/><Relationship Id="rId5" Type="http://schemas.openxmlformats.org/officeDocument/2006/relationships/worksheet" Target="worksheets/sheet5.xml"/><Relationship Id="rId15" Type="http://schemas.microsoft.com/office/2017/10/relationships/person" Target="persons/person2.xml"/><Relationship Id="rId23" Type="http://schemas.microsoft.com/office/2017/10/relationships/person" Target="persons/person9.xml"/><Relationship Id="rId10" Type="http://schemas.openxmlformats.org/officeDocument/2006/relationships/sharedStrings" Target="sharedStrings.xml"/><Relationship Id="rId19" Type="http://schemas.microsoft.com/office/2017/10/relationships/person" Target="persons/person7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22" Type="http://schemas.microsoft.com/office/2017/10/relationships/person" Target="persons/person.xml"/><Relationship Id="rId14" Type="http://schemas.microsoft.com/office/2017/10/relationships/person" Target="persons/pers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INCOME</a:t>
            </a:r>
            <a:r>
              <a:rPr lang="en-US" sz="1800" b="1" baseline="0"/>
              <a:t> BEFORE TAXES MARGIN</a:t>
            </a:r>
            <a:endParaRPr lang="en-US" sz="1800" b="1"/>
          </a:p>
        </c:rich>
      </c:tx>
      <c:layout>
        <c:manualLayout>
          <c:xMode val="edge"/>
          <c:yMode val="edge"/>
          <c:x val="0.39394421217727227"/>
          <c:y val="4.7315166979229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Outputs!$B$26:$Y$26</c:f>
              <c:strCache>
                <c:ptCount val="24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  <c:pt idx="17">
                  <c:v>M18</c:v>
                </c:pt>
                <c:pt idx="18">
                  <c:v>M19</c:v>
                </c:pt>
                <c:pt idx="19">
                  <c:v>M20</c:v>
                </c:pt>
                <c:pt idx="20">
                  <c:v>M21</c:v>
                </c:pt>
                <c:pt idx="21">
                  <c:v>M22</c:v>
                </c:pt>
                <c:pt idx="22">
                  <c:v>M23</c:v>
                </c:pt>
                <c:pt idx="23">
                  <c:v>M24</c:v>
                </c:pt>
              </c:strCache>
            </c:strRef>
          </c:cat>
          <c:val>
            <c:numRef>
              <c:f>Outputs!$B$27:$Y$27</c:f>
              <c:numCache>
                <c:formatCode>0.00%</c:formatCode>
                <c:ptCount val="24"/>
                <c:pt idx="0">
                  <c:v>-0.25668402777777777</c:v>
                </c:pt>
                <c:pt idx="1">
                  <c:v>-7.9836829836829864E-3</c:v>
                </c:pt>
                <c:pt idx="2">
                  <c:v>-3.8086419753086423E-2</c:v>
                </c:pt>
                <c:pt idx="3">
                  <c:v>8.49047619047619E-2</c:v>
                </c:pt>
                <c:pt idx="4">
                  <c:v>0.16213178294573644</c:v>
                </c:pt>
                <c:pt idx="5">
                  <c:v>9.6883092859785414E-2</c:v>
                </c:pt>
                <c:pt idx="6">
                  <c:v>0.17011050560096883</c:v>
                </c:pt>
                <c:pt idx="7">
                  <c:v>0.22082372533948247</c:v>
                </c:pt>
                <c:pt idx="8">
                  <c:v>0.14757584578562649</c:v>
                </c:pt>
                <c:pt idx="9">
                  <c:v>0.20485264640554743</c:v>
                </c:pt>
                <c:pt idx="10">
                  <c:v>0.27928516447901475</c:v>
                </c:pt>
                <c:pt idx="11">
                  <c:v>0.26321559577205239</c:v>
                </c:pt>
                <c:pt idx="12">
                  <c:v>0.31219061112490004</c:v>
                </c:pt>
                <c:pt idx="13">
                  <c:v>0.31692390150140459</c:v>
                </c:pt>
                <c:pt idx="14">
                  <c:v>0.28573498920833879</c:v>
                </c:pt>
                <c:pt idx="15">
                  <c:v>0.29187390934956736</c:v>
                </c:pt>
                <c:pt idx="16">
                  <c:v>0.29767085427882156</c:v>
                </c:pt>
                <c:pt idx="17">
                  <c:v>0.27117978975903528</c:v>
                </c:pt>
                <c:pt idx="18">
                  <c:v>0.28525013685653777</c:v>
                </c:pt>
                <c:pt idx="19">
                  <c:v>0.29769032863130102</c:v>
                </c:pt>
                <c:pt idx="20">
                  <c:v>0.28191088532413705</c:v>
                </c:pt>
                <c:pt idx="21">
                  <c:v>0.29472941587179641</c:v>
                </c:pt>
                <c:pt idx="22">
                  <c:v>0.30612473909999077</c:v>
                </c:pt>
                <c:pt idx="23">
                  <c:v>0.29973860370889233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5-4053-BE7A-7DBF16907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9435919"/>
        <c:axId val="1529441743"/>
      </c:lineChart>
      <c:catAx>
        <c:axId val="152943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VI"/>
          </a:p>
        </c:txPr>
        <c:crossAx val="1529441743"/>
        <c:crosses val="autoZero"/>
        <c:auto val="1"/>
        <c:lblAlgn val="ctr"/>
        <c:lblOffset val="100"/>
        <c:noMultiLvlLbl val="0"/>
      </c:catAx>
      <c:valAx>
        <c:axId val="1529441743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I"/>
          </a:p>
        </c:txPr>
        <c:crossAx val="152943591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133684</xdr:rowOff>
    </xdr:from>
    <xdr:to>
      <xdr:col>14</xdr:col>
      <xdr:colOff>518028</xdr:colOff>
      <xdr:row>24</xdr:row>
      <xdr:rowOff>16711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FDD267-7070-6BAE-95C1-510CB55C5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47740ffd3fe0520/Documents/Subscription%20Project%20Improved.xlsx" TargetMode="External"/><Relationship Id="rId1" Type="http://schemas.openxmlformats.org/officeDocument/2006/relationships/externalLinkPath" Target="Subscription%20Project%20Improv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uct 1 Acquisition"/>
      <sheetName val="Product 2 Acquisition"/>
      <sheetName val="Revenue Assumptions"/>
      <sheetName val="Salary &amp; Headcount"/>
      <sheetName val="Supporting Schedules"/>
      <sheetName val="Cost of Sales &amp; OPEX Assumption"/>
      <sheetName val="Income Statement"/>
      <sheetName val="Dashboar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6">
          <cell r="B26">
            <v>6041.666666666667</v>
          </cell>
          <cell r="C26">
            <v>6041.666666666667</v>
          </cell>
          <cell r="D26">
            <v>6041.666666666667</v>
          </cell>
          <cell r="E26">
            <v>6041.666666666667</v>
          </cell>
          <cell r="F26">
            <v>6041.666666666667</v>
          </cell>
          <cell r="G26">
            <v>6041.666666666667</v>
          </cell>
          <cell r="H26">
            <v>6041.666666666667</v>
          </cell>
          <cell r="I26">
            <v>6041.666666666667</v>
          </cell>
          <cell r="J26">
            <v>6041.666666666667</v>
          </cell>
          <cell r="K26">
            <v>6041.666666666667</v>
          </cell>
          <cell r="L26">
            <v>6041.666666666667</v>
          </cell>
          <cell r="M26">
            <v>6041.666666666667</v>
          </cell>
          <cell r="N26">
            <v>6041.666666666667</v>
          </cell>
          <cell r="O26">
            <v>6041.666666666667</v>
          </cell>
          <cell r="P26">
            <v>6041.666666666667</v>
          </cell>
          <cell r="Q26">
            <v>6041.666666666667</v>
          </cell>
          <cell r="R26">
            <v>6041.666666666667</v>
          </cell>
          <cell r="S26">
            <v>6041.666666666667</v>
          </cell>
          <cell r="T26">
            <v>6041.666666666667</v>
          </cell>
          <cell r="U26">
            <v>6041.666666666667</v>
          </cell>
          <cell r="V26">
            <v>6041.666666666667</v>
          </cell>
          <cell r="W26">
            <v>6041.666666666667</v>
          </cell>
          <cell r="X26">
            <v>6041.666666666667</v>
          </cell>
          <cell r="Y26">
            <v>6041.666666666667</v>
          </cell>
        </row>
      </sheetData>
      <sheetData sheetId="5" refreshError="1"/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81D1-332E-4E47-9D9D-DCF617CDD9EF}">
  <dimension ref="A1:Y19"/>
  <sheetViews>
    <sheetView showGridLines="0" zoomScale="109" workbookViewId="0">
      <pane xSplit="1" ySplit="5" topLeftCell="S6" activePane="bottomRight" state="frozen"/>
      <selection pane="topRight" activeCell="B1" sqref="B1"/>
      <selection pane="bottomLeft" activeCell="A3" sqref="A3"/>
      <selection pane="bottomRight" activeCell="U12" sqref="U12"/>
    </sheetView>
  </sheetViews>
  <sheetFormatPr defaultRowHeight="14.5" x14ac:dyDescent="0.35"/>
  <cols>
    <col min="1" max="1" width="37.81640625" customWidth="1"/>
    <col min="2" max="2" width="10.08984375" bestFit="1" customWidth="1"/>
    <col min="3" max="6" width="8.81640625" bestFit="1" customWidth="1"/>
    <col min="7" max="7" width="10.6328125" bestFit="1" customWidth="1"/>
    <col min="8" max="10" width="8.81640625" bestFit="1" customWidth="1"/>
    <col min="11" max="11" width="9.36328125" bestFit="1" customWidth="1"/>
    <col min="12" max="15" width="8.81640625" bestFit="1" customWidth="1"/>
    <col min="16" max="16" width="9.36328125" bestFit="1" customWidth="1"/>
    <col min="17" max="17" width="8.81640625" bestFit="1" customWidth="1"/>
    <col min="18" max="25" width="9.36328125" bestFit="1" customWidth="1"/>
  </cols>
  <sheetData>
    <row r="1" spans="1:25" s="87" customFormat="1" x14ac:dyDescent="0.35">
      <c r="A1" s="86" t="s">
        <v>87</v>
      </c>
    </row>
    <row r="2" spans="1:25" s="87" customFormat="1" x14ac:dyDescent="0.35"/>
    <row r="3" spans="1:25" s="87" customFormat="1" x14ac:dyDescent="0.35"/>
    <row r="4" spans="1:25" s="85" customFormat="1" x14ac:dyDescent="0.35"/>
    <row r="5" spans="1:25" ht="15.5" x14ac:dyDescent="0.35">
      <c r="A5" s="45" t="s">
        <v>73</v>
      </c>
      <c r="B5" s="46" t="s">
        <v>0</v>
      </c>
      <c r="C5" s="46" t="s">
        <v>1</v>
      </c>
      <c r="D5" s="46" t="s">
        <v>2</v>
      </c>
      <c r="E5" s="46" t="s">
        <v>3</v>
      </c>
      <c r="F5" s="46" t="s">
        <v>4</v>
      </c>
      <c r="G5" s="46" t="s">
        <v>5</v>
      </c>
      <c r="H5" s="46" t="s">
        <v>6</v>
      </c>
      <c r="I5" s="46" t="s">
        <v>7</v>
      </c>
      <c r="J5" s="46" t="s">
        <v>8</v>
      </c>
      <c r="K5" s="46" t="s">
        <v>9</v>
      </c>
      <c r="L5" s="46" t="s">
        <v>10</v>
      </c>
      <c r="M5" s="46" t="s">
        <v>11</v>
      </c>
      <c r="N5" s="46" t="s">
        <v>12</v>
      </c>
      <c r="O5" s="46" t="s">
        <v>13</v>
      </c>
      <c r="P5" s="46" t="s">
        <v>14</v>
      </c>
      <c r="Q5" s="46" t="s">
        <v>15</v>
      </c>
      <c r="R5" s="46" t="s">
        <v>16</v>
      </c>
      <c r="S5" s="46" t="s">
        <v>17</v>
      </c>
      <c r="T5" s="46" t="s">
        <v>18</v>
      </c>
      <c r="U5" s="46" t="s">
        <v>19</v>
      </c>
      <c r="V5" s="46" t="s">
        <v>20</v>
      </c>
      <c r="W5" s="46" t="s">
        <v>21</v>
      </c>
      <c r="X5" s="46" t="s">
        <v>22</v>
      </c>
      <c r="Y5" s="46" t="s">
        <v>23</v>
      </c>
    </row>
    <row r="6" spans="1:25" ht="15.5" x14ac:dyDescent="0.35">
      <c r="A6" s="47" t="s">
        <v>74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 spans="1:25" ht="15.5" x14ac:dyDescent="0.35">
      <c r="A7" s="48" t="s">
        <v>52</v>
      </c>
      <c r="B7" s="49">
        <f>5*10*52</f>
        <v>2600</v>
      </c>
      <c r="C7" s="63">
        <f>5*10*52</f>
        <v>2600</v>
      </c>
      <c r="D7" s="63">
        <f>5*10*52</f>
        <v>2600</v>
      </c>
      <c r="E7" s="50">
        <f t="shared" ref="E7:Y7" si="0">5*10*52</f>
        <v>2600</v>
      </c>
      <c r="F7" s="50">
        <f t="shared" si="0"/>
        <v>2600</v>
      </c>
      <c r="G7" s="50">
        <f t="shared" si="0"/>
        <v>2600</v>
      </c>
      <c r="H7" s="50">
        <f t="shared" si="0"/>
        <v>2600</v>
      </c>
      <c r="I7" s="50">
        <f t="shared" si="0"/>
        <v>2600</v>
      </c>
      <c r="J7" s="50">
        <f t="shared" si="0"/>
        <v>2600</v>
      </c>
      <c r="K7" s="50">
        <f t="shared" si="0"/>
        <v>2600</v>
      </c>
      <c r="L7" s="50">
        <f t="shared" si="0"/>
        <v>2600</v>
      </c>
      <c r="M7" s="50">
        <f t="shared" si="0"/>
        <v>2600</v>
      </c>
      <c r="N7" s="50">
        <f t="shared" si="0"/>
        <v>2600</v>
      </c>
      <c r="O7" s="50">
        <f t="shared" si="0"/>
        <v>2600</v>
      </c>
      <c r="P7" s="50">
        <f t="shared" si="0"/>
        <v>2600</v>
      </c>
      <c r="Q7" s="50">
        <f t="shared" si="0"/>
        <v>2600</v>
      </c>
      <c r="R7" s="50">
        <f t="shared" si="0"/>
        <v>2600</v>
      </c>
      <c r="S7" s="50">
        <f t="shared" si="0"/>
        <v>2600</v>
      </c>
      <c r="T7" s="50">
        <f t="shared" si="0"/>
        <v>2600</v>
      </c>
      <c r="U7" s="50">
        <f t="shared" si="0"/>
        <v>2600</v>
      </c>
      <c r="V7" s="50">
        <f t="shared" si="0"/>
        <v>2600</v>
      </c>
      <c r="W7" s="50">
        <f t="shared" si="0"/>
        <v>2600</v>
      </c>
      <c r="X7" s="50">
        <f t="shared" si="0"/>
        <v>2600</v>
      </c>
      <c r="Y7" s="50">
        <f t="shared" si="0"/>
        <v>2600</v>
      </c>
    </row>
    <row r="8" spans="1:25" ht="15.5" x14ac:dyDescent="0.3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</row>
    <row r="9" spans="1:25" ht="15.5" x14ac:dyDescent="0.35">
      <c r="A9" s="48" t="s">
        <v>24</v>
      </c>
      <c r="B9" s="51">
        <v>325</v>
      </c>
      <c r="C9" s="52">
        <v>325</v>
      </c>
      <c r="D9" s="52">
        <v>325</v>
      </c>
      <c r="E9" s="52">
        <v>325</v>
      </c>
      <c r="F9" s="52">
        <v>325</v>
      </c>
      <c r="G9" s="52">
        <v>325</v>
      </c>
      <c r="H9" s="52">
        <v>325</v>
      </c>
      <c r="I9" s="52">
        <v>325</v>
      </c>
      <c r="J9" s="52">
        <v>325</v>
      </c>
      <c r="K9" s="52">
        <v>325</v>
      </c>
      <c r="L9" s="52">
        <v>162.5</v>
      </c>
      <c r="M9" s="52">
        <v>162.5</v>
      </c>
      <c r="N9" s="52">
        <v>162.5</v>
      </c>
      <c r="O9" s="52">
        <v>1300</v>
      </c>
      <c r="P9" s="52">
        <v>1300</v>
      </c>
      <c r="Q9" s="52">
        <v>1300</v>
      </c>
      <c r="R9" s="52">
        <v>1300</v>
      </c>
      <c r="S9" s="52">
        <v>625</v>
      </c>
      <c r="T9" s="52">
        <v>625</v>
      </c>
      <c r="U9" s="52">
        <v>625</v>
      </c>
      <c r="V9" s="52">
        <v>625</v>
      </c>
      <c r="W9" s="52">
        <v>625</v>
      </c>
      <c r="X9" s="52">
        <v>625</v>
      </c>
      <c r="Y9" s="52">
        <v>625</v>
      </c>
    </row>
    <row r="10" spans="1:25" ht="15.5" x14ac:dyDescent="0.3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 spans="1:25" ht="15.5" x14ac:dyDescent="0.35">
      <c r="A11" s="53" t="s">
        <v>25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spans="1:25" ht="15.5" x14ac:dyDescent="0.35">
      <c r="A12" s="48" t="s">
        <v>47</v>
      </c>
      <c r="B12" s="54">
        <f>B7/B9</f>
        <v>8</v>
      </c>
      <c r="C12" s="82">
        <f>C7/C9</f>
        <v>8</v>
      </c>
      <c r="D12" s="83">
        <f>D7/D9</f>
        <v>8</v>
      </c>
      <c r="E12" s="55">
        <f>E7/E9</f>
        <v>8</v>
      </c>
      <c r="F12" s="55">
        <f t="shared" ref="F12:X12" si="1">F7/F9</f>
        <v>8</v>
      </c>
      <c r="G12" s="55">
        <f t="shared" si="1"/>
        <v>8</v>
      </c>
      <c r="H12" s="55">
        <f t="shared" si="1"/>
        <v>8</v>
      </c>
      <c r="I12" s="55">
        <f t="shared" si="1"/>
        <v>8</v>
      </c>
      <c r="J12" s="55">
        <f t="shared" si="1"/>
        <v>8</v>
      </c>
      <c r="K12" s="55">
        <f t="shared" si="1"/>
        <v>8</v>
      </c>
      <c r="L12" s="55">
        <f t="shared" si="1"/>
        <v>16</v>
      </c>
      <c r="M12" s="55">
        <f t="shared" si="1"/>
        <v>16</v>
      </c>
      <c r="N12" s="55">
        <f>N7/N9</f>
        <v>16</v>
      </c>
      <c r="O12" s="55">
        <f t="shared" si="1"/>
        <v>2</v>
      </c>
      <c r="P12" s="55">
        <f t="shared" si="1"/>
        <v>2</v>
      </c>
      <c r="Q12" s="55">
        <f t="shared" si="1"/>
        <v>2</v>
      </c>
      <c r="R12" s="55">
        <f t="shared" si="1"/>
        <v>2</v>
      </c>
      <c r="S12" s="55">
        <f t="shared" si="1"/>
        <v>4.16</v>
      </c>
      <c r="T12" s="55">
        <f t="shared" si="1"/>
        <v>4.16</v>
      </c>
      <c r="U12" s="55">
        <f t="shared" si="1"/>
        <v>4.16</v>
      </c>
      <c r="V12" s="55">
        <f t="shared" si="1"/>
        <v>4.16</v>
      </c>
      <c r="W12" s="55">
        <f t="shared" si="1"/>
        <v>4.16</v>
      </c>
      <c r="X12" s="55">
        <f t="shared" si="1"/>
        <v>4.16</v>
      </c>
      <c r="Y12" s="55">
        <f>Y7/Y9</f>
        <v>4.16</v>
      </c>
    </row>
    <row r="13" spans="1:25" ht="15.5" x14ac:dyDescent="0.35">
      <c r="A13" s="48" t="s">
        <v>48</v>
      </c>
      <c r="B13" s="54"/>
      <c r="C13" s="55">
        <f>B12</f>
        <v>8</v>
      </c>
      <c r="D13" s="55">
        <f>C14</f>
        <v>16</v>
      </c>
      <c r="E13" s="55">
        <f t="shared" ref="E13:Y13" si="2">D14</f>
        <v>14.399999999999999</v>
      </c>
      <c r="F13" s="55">
        <f>E14</f>
        <v>22.4</v>
      </c>
      <c r="G13" s="55">
        <f t="shared" si="2"/>
        <v>30.4</v>
      </c>
      <c r="H13" s="55">
        <f t="shared" si="2"/>
        <v>23.04</v>
      </c>
      <c r="I13" s="55">
        <f t="shared" si="2"/>
        <v>31.04</v>
      </c>
      <c r="J13" s="55">
        <f>I14</f>
        <v>39.04</v>
      </c>
      <c r="K13" s="55">
        <f t="shared" si="2"/>
        <v>28.224</v>
      </c>
      <c r="L13" s="55">
        <f t="shared" si="2"/>
        <v>36.224000000000004</v>
      </c>
      <c r="M13" s="55">
        <f t="shared" si="2"/>
        <v>52.224000000000004</v>
      </c>
      <c r="N13" s="55">
        <f t="shared" si="2"/>
        <v>47.756799999999998</v>
      </c>
      <c r="O13" s="55">
        <f t="shared" si="2"/>
        <v>63.756799999999998</v>
      </c>
      <c r="P13" s="55">
        <f t="shared" si="2"/>
        <v>65.756799999999998</v>
      </c>
      <c r="Q13" s="55">
        <f t="shared" si="2"/>
        <v>54.205440000000003</v>
      </c>
      <c r="R13" s="55">
        <f t="shared" si="2"/>
        <v>56.205440000000003</v>
      </c>
      <c r="S13" s="55">
        <f t="shared" si="2"/>
        <v>58.205440000000003</v>
      </c>
      <c r="T13" s="55">
        <f t="shared" si="2"/>
        <v>49.89235200000001</v>
      </c>
      <c r="U13" s="55">
        <f t="shared" si="2"/>
        <v>54.052352000000013</v>
      </c>
      <c r="V13" s="55">
        <f t="shared" si="2"/>
        <v>58.21235200000001</v>
      </c>
      <c r="W13" s="55">
        <f t="shared" si="2"/>
        <v>53.016499200000005</v>
      </c>
      <c r="X13" s="55">
        <f t="shared" si="2"/>
        <v>57.176499200000009</v>
      </c>
      <c r="Y13" s="55">
        <f t="shared" si="2"/>
        <v>61.336499200000006</v>
      </c>
    </row>
    <row r="14" spans="1:25" ht="15.5" x14ac:dyDescent="0.35">
      <c r="A14" s="56" t="s">
        <v>26</v>
      </c>
      <c r="B14" s="57">
        <f>SUM(B12,B13)</f>
        <v>8</v>
      </c>
      <c r="C14" s="58">
        <f>SUM(C12,C13)</f>
        <v>16</v>
      </c>
      <c r="D14" s="58">
        <f>SUM(D12,D13)*(1-D17)</f>
        <v>14.399999999999999</v>
      </c>
      <c r="E14" s="58">
        <f>SUM(E12,E13)</f>
        <v>22.4</v>
      </c>
      <c r="F14" s="58">
        <f>SUM(F12,F13)</f>
        <v>30.4</v>
      </c>
      <c r="G14" s="58">
        <f>SUM(G12,G13)*(1-G17)</f>
        <v>23.04</v>
      </c>
      <c r="H14" s="58">
        <f>SUM(H12,H13)</f>
        <v>31.04</v>
      </c>
      <c r="I14" s="58">
        <f>SUM(I12,I13)</f>
        <v>39.04</v>
      </c>
      <c r="J14" s="58">
        <f>SUM(J12,J13)*(1-J17)</f>
        <v>28.224</v>
      </c>
      <c r="K14" s="58">
        <f>SUM(K12,K13)</f>
        <v>36.224000000000004</v>
      </c>
      <c r="L14" s="58">
        <f>SUM(L12,L13)</f>
        <v>52.224000000000004</v>
      </c>
      <c r="M14" s="58">
        <f>SUM(M12,M13)*(1-M17)</f>
        <v>47.756799999999998</v>
      </c>
      <c r="N14" s="58">
        <f>SUM(N12,N13)</f>
        <v>63.756799999999998</v>
      </c>
      <c r="O14" s="58">
        <f>SUM(O12,O13)</f>
        <v>65.756799999999998</v>
      </c>
      <c r="P14" s="58">
        <f>SUM(P12,P13)*(1-P17)</f>
        <v>54.205440000000003</v>
      </c>
      <c r="Q14" s="58">
        <f>SUM(Q12,Q13)</f>
        <v>56.205440000000003</v>
      </c>
      <c r="R14" s="58">
        <f>SUM(R12,R13)</f>
        <v>58.205440000000003</v>
      </c>
      <c r="S14" s="58">
        <f>SUM(S12,S13)*(1-S17)</f>
        <v>49.89235200000001</v>
      </c>
      <c r="T14" s="58">
        <f>SUM(T12,T13)</f>
        <v>54.052352000000013</v>
      </c>
      <c r="U14" s="58">
        <f>SUM(U12,U13)</f>
        <v>58.21235200000001</v>
      </c>
      <c r="V14" s="59">
        <f>SUM(V12,V13)*(1-V17)</f>
        <v>53.016499200000005</v>
      </c>
      <c r="W14" s="58">
        <f>SUM(W12,W13)</f>
        <v>57.176499200000009</v>
      </c>
      <c r="X14" s="58">
        <f>SUM(X12,X13)</f>
        <v>61.336499200000006</v>
      </c>
      <c r="Y14" s="58">
        <f>SUM(Y12,Y13)*(1-Y17)</f>
        <v>58.946849280000002</v>
      </c>
    </row>
    <row r="15" spans="1:25" ht="15.5" x14ac:dyDescent="0.3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</row>
    <row r="16" spans="1:25" ht="15.5" x14ac:dyDescent="0.35">
      <c r="A16" s="53" t="s">
        <v>27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</row>
    <row r="17" spans="1:25" ht="15.5" x14ac:dyDescent="0.35">
      <c r="A17" s="48" t="s">
        <v>48</v>
      </c>
      <c r="B17" s="48"/>
      <c r="C17" s="48"/>
      <c r="D17" s="60">
        <v>0.4</v>
      </c>
      <c r="E17" s="54"/>
      <c r="F17" s="54"/>
      <c r="G17" s="60">
        <v>0.4</v>
      </c>
      <c r="H17" s="48"/>
      <c r="I17" s="48"/>
      <c r="J17" s="60">
        <v>0.4</v>
      </c>
      <c r="K17" s="48"/>
      <c r="L17" s="48"/>
      <c r="M17" s="60">
        <v>0.3</v>
      </c>
      <c r="N17" s="48"/>
      <c r="O17" s="48"/>
      <c r="P17" s="60">
        <v>0.2</v>
      </c>
      <c r="Q17" s="48"/>
      <c r="R17" s="48"/>
      <c r="S17" s="60">
        <v>0.2</v>
      </c>
      <c r="T17" s="48"/>
      <c r="U17" s="48"/>
      <c r="V17" s="60">
        <v>0.15</v>
      </c>
      <c r="W17" s="48"/>
      <c r="X17" s="48"/>
      <c r="Y17" s="60">
        <v>0.1</v>
      </c>
    </row>
    <row r="19" spans="1:25" x14ac:dyDescent="0.35">
      <c r="A19" s="3"/>
    </row>
  </sheetData>
  <mergeCells count="2">
    <mergeCell ref="A4:XFD4"/>
    <mergeCell ref="A1:XFD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377E-CA87-40FC-8C6E-6B25665136AB}">
  <dimension ref="A1:Z38"/>
  <sheetViews>
    <sheetView showGridLines="0" tabSelected="1" zoomScale="105" workbookViewId="0">
      <selection activeCell="B15" sqref="B15"/>
    </sheetView>
  </sheetViews>
  <sheetFormatPr defaultRowHeight="14.5" x14ac:dyDescent="0.35"/>
  <cols>
    <col min="1" max="1" width="33.08984375" customWidth="1"/>
    <col min="3" max="3" width="10" customWidth="1"/>
    <col min="4" max="26" width="10.26953125" bestFit="1" customWidth="1"/>
  </cols>
  <sheetData>
    <row r="1" spans="1:26" x14ac:dyDescent="0.35">
      <c r="A1" s="14"/>
      <c r="B1" s="19"/>
    </row>
    <row r="2" spans="1:26" x14ac:dyDescent="0.35">
      <c r="A2" s="9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35">
      <c r="A3" s="8" t="s">
        <v>33</v>
      </c>
      <c r="B3" s="19"/>
    </row>
    <row r="4" spans="1:26" x14ac:dyDescent="0.35">
      <c r="A4" t="s">
        <v>80</v>
      </c>
      <c r="B4" s="20"/>
      <c r="C4" s="10">
        <v>5000</v>
      </c>
      <c r="D4" s="84">
        <v>5000</v>
      </c>
      <c r="E4" s="84">
        <v>5000</v>
      </c>
      <c r="F4" s="84">
        <v>5000</v>
      </c>
      <c r="G4" s="84">
        <v>5000</v>
      </c>
      <c r="H4" s="84">
        <v>5000</v>
      </c>
      <c r="I4" s="84">
        <v>5000</v>
      </c>
      <c r="J4" s="84">
        <v>5000</v>
      </c>
      <c r="K4" s="84">
        <v>5000</v>
      </c>
      <c r="L4" s="84">
        <v>5000</v>
      </c>
      <c r="M4" s="84">
        <v>5000</v>
      </c>
      <c r="N4" s="84">
        <v>5000</v>
      </c>
      <c r="O4" s="84">
        <v>5000</v>
      </c>
      <c r="P4" s="84">
        <v>5000</v>
      </c>
      <c r="Q4" s="84">
        <v>5000</v>
      </c>
      <c r="R4" s="84">
        <v>5000</v>
      </c>
      <c r="S4" s="84">
        <v>5000</v>
      </c>
      <c r="T4" s="84">
        <v>5000</v>
      </c>
      <c r="U4" s="84">
        <v>5000</v>
      </c>
      <c r="V4" s="84">
        <v>5000</v>
      </c>
      <c r="W4" s="84">
        <v>5000</v>
      </c>
      <c r="X4" s="84">
        <v>5000</v>
      </c>
      <c r="Y4" s="84">
        <v>5000</v>
      </c>
      <c r="Z4" s="84">
        <v>5000</v>
      </c>
    </row>
    <row r="5" spans="1:26" x14ac:dyDescent="0.35">
      <c r="A5" t="s">
        <v>79</v>
      </c>
      <c r="B5" s="20"/>
      <c r="C5" s="16">
        <f>6*8000</f>
        <v>48000</v>
      </c>
      <c r="D5" s="84">
        <v>48000</v>
      </c>
      <c r="E5" s="84">
        <v>48000</v>
      </c>
      <c r="F5" s="84">
        <v>48000</v>
      </c>
      <c r="G5" s="84">
        <v>48000</v>
      </c>
      <c r="H5" s="84">
        <v>48000</v>
      </c>
      <c r="I5" s="84">
        <v>48000</v>
      </c>
      <c r="J5" s="84">
        <v>48000</v>
      </c>
      <c r="K5" s="84">
        <v>48000</v>
      </c>
      <c r="L5" s="84">
        <v>48000</v>
      </c>
      <c r="M5" s="84">
        <v>48000</v>
      </c>
      <c r="N5" s="84">
        <v>48000</v>
      </c>
      <c r="O5" s="84">
        <v>48000</v>
      </c>
      <c r="P5" s="84">
        <v>48000</v>
      </c>
      <c r="Q5" s="84">
        <v>48000</v>
      </c>
      <c r="R5" s="84">
        <v>48000</v>
      </c>
      <c r="S5" s="84">
        <v>48000</v>
      </c>
      <c r="T5" s="84">
        <v>48000</v>
      </c>
      <c r="U5" s="84">
        <v>48000</v>
      </c>
      <c r="V5" s="84">
        <v>48000</v>
      </c>
      <c r="W5" s="84">
        <v>48000</v>
      </c>
      <c r="X5" s="84">
        <v>48000</v>
      </c>
      <c r="Y5" s="84">
        <v>48000</v>
      </c>
      <c r="Z5" s="84">
        <v>48000</v>
      </c>
    </row>
    <row r="6" spans="1:26" x14ac:dyDescent="0.35">
      <c r="A6" t="s">
        <v>78</v>
      </c>
      <c r="B6" s="19"/>
      <c r="C6" s="6">
        <v>8000</v>
      </c>
      <c r="D6" s="84">
        <v>15000</v>
      </c>
      <c r="E6" s="84">
        <v>15000</v>
      </c>
      <c r="F6" s="84">
        <v>15000</v>
      </c>
      <c r="G6" s="84">
        <v>15000</v>
      </c>
      <c r="H6" s="84">
        <v>17000</v>
      </c>
      <c r="I6" s="84">
        <v>17000</v>
      </c>
      <c r="J6" s="84">
        <v>17000</v>
      </c>
      <c r="K6" s="84">
        <v>17000</v>
      </c>
      <c r="L6" s="84">
        <v>17000</v>
      </c>
      <c r="M6" s="84">
        <v>20000</v>
      </c>
      <c r="N6" s="84">
        <v>20000</v>
      </c>
      <c r="O6" s="84">
        <v>20000</v>
      </c>
      <c r="P6" s="84">
        <v>20000</v>
      </c>
      <c r="Q6" s="84">
        <v>20000</v>
      </c>
      <c r="R6" s="84">
        <v>20000</v>
      </c>
      <c r="S6" s="84">
        <v>20000</v>
      </c>
      <c r="T6" s="84">
        <v>20000</v>
      </c>
      <c r="U6" s="84">
        <v>20000</v>
      </c>
      <c r="V6" s="84">
        <v>20000</v>
      </c>
      <c r="W6" s="84">
        <v>20000</v>
      </c>
      <c r="X6" s="84">
        <v>20000</v>
      </c>
      <c r="Y6" s="84">
        <v>20000</v>
      </c>
      <c r="Z6" s="84">
        <v>20000</v>
      </c>
    </row>
    <row r="7" spans="1:26" x14ac:dyDescent="0.35">
      <c r="B7" s="19"/>
    </row>
    <row r="8" spans="1:26" x14ac:dyDescent="0.35">
      <c r="A8" s="8" t="s">
        <v>32</v>
      </c>
      <c r="B8" s="19"/>
    </row>
    <row r="9" spans="1:26" x14ac:dyDescent="0.35">
      <c r="A9" t="s">
        <v>37</v>
      </c>
      <c r="B9" s="21"/>
      <c r="C9" s="7">
        <v>0.2</v>
      </c>
      <c r="D9" s="7">
        <v>0.2</v>
      </c>
      <c r="E9" s="7">
        <v>0.2</v>
      </c>
      <c r="F9" s="7">
        <v>0.2</v>
      </c>
      <c r="G9" s="7">
        <v>0.2</v>
      </c>
      <c r="H9" s="7">
        <v>0.2</v>
      </c>
      <c r="I9" s="7">
        <v>0.2</v>
      </c>
      <c r="J9" s="7">
        <v>0.2</v>
      </c>
      <c r="K9" s="7">
        <v>0.2</v>
      </c>
      <c r="L9" s="7">
        <v>0.2</v>
      </c>
      <c r="M9" s="7">
        <v>0.2</v>
      </c>
      <c r="N9" s="7">
        <v>0.2</v>
      </c>
      <c r="O9" s="7">
        <v>0.2</v>
      </c>
      <c r="P9" s="7">
        <v>0.2</v>
      </c>
      <c r="Q9" s="7">
        <v>0.2</v>
      </c>
      <c r="R9" s="7">
        <v>0.2</v>
      </c>
      <c r="S9" s="7">
        <v>0.2</v>
      </c>
      <c r="T9" s="7">
        <v>0.2</v>
      </c>
      <c r="U9" s="7">
        <v>0.2</v>
      </c>
      <c r="V9" s="7">
        <v>0.2</v>
      </c>
      <c r="W9" s="7">
        <v>0.2</v>
      </c>
      <c r="X9" s="7">
        <v>0.2</v>
      </c>
      <c r="Y9" s="7">
        <v>0.2</v>
      </c>
      <c r="Z9" s="7">
        <v>0.2</v>
      </c>
    </row>
    <row r="10" spans="1:26" x14ac:dyDescent="0.35">
      <c r="A10" t="s">
        <v>38</v>
      </c>
      <c r="B10" s="21"/>
      <c r="C10" s="7">
        <v>0.05</v>
      </c>
      <c r="D10" s="7">
        <v>0.05</v>
      </c>
      <c r="E10" s="7">
        <v>0.05</v>
      </c>
      <c r="F10" s="7">
        <v>0.05</v>
      </c>
      <c r="G10" s="7">
        <v>0.05</v>
      </c>
      <c r="H10" s="7">
        <v>0.05</v>
      </c>
      <c r="I10" s="7">
        <v>0.05</v>
      </c>
      <c r="J10" s="7">
        <v>0.05</v>
      </c>
      <c r="K10" s="7">
        <v>0.05</v>
      </c>
      <c r="L10" s="7">
        <v>0.05</v>
      </c>
      <c r="M10" s="7">
        <v>0.05</v>
      </c>
      <c r="N10" s="7">
        <v>0.05</v>
      </c>
      <c r="O10" s="7">
        <v>0.05</v>
      </c>
      <c r="P10" s="7">
        <v>0.05</v>
      </c>
      <c r="Q10" s="7">
        <v>0.05</v>
      </c>
      <c r="R10" s="7">
        <v>0.05</v>
      </c>
      <c r="S10" s="7">
        <v>0.05</v>
      </c>
      <c r="T10" s="7">
        <v>0.05</v>
      </c>
      <c r="U10" s="7">
        <v>0.05</v>
      </c>
      <c r="V10" s="7">
        <v>0.05</v>
      </c>
      <c r="W10" s="7">
        <v>0.05</v>
      </c>
      <c r="X10" s="7">
        <v>0.05</v>
      </c>
      <c r="Y10" s="7">
        <v>0.05</v>
      </c>
      <c r="Z10" s="7">
        <v>0.05</v>
      </c>
    </row>
    <row r="11" spans="1:26" x14ac:dyDescent="0.35">
      <c r="A11" t="s">
        <v>39</v>
      </c>
      <c r="B11" s="21"/>
      <c r="C11" s="7">
        <v>0.1</v>
      </c>
      <c r="D11" s="7">
        <v>0.1</v>
      </c>
      <c r="E11" s="7">
        <v>0.1</v>
      </c>
      <c r="F11" s="7">
        <v>0.1</v>
      </c>
      <c r="G11" s="7">
        <v>0.1</v>
      </c>
      <c r="H11" s="7">
        <v>0.1</v>
      </c>
      <c r="I11" s="7">
        <v>0.1</v>
      </c>
      <c r="J11" s="7">
        <v>0.1</v>
      </c>
      <c r="K11" s="7">
        <v>0.1</v>
      </c>
      <c r="L11" s="7">
        <v>0.1</v>
      </c>
      <c r="M11" s="7">
        <v>0.1</v>
      </c>
      <c r="N11" s="7">
        <v>0.1</v>
      </c>
      <c r="O11" s="7">
        <v>0.1</v>
      </c>
      <c r="P11" s="7">
        <v>0.1</v>
      </c>
      <c r="Q11" s="7">
        <v>0.1</v>
      </c>
      <c r="R11" s="7">
        <v>0.1</v>
      </c>
      <c r="S11" s="7">
        <v>0.1</v>
      </c>
      <c r="T11" s="7">
        <v>0.1</v>
      </c>
      <c r="U11" s="7">
        <v>0.1</v>
      </c>
      <c r="V11" s="7">
        <v>0.1</v>
      </c>
      <c r="W11" s="7">
        <v>0.1</v>
      </c>
      <c r="X11" s="7">
        <v>0.1</v>
      </c>
      <c r="Y11" s="7">
        <v>0.1</v>
      </c>
      <c r="Z11" s="7">
        <v>0.1</v>
      </c>
    </row>
    <row r="12" spans="1:26" x14ac:dyDescent="0.35">
      <c r="B12" s="19"/>
    </row>
    <row r="13" spans="1:26" x14ac:dyDescent="0.35">
      <c r="A13" s="8" t="s">
        <v>34</v>
      </c>
      <c r="B13" s="19"/>
    </row>
    <row r="14" spans="1:26" x14ac:dyDescent="0.35">
      <c r="A14" s="8" t="s">
        <v>54</v>
      </c>
      <c r="B14" s="19"/>
    </row>
    <row r="15" spans="1:26" x14ac:dyDescent="0.35">
      <c r="A15" t="s">
        <v>82</v>
      </c>
      <c r="B15" s="61">
        <v>8000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>
        <v>3</v>
      </c>
      <c r="N15" s="4">
        <v>3</v>
      </c>
      <c r="O15" s="4">
        <v>3</v>
      </c>
      <c r="P15" s="4">
        <v>3</v>
      </c>
      <c r="Q15" s="4">
        <v>3</v>
      </c>
      <c r="R15" s="4">
        <v>3</v>
      </c>
      <c r="S15" s="4">
        <v>3</v>
      </c>
      <c r="T15" s="4">
        <v>3</v>
      </c>
      <c r="U15" s="4">
        <v>3</v>
      </c>
      <c r="V15" s="4">
        <v>3</v>
      </c>
      <c r="W15" s="4">
        <v>3</v>
      </c>
      <c r="X15" s="4">
        <v>3</v>
      </c>
      <c r="Y15" s="4">
        <v>3</v>
      </c>
      <c r="Z15" s="4">
        <v>3</v>
      </c>
    </row>
    <row r="16" spans="1:26" x14ac:dyDescent="0.35">
      <c r="A16" t="s">
        <v>67</v>
      </c>
      <c r="B16" s="61">
        <v>8000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4">
        <v>3</v>
      </c>
      <c r="N16" s="4">
        <v>3</v>
      </c>
      <c r="O16" s="4">
        <v>3</v>
      </c>
      <c r="P16" s="4">
        <v>3</v>
      </c>
      <c r="Q16" s="4">
        <v>3</v>
      </c>
      <c r="R16" s="4">
        <v>3</v>
      </c>
      <c r="S16" s="4">
        <v>3</v>
      </c>
      <c r="T16" s="4">
        <v>3</v>
      </c>
      <c r="U16" s="4">
        <v>3</v>
      </c>
      <c r="V16" s="4">
        <v>3</v>
      </c>
      <c r="W16" s="4">
        <v>3</v>
      </c>
      <c r="X16" s="4">
        <v>3</v>
      </c>
      <c r="Y16" s="4">
        <v>3</v>
      </c>
      <c r="Z16" s="4">
        <v>3</v>
      </c>
    </row>
    <row r="17" spans="1:26" x14ac:dyDescent="0.35">
      <c r="A17" t="s">
        <v>68</v>
      </c>
      <c r="B17" s="61">
        <v>8000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  <c r="S17" s="4">
        <v>2</v>
      </c>
      <c r="T17" s="4">
        <v>2</v>
      </c>
      <c r="U17" s="4">
        <v>2</v>
      </c>
      <c r="V17" s="4">
        <v>2</v>
      </c>
      <c r="W17" s="4">
        <v>2</v>
      </c>
      <c r="X17" s="4">
        <v>2</v>
      </c>
      <c r="Y17" s="4">
        <v>2</v>
      </c>
      <c r="Z17" s="4">
        <v>2</v>
      </c>
    </row>
    <row r="18" spans="1:26" x14ac:dyDescent="0.35">
      <c r="A18" s="8" t="s">
        <v>35</v>
      </c>
      <c r="B18" s="19"/>
    </row>
    <row r="19" spans="1:26" x14ac:dyDescent="0.35">
      <c r="A19" t="s">
        <v>40</v>
      </c>
      <c r="B19" s="19"/>
      <c r="C19" s="26">
        <f>'Customer Acquisition'!B7</f>
        <v>2600</v>
      </c>
      <c r="D19" s="40">
        <f>'Customer Acquisition'!C7</f>
        <v>2600</v>
      </c>
      <c r="E19" s="40">
        <f>'Customer Acquisition'!D7</f>
        <v>2600</v>
      </c>
      <c r="F19" s="40">
        <f>'Customer Acquisition'!E7</f>
        <v>2600</v>
      </c>
      <c r="G19" s="40">
        <f>'Customer Acquisition'!F7</f>
        <v>2600</v>
      </c>
      <c r="H19" s="40">
        <f>'Customer Acquisition'!G7</f>
        <v>2600</v>
      </c>
      <c r="I19" s="40">
        <f>'Customer Acquisition'!H7</f>
        <v>2600</v>
      </c>
      <c r="J19" s="40">
        <f>'Customer Acquisition'!I7</f>
        <v>2600</v>
      </c>
      <c r="K19" s="40">
        <f>'Customer Acquisition'!J7</f>
        <v>2600</v>
      </c>
      <c r="L19" s="40">
        <f>'Customer Acquisition'!K7</f>
        <v>2600</v>
      </c>
      <c r="M19" s="40">
        <f>'Customer Acquisition'!L7</f>
        <v>2600</v>
      </c>
      <c r="N19" s="40">
        <f>'Customer Acquisition'!M7</f>
        <v>2600</v>
      </c>
      <c r="O19" s="40">
        <f>'Customer Acquisition'!N7</f>
        <v>2600</v>
      </c>
      <c r="P19" s="40">
        <f>'Customer Acquisition'!O7</f>
        <v>2600</v>
      </c>
      <c r="Q19" s="40">
        <f>'Customer Acquisition'!P7</f>
        <v>2600</v>
      </c>
      <c r="R19" s="40">
        <f>'Customer Acquisition'!Q7</f>
        <v>2600</v>
      </c>
      <c r="S19" s="40">
        <f>'Customer Acquisition'!R7</f>
        <v>2600</v>
      </c>
      <c r="T19" s="40">
        <f>'Customer Acquisition'!S7</f>
        <v>2600</v>
      </c>
      <c r="U19" s="40">
        <f>'Customer Acquisition'!T7</f>
        <v>2600</v>
      </c>
      <c r="V19" s="40">
        <f>'Customer Acquisition'!U7</f>
        <v>2600</v>
      </c>
      <c r="W19" s="40">
        <f>'Customer Acquisition'!V7</f>
        <v>2600</v>
      </c>
      <c r="X19" s="40">
        <f>'Customer Acquisition'!W7</f>
        <v>2600</v>
      </c>
      <c r="Y19" s="40">
        <f>'Customer Acquisition'!X7</f>
        <v>2600</v>
      </c>
      <c r="Z19" s="40">
        <f>'Customer Acquisition'!Y7</f>
        <v>2600</v>
      </c>
    </row>
    <row r="20" spans="1:26" x14ac:dyDescent="0.35">
      <c r="A20" t="s">
        <v>30</v>
      </c>
      <c r="B20" s="19"/>
      <c r="C20" s="65">
        <v>0.1</v>
      </c>
      <c r="D20" s="7">
        <v>0.1</v>
      </c>
      <c r="E20" s="7">
        <v>0.1</v>
      </c>
      <c r="F20" s="7">
        <v>0.1</v>
      </c>
      <c r="G20" s="7">
        <v>0.1</v>
      </c>
      <c r="H20" s="7">
        <v>0.1</v>
      </c>
      <c r="I20" s="7">
        <v>0.1</v>
      </c>
      <c r="J20" s="7">
        <v>0.1</v>
      </c>
      <c r="K20" s="7">
        <v>0.1</v>
      </c>
      <c r="L20" s="7">
        <v>0.1</v>
      </c>
      <c r="M20" s="7">
        <v>0.1</v>
      </c>
      <c r="N20" s="7">
        <v>0.1</v>
      </c>
      <c r="O20" s="7">
        <v>0.1</v>
      </c>
      <c r="P20" s="7">
        <v>0.1</v>
      </c>
      <c r="Q20" s="7">
        <v>0.1</v>
      </c>
      <c r="R20" s="7">
        <v>0.1</v>
      </c>
      <c r="S20" s="7">
        <v>0.1</v>
      </c>
      <c r="T20" s="7">
        <v>0.1</v>
      </c>
      <c r="U20" s="7">
        <v>0.1</v>
      </c>
      <c r="V20" s="7">
        <v>0.1</v>
      </c>
      <c r="W20" s="7">
        <v>0.1</v>
      </c>
      <c r="X20" s="7">
        <v>0.1</v>
      </c>
      <c r="Y20" s="7">
        <v>0.1</v>
      </c>
      <c r="Z20" s="7">
        <v>0.1</v>
      </c>
    </row>
    <row r="21" spans="1:26" x14ac:dyDescent="0.35">
      <c r="A21" t="s">
        <v>81</v>
      </c>
      <c r="B21" s="19"/>
      <c r="C21" s="67">
        <v>0</v>
      </c>
      <c r="D21" s="1">
        <f t="shared" ref="D21:Z21" si="0">D31</f>
        <v>0</v>
      </c>
      <c r="E21" s="1">
        <f t="shared" si="0"/>
        <v>0</v>
      </c>
      <c r="F21" s="1">
        <f t="shared" si="0"/>
        <v>0</v>
      </c>
      <c r="G21" s="1">
        <f t="shared" si="0"/>
        <v>0</v>
      </c>
      <c r="H21" s="1">
        <f t="shared" si="0"/>
        <v>0</v>
      </c>
      <c r="I21" s="1">
        <f t="shared" si="0"/>
        <v>0</v>
      </c>
      <c r="J21" s="1">
        <f t="shared" si="0"/>
        <v>0</v>
      </c>
      <c r="K21" s="1">
        <f t="shared" si="0"/>
        <v>0</v>
      </c>
      <c r="L21" s="1">
        <f t="shared" si="0"/>
        <v>0</v>
      </c>
      <c r="M21" s="1">
        <f t="shared" si="0"/>
        <v>0</v>
      </c>
      <c r="N21" s="1">
        <f t="shared" si="0"/>
        <v>0</v>
      </c>
      <c r="O21" s="1">
        <f t="shared" si="0"/>
        <v>0</v>
      </c>
      <c r="P21" s="1">
        <f t="shared" si="0"/>
        <v>0</v>
      </c>
      <c r="Q21" s="1">
        <f t="shared" si="0"/>
        <v>0</v>
      </c>
      <c r="R21" s="1">
        <f t="shared" si="0"/>
        <v>0</v>
      </c>
      <c r="S21" s="1">
        <f t="shared" si="0"/>
        <v>0</v>
      </c>
      <c r="T21" s="1">
        <f t="shared" si="0"/>
        <v>0</v>
      </c>
      <c r="U21" s="1">
        <f t="shared" si="0"/>
        <v>0</v>
      </c>
      <c r="V21" s="1">
        <f t="shared" si="0"/>
        <v>0</v>
      </c>
      <c r="W21" s="1">
        <f t="shared" si="0"/>
        <v>0</v>
      </c>
      <c r="X21" s="1">
        <f t="shared" si="0"/>
        <v>0</v>
      </c>
      <c r="Y21" s="1">
        <f t="shared" si="0"/>
        <v>0</v>
      </c>
      <c r="Z21" s="1">
        <f t="shared" si="0"/>
        <v>0</v>
      </c>
    </row>
    <row r="22" spans="1:26" x14ac:dyDescent="0.35">
      <c r="A22" t="s">
        <v>42</v>
      </c>
      <c r="B22" s="19"/>
      <c r="C22" s="65">
        <v>0.05</v>
      </c>
      <c r="D22" s="7">
        <v>0.05</v>
      </c>
      <c r="E22" s="7">
        <v>0.05</v>
      </c>
      <c r="F22" s="7">
        <v>0.05</v>
      </c>
      <c r="G22" s="7">
        <v>0.05</v>
      </c>
      <c r="H22" s="7">
        <v>0.05</v>
      </c>
      <c r="I22" s="7">
        <v>0.05</v>
      </c>
      <c r="J22" s="7">
        <v>0.05</v>
      </c>
      <c r="K22" s="7">
        <v>0.05</v>
      </c>
      <c r="L22" s="7">
        <v>0.05</v>
      </c>
      <c r="M22" s="7">
        <v>0.05</v>
      </c>
      <c r="N22" s="7">
        <v>0.05</v>
      </c>
      <c r="O22" s="7">
        <v>0.05</v>
      </c>
      <c r="P22" s="7">
        <v>0.05</v>
      </c>
      <c r="Q22" s="7">
        <v>0.05</v>
      </c>
      <c r="R22" s="7">
        <v>0.05</v>
      </c>
      <c r="S22" s="7">
        <v>0.05</v>
      </c>
      <c r="T22" s="7">
        <v>0.05</v>
      </c>
      <c r="U22" s="7">
        <v>0.05</v>
      </c>
      <c r="V22" s="7">
        <v>0.05</v>
      </c>
      <c r="W22" s="7">
        <v>0.05</v>
      </c>
      <c r="X22" s="7">
        <v>0.05</v>
      </c>
      <c r="Y22" s="7">
        <v>0.05</v>
      </c>
      <c r="Z22" s="7">
        <v>0.05</v>
      </c>
    </row>
    <row r="23" spans="1:26" x14ac:dyDescent="0.35">
      <c r="B23" s="1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7" spans="1:26" x14ac:dyDescent="0.35">
      <c r="A27" s="18" t="s">
        <v>56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35">
      <c r="A28" s="3" t="s">
        <v>57</v>
      </c>
      <c r="B28" s="19"/>
    </row>
    <row r="29" spans="1:26" x14ac:dyDescent="0.35">
      <c r="A29" t="s">
        <v>61</v>
      </c>
      <c r="B29" s="19"/>
      <c r="C29" s="5">
        <v>300000</v>
      </c>
      <c r="D29" s="1">
        <f t="shared" ref="D29:Z29" si="1">C32</f>
        <v>350000</v>
      </c>
      <c r="E29" s="1">
        <f t="shared" si="1"/>
        <v>400000</v>
      </c>
      <c r="F29" s="1">
        <f t="shared" si="1"/>
        <v>450000</v>
      </c>
      <c r="G29" s="1">
        <f t="shared" si="1"/>
        <v>500000</v>
      </c>
      <c r="H29" s="1">
        <f t="shared" si="1"/>
        <v>550000</v>
      </c>
      <c r="I29" s="1">
        <f t="shared" si="1"/>
        <v>550000</v>
      </c>
      <c r="J29" s="1">
        <f t="shared" si="1"/>
        <v>550000</v>
      </c>
      <c r="K29" s="1">
        <f t="shared" si="1"/>
        <v>650000</v>
      </c>
      <c r="L29" s="1">
        <f t="shared" si="1"/>
        <v>650000</v>
      </c>
      <c r="M29" s="1">
        <f t="shared" si="1"/>
        <v>700000</v>
      </c>
      <c r="N29" s="1">
        <f t="shared" si="1"/>
        <v>700000</v>
      </c>
      <c r="O29" s="1">
        <f t="shared" si="1"/>
        <v>700000</v>
      </c>
      <c r="P29" s="1">
        <f t="shared" si="1"/>
        <v>700000</v>
      </c>
      <c r="Q29" s="1">
        <f t="shared" si="1"/>
        <v>700000</v>
      </c>
      <c r="R29" s="1">
        <f t="shared" si="1"/>
        <v>750000</v>
      </c>
      <c r="S29" s="1">
        <f t="shared" si="1"/>
        <v>750000</v>
      </c>
      <c r="T29" s="1">
        <f t="shared" si="1"/>
        <v>750000</v>
      </c>
      <c r="U29" s="1">
        <f t="shared" si="1"/>
        <v>750000</v>
      </c>
      <c r="V29" s="1">
        <f t="shared" si="1"/>
        <v>750000</v>
      </c>
      <c r="W29" s="1">
        <f t="shared" si="1"/>
        <v>800000</v>
      </c>
      <c r="X29" s="1">
        <f t="shared" si="1"/>
        <v>800000</v>
      </c>
      <c r="Y29" s="1">
        <f t="shared" si="1"/>
        <v>800000</v>
      </c>
      <c r="Z29" s="1">
        <f t="shared" si="1"/>
        <v>1100000</v>
      </c>
    </row>
    <row r="30" spans="1:26" x14ac:dyDescent="0.35">
      <c r="A30" t="s">
        <v>69</v>
      </c>
      <c r="B30" s="19"/>
      <c r="C30" s="6">
        <v>50000</v>
      </c>
      <c r="D30" s="39">
        <v>50000</v>
      </c>
      <c r="E30" s="39">
        <v>50000</v>
      </c>
      <c r="F30" s="39">
        <v>50000</v>
      </c>
      <c r="G30" s="39">
        <v>50000</v>
      </c>
      <c r="H30" s="39">
        <f>H34</f>
        <v>0</v>
      </c>
      <c r="I30" s="39">
        <f>I34</f>
        <v>0</v>
      </c>
      <c r="J30" s="39">
        <v>100000</v>
      </c>
      <c r="K30" s="39">
        <f>K34</f>
        <v>0</v>
      </c>
      <c r="L30" s="39">
        <v>50000</v>
      </c>
      <c r="M30" s="39">
        <f>M34</f>
        <v>0</v>
      </c>
      <c r="N30" s="39">
        <f>N34</f>
        <v>0</v>
      </c>
      <c r="O30" s="39">
        <f>O34</f>
        <v>0</v>
      </c>
      <c r="P30" s="39">
        <f>P34</f>
        <v>0</v>
      </c>
      <c r="Q30" s="39">
        <v>50000</v>
      </c>
      <c r="R30" s="39">
        <f>R34</f>
        <v>0</v>
      </c>
      <c r="S30" s="39">
        <f>S34</f>
        <v>0</v>
      </c>
      <c r="T30" s="39">
        <f>T34</f>
        <v>0</v>
      </c>
      <c r="U30" s="39">
        <f>U34</f>
        <v>0</v>
      </c>
      <c r="V30" s="39">
        <v>50000</v>
      </c>
      <c r="W30" s="39">
        <f>W34</f>
        <v>0</v>
      </c>
      <c r="X30" s="39">
        <f>X34</f>
        <v>0</v>
      </c>
      <c r="Y30" s="39">
        <v>300000</v>
      </c>
      <c r="Z30" s="39">
        <f>Z34</f>
        <v>0</v>
      </c>
    </row>
    <row r="31" spans="1:26" x14ac:dyDescent="0.35">
      <c r="A31" t="s">
        <v>81</v>
      </c>
      <c r="B31" s="19"/>
      <c r="C31" s="68">
        <f t="shared" ref="C31:Z31" si="2">-(0)</f>
        <v>0</v>
      </c>
      <c r="D31" s="62">
        <f t="shared" si="2"/>
        <v>0</v>
      </c>
      <c r="E31" s="62">
        <f t="shared" si="2"/>
        <v>0</v>
      </c>
      <c r="F31" s="62">
        <f t="shared" si="2"/>
        <v>0</v>
      </c>
      <c r="G31" s="62">
        <f t="shared" si="2"/>
        <v>0</v>
      </c>
      <c r="H31" s="62">
        <f t="shared" si="2"/>
        <v>0</v>
      </c>
      <c r="I31" s="62">
        <f t="shared" si="2"/>
        <v>0</v>
      </c>
      <c r="J31" s="62">
        <f t="shared" si="2"/>
        <v>0</v>
      </c>
      <c r="K31" s="62">
        <f t="shared" si="2"/>
        <v>0</v>
      </c>
      <c r="L31" s="62">
        <f t="shared" si="2"/>
        <v>0</v>
      </c>
      <c r="M31" s="62">
        <f t="shared" si="2"/>
        <v>0</v>
      </c>
      <c r="N31" s="62">
        <f t="shared" si="2"/>
        <v>0</v>
      </c>
      <c r="O31" s="62">
        <f t="shared" si="2"/>
        <v>0</v>
      </c>
      <c r="P31" s="62">
        <f t="shared" si="2"/>
        <v>0</v>
      </c>
      <c r="Q31" s="62">
        <f t="shared" si="2"/>
        <v>0</v>
      </c>
      <c r="R31" s="62">
        <f t="shared" si="2"/>
        <v>0</v>
      </c>
      <c r="S31" s="62">
        <f t="shared" si="2"/>
        <v>0</v>
      </c>
      <c r="T31" s="62">
        <f t="shared" si="2"/>
        <v>0</v>
      </c>
      <c r="U31" s="62">
        <f t="shared" si="2"/>
        <v>0</v>
      </c>
      <c r="V31" s="62">
        <f t="shared" si="2"/>
        <v>0</v>
      </c>
      <c r="W31" s="62">
        <f t="shared" si="2"/>
        <v>0</v>
      </c>
      <c r="X31" s="62">
        <f t="shared" si="2"/>
        <v>0</v>
      </c>
      <c r="Y31" s="62">
        <f t="shared" si="2"/>
        <v>0</v>
      </c>
      <c r="Z31" s="62">
        <f t="shared" si="2"/>
        <v>0</v>
      </c>
    </row>
    <row r="32" spans="1:26" x14ac:dyDescent="0.35">
      <c r="A32" s="41" t="s">
        <v>75</v>
      </c>
      <c r="B32" s="19"/>
      <c r="C32" s="31">
        <f>C29+C30+C31</f>
        <v>350000</v>
      </c>
      <c r="D32" s="17">
        <f>D29+D30+D31</f>
        <v>400000</v>
      </c>
      <c r="E32" s="17">
        <f>E29+E30+E31</f>
        <v>450000</v>
      </c>
      <c r="F32" s="17">
        <f>F29+F30+F31</f>
        <v>500000</v>
      </c>
      <c r="G32" s="17">
        <f t="shared" ref="G32:Z32" si="3">G29+G30+G31</f>
        <v>550000</v>
      </c>
      <c r="H32" s="17">
        <f t="shared" si="3"/>
        <v>550000</v>
      </c>
      <c r="I32" s="17">
        <f t="shared" si="3"/>
        <v>550000</v>
      </c>
      <c r="J32" s="17">
        <f t="shared" si="3"/>
        <v>650000</v>
      </c>
      <c r="K32" s="17">
        <f t="shared" si="3"/>
        <v>650000</v>
      </c>
      <c r="L32" s="17">
        <f t="shared" si="3"/>
        <v>700000</v>
      </c>
      <c r="M32" s="17">
        <f t="shared" si="3"/>
        <v>700000</v>
      </c>
      <c r="N32" s="17">
        <f t="shared" si="3"/>
        <v>700000</v>
      </c>
      <c r="O32" s="17">
        <f t="shared" si="3"/>
        <v>700000</v>
      </c>
      <c r="P32" s="17">
        <f t="shared" si="3"/>
        <v>700000</v>
      </c>
      <c r="Q32" s="17">
        <f t="shared" si="3"/>
        <v>750000</v>
      </c>
      <c r="R32" s="17">
        <f t="shared" si="3"/>
        <v>750000</v>
      </c>
      <c r="S32" s="17">
        <f t="shared" si="3"/>
        <v>750000</v>
      </c>
      <c r="T32" s="17">
        <f t="shared" si="3"/>
        <v>750000</v>
      </c>
      <c r="U32" s="17">
        <f t="shared" si="3"/>
        <v>750000</v>
      </c>
      <c r="V32" s="17">
        <f t="shared" si="3"/>
        <v>800000</v>
      </c>
      <c r="W32" s="17">
        <f t="shared" si="3"/>
        <v>800000</v>
      </c>
      <c r="X32" s="17">
        <f t="shared" si="3"/>
        <v>800000</v>
      </c>
      <c r="Y32" s="17">
        <f t="shared" si="3"/>
        <v>1100000</v>
      </c>
      <c r="Z32" s="17">
        <f t="shared" si="3"/>
        <v>1100000</v>
      </c>
    </row>
    <row r="33" spans="1:26" x14ac:dyDescent="0.35">
      <c r="B33" s="19"/>
    </row>
    <row r="34" spans="1:26" x14ac:dyDescent="0.35">
      <c r="A34" s="3" t="s">
        <v>62</v>
      </c>
      <c r="B34" s="19"/>
      <c r="C34" s="6"/>
      <c r="D34" s="6"/>
      <c r="E34" s="6"/>
      <c r="F34" s="6"/>
    </row>
    <row r="35" spans="1:26" x14ac:dyDescent="0.35">
      <c r="A35" t="s">
        <v>61</v>
      </c>
      <c r="B35" s="19"/>
      <c r="C35" s="27">
        <f>(500000*14.5/100)*(2)+500000</f>
        <v>645000</v>
      </c>
      <c r="D35" s="22">
        <f t="shared" ref="D35:Z35" si="4">C38</f>
        <v>618125</v>
      </c>
      <c r="E35" s="22">
        <f t="shared" si="4"/>
        <v>591250.33333333337</v>
      </c>
      <c r="F35" s="22">
        <f t="shared" si="4"/>
        <v>564375.66666666674</v>
      </c>
      <c r="G35" s="22">
        <f t="shared" si="4"/>
        <v>537501.00000000012</v>
      </c>
      <c r="H35" s="22">
        <f t="shared" si="4"/>
        <v>510626.33333333343</v>
      </c>
      <c r="I35" s="22">
        <f t="shared" si="4"/>
        <v>483751.66666666674</v>
      </c>
      <c r="J35" s="22">
        <f t="shared" si="4"/>
        <v>456877.00000000006</v>
      </c>
      <c r="K35" s="22">
        <f t="shared" si="4"/>
        <v>430002.33333333337</v>
      </c>
      <c r="L35" s="22">
        <f t="shared" si="4"/>
        <v>403127.66666666669</v>
      </c>
      <c r="M35" s="22">
        <f t="shared" si="4"/>
        <v>376253</v>
      </c>
      <c r="N35" s="22">
        <f t="shared" si="4"/>
        <v>349378.33333333331</v>
      </c>
      <c r="O35" s="22">
        <f t="shared" si="4"/>
        <v>322503.66666666663</v>
      </c>
      <c r="P35" s="22">
        <f t="shared" si="4"/>
        <v>295628.99999999994</v>
      </c>
      <c r="Q35" s="22">
        <f t="shared" si="4"/>
        <v>268754.33333333326</v>
      </c>
      <c r="R35" s="22">
        <f t="shared" si="4"/>
        <v>241879.6666666666</v>
      </c>
      <c r="S35" s="22">
        <f t="shared" si="4"/>
        <v>215004.99999999994</v>
      </c>
      <c r="T35" s="22">
        <f t="shared" si="4"/>
        <v>188130.33333333328</v>
      </c>
      <c r="U35" s="22">
        <f t="shared" si="4"/>
        <v>161255.66666666663</v>
      </c>
      <c r="V35" s="22">
        <f t="shared" si="4"/>
        <v>134380.99999999997</v>
      </c>
      <c r="W35" s="22">
        <f t="shared" si="4"/>
        <v>107506.3333333333</v>
      </c>
      <c r="X35" s="22">
        <f t="shared" si="4"/>
        <v>80631.666666666628</v>
      </c>
      <c r="Y35" s="22">
        <f t="shared" si="4"/>
        <v>53756.999999999964</v>
      </c>
      <c r="Z35" s="22">
        <f t="shared" si="4"/>
        <v>26882.333333333296</v>
      </c>
    </row>
    <row r="36" spans="1:26" x14ac:dyDescent="0.35">
      <c r="A36" t="s">
        <v>70</v>
      </c>
      <c r="B36" s="19"/>
      <c r="C36" s="71">
        <f>-(C35/24+C37)</f>
        <v>-20833.333333333332</v>
      </c>
      <c r="D36" s="74">
        <v>-20833</v>
      </c>
      <c r="E36" s="74">
        <v>-20833</v>
      </c>
      <c r="F36" s="74">
        <v>-20833</v>
      </c>
      <c r="G36" s="74">
        <v>-20833</v>
      </c>
      <c r="H36" s="74">
        <v>-20833</v>
      </c>
      <c r="I36" s="74">
        <v>-20833</v>
      </c>
      <c r="J36" s="74">
        <v>-20833</v>
      </c>
      <c r="K36" s="74">
        <v>-20833</v>
      </c>
      <c r="L36" s="74">
        <v>-20833</v>
      </c>
      <c r="M36" s="74">
        <v>-20833</v>
      </c>
      <c r="N36" s="74">
        <v>-20833</v>
      </c>
      <c r="O36" s="74">
        <v>-20833</v>
      </c>
      <c r="P36" s="74">
        <v>-20833</v>
      </c>
      <c r="Q36" s="74">
        <v>-20833</v>
      </c>
      <c r="R36" s="74">
        <v>-20833</v>
      </c>
      <c r="S36" s="74">
        <v>-20833</v>
      </c>
      <c r="T36" s="74">
        <v>-20833</v>
      </c>
      <c r="U36" s="74">
        <v>-20833</v>
      </c>
      <c r="V36" s="74">
        <v>-20833</v>
      </c>
      <c r="W36" s="74">
        <v>-20833</v>
      </c>
      <c r="X36" s="74">
        <v>-20833</v>
      </c>
      <c r="Y36" s="74">
        <v>-20833</v>
      </c>
      <c r="Z36" s="74">
        <v>-20833</v>
      </c>
    </row>
    <row r="37" spans="1:26" x14ac:dyDescent="0.35">
      <c r="A37" t="s">
        <v>41</v>
      </c>
      <c r="B37" s="19"/>
      <c r="C37" s="71">
        <f>-'Income Statement'!C36</f>
        <v>-6041.666666666667</v>
      </c>
      <c r="D37" s="71">
        <f>-'Income Statement'!D36</f>
        <v>-6041.666666666667</v>
      </c>
      <c r="E37" s="71">
        <f>-'Income Statement'!E36</f>
        <v>-6041.666666666667</v>
      </c>
      <c r="F37" s="71">
        <f>-'Income Statement'!F36</f>
        <v>-6041.666666666667</v>
      </c>
      <c r="G37" s="71">
        <f>-'Income Statement'!G36</f>
        <v>-6041.666666666667</v>
      </c>
      <c r="H37" s="71">
        <f>-'Income Statement'!H36</f>
        <v>-6041.666666666667</v>
      </c>
      <c r="I37" s="71">
        <f>-'Income Statement'!I36</f>
        <v>-6041.666666666667</v>
      </c>
      <c r="J37" s="71">
        <f>-'Income Statement'!J36</f>
        <v>-6041.666666666667</v>
      </c>
      <c r="K37" s="71">
        <f>-'Income Statement'!K36</f>
        <v>-6041.666666666667</v>
      </c>
      <c r="L37" s="71">
        <f>-'Income Statement'!L36</f>
        <v>-6041.666666666667</v>
      </c>
      <c r="M37" s="71">
        <f>-'Income Statement'!M36</f>
        <v>-6041.666666666667</v>
      </c>
      <c r="N37" s="66">
        <f>-'Income Statement'!N36</f>
        <v>-6041.666666666667</v>
      </c>
      <c r="O37" s="71">
        <f>-'Income Statement'!O36</f>
        <v>-6041.666666666667</v>
      </c>
      <c r="P37" s="71">
        <f>-'Income Statement'!P36</f>
        <v>-6041.666666666667</v>
      </c>
      <c r="Q37" s="71">
        <f>-'Income Statement'!Q36</f>
        <v>-6041.666666666667</v>
      </c>
      <c r="R37" s="71">
        <f>-'Income Statement'!R36</f>
        <v>-6041.666666666667</v>
      </c>
      <c r="S37" s="71">
        <f>-'Income Statement'!S36</f>
        <v>-6041.666666666667</v>
      </c>
      <c r="T37" s="71">
        <f>-'Income Statement'!T36</f>
        <v>-6041.666666666667</v>
      </c>
      <c r="U37" s="71">
        <f>-'Income Statement'!U36</f>
        <v>-6041.666666666667</v>
      </c>
      <c r="V37" s="71">
        <f>-'Income Statement'!V36</f>
        <v>-6041.666666666667</v>
      </c>
      <c r="W37" s="71">
        <f>-'Income Statement'!W36</f>
        <v>-6041.666666666667</v>
      </c>
      <c r="X37" s="71">
        <f>-'Income Statement'!X36</f>
        <v>-6041.666666666667</v>
      </c>
      <c r="Y37" s="71">
        <f>-'Income Statement'!Y36</f>
        <v>-6041.666666666667</v>
      </c>
      <c r="Z37" s="71">
        <f>-'Income Statement'!Z36</f>
        <v>-6041.666666666667</v>
      </c>
    </row>
    <row r="38" spans="1:26" x14ac:dyDescent="0.35">
      <c r="A38" s="41" t="s">
        <v>63</v>
      </c>
      <c r="B38" s="19"/>
      <c r="C38" s="31">
        <f t="shared" ref="C38:Y38" si="5">SUM(C35:C37)</f>
        <v>618125</v>
      </c>
      <c r="D38" s="32">
        <f t="shared" si="5"/>
        <v>591250.33333333337</v>
      </c>
      <c r="E38" s="32">
        <f t="shared" si="5"/>
        <v>564375.66666666674</v>
      </c>
      <c r="F38" s="32">
        <f t="shared" si="5"/>
        <v>537501.00000000012</v>
      </c>
      <c r="G38" s="32">
        <f t="shared" si="5"/>
        <v>510626.33333333343</v>
      </c>
      <c r="H38" s="32">
        <f t="shared" si="5"/>
        <v>483751.66666666674</v>
      </c>
      <c r="I38" s="32">
        <f t="shared" si="5"/>
        <v>456877.00000000006</v>
      </c>
      <c r="J38" s="32">
        <f t="shared" si="5"/>
        <v>430002.33333333337</v>
      </c>
      <c r="K38" s="32">
        <f t="shared" si="5"/>
        <v>403127.66666666669</v>
      </c>
      <c r="L38" s="32">
        <f t="shared" si="5"/>
        <v>376253</v>
      </c>
      <c r="M38" s="32">
        <f t="shared" si="5"/>
        <v>349378.33333333331</v>
      </c>
      <c r="N38" s="32">
        <f t="shared" si="5"/>
        <v>322503.66666666663</v>
      </c>
      <c r="O38" s="32">
        <f t="shared" si="5"/>
        <v>295628.99999999994</v>
      </c>
      <c r="P38" s="32">
        <f t="shared" si="5"/>
        <v>268754.33333333326</v>
      </c>
      <c r="Q38" s="32">
        <f t="shared" si="5"/>
        <v>241879.6666666666</v>
      </c>
      <c r="R38" s="32">
        <f t="shared" si="5"/>
        <v>215004.99999999994</v>
      </c>
      <c r="S38" s="32">
        <f t="shared" si="5"/>
        <v>188130.33333333328</v>
      </c>
      <c r="T38" s="32">
        <f t="shared" si="5"/>
        <v>161255.66666666663</v>
      </c>
      <c r="U38" s="32">
        <f t="shared" si="5"/>
        <v>134380.99999999997</v>
      </c>
      <c r="V38" s="32">
        <f t="shared" si="5"/>
        <v>107506.3333333333</v>
      </c>
      <c r="W38" s="32">
        <f t="shared" si="5"/>
        <v>80631.666666666628</v>
      </c>
      <c r="X38" s="32">
        <f t="shared" si="5"/>
        <v>53756.999999999964</v>
      </c>
      <c r="Y38" s="32">
        <f t="shared" si="5"/>
        <v>26882.333333333296</v>
      </c>
      <c r="Z38" s="32">
        <f>ROUNDDOWN(SUM(Z35:Z37),-1)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D558-AD39-4EA8-BF65-008152C45106}">
  <dimension ref="A1:AA24"/>
  <sheetViews>
    <sheetView showGridLines="0" topLeftCell="A3" zoomScale="120" zoomScaleNormal="58" workbookViewId="0">
      <selection activeCell="G24" sqref="G24"/>
    </sheetView>
  </sheetViews>
  <sheetFormatPr defaultRowHeight="14.5" x14ac:dyDescent="0.35"/>
  <cols>
    <col min="1" max="1" width="30.54296875" bestFit="1" customWidth="1"/>
    <col min="3" max="3" width="9.6328125" bestFit="1" customWidth="1"/>
    <col min="4" max="4" width="9.54296875" bestFit="1" customWidth="1"/>
  </cols>
  <sheetData>
    <row r="1" spans="1:27" s="88" customFormat="1" x14ac:dyDescent="0.35"/>
    <row r="2" spans="1:27" s="88" customFormat="1" x14ac:dyDescent="0.35"/>
    <row r="3" spans="1:27" s="88" customFormat="1" x14ac:dyDescent="0.35"/>
    <row r="4" spans="1:27" x14ac:dyDescent="0.35">
      <c r="A4" s="11" t="s">
        <v>86</v>
      </c>
      <c r="B4" s="11"/>
      <c r="C4" s="12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2" t="s">
        <v>9</v>
      </c>
      <c r="M4" s="12" t="s">
        <v>10</v>
      </c>
      <c r="N4" s="12" t="s">
        <v>11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16</v>
      </c>
      <c r="T4" s="12" t="s">
        <v>17</v>
      </c>
      <c r="U4" s="12" t="s">
        <v>18</v>
      </c>
      <c r="V4" s="12" t="s">
        <v>19</v>
      </c>
      <c r="W4" s="12" t="s">
        <v>20</v>
      </c>
      <c r="X4" s="12" t="s">
        <v>21</v>
      </c>
      <c r="Y4" s="12" t="s">
        <v>22</v>
      </c>
      <c r="Z4" s="12" t="s">
        <v>23</v>
      </c>
    </row>
    <row r="6" spans="1:27" x14ac:dyDescent="0.35">
      <c r="A6" s="18" t="s">
        <v>56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7" x14ac:dyDescent="0.35">
      <c r="A7" s="3" t="s">
        <v>57</v>
      </c>
      <c r="B7" s="19"/>
    </row>
    <row r="8" spans="1:27" x14ac:dyDescent="0.35">
      <c r="A8" t="s">
        <v>61</v>
      </c>
      <c r="B8" s="19"/>
      <c r="C8" s="5">
        <v>300000</v>
      </c>
      <c r="D8" s="27">
        <f t="shared" ref="D8:I8" si="0">C11</f>
        <v>350000</v>
      </c>
      <c r="E8" s="1">
        <f t="shared" si="0"/>
        <v>400000</v>
      </c>
      <c r="F8" s="1">
        <f t="shared" si="0"/>
        <v>450000</v>
      </c>
      <c r="G8" s="1">
        <f t="shared" si="0"/>
        <v>500000</v>
      </c>
      <c r="H8" s="1">
        <f t="shared" si="0"/>
        <v>550000</v>
      </c>
      <c r="I8" s="1">
        <f t="shared" si="0"/>
        <v>550000</v>
      </c>
      <c r="J8" s="1">
        <f t="shared" ref="J8:Z8" si="1">I11</f>
        <v>550000</v>
      </c>
      <c r="K8" s="1">
        <f t="shared" si="1"/>
        <v>650000</v>
      </c>
      <c r="L8" s="1">
        <f t="shared" si="1"/>
        <v>650000</v>
      </c>
      <c r="M8" s="1">
        <f t="shared" si="1"/>
        <v>700000</v>
      </c>
      <c r="N8" s="1">
        <f t="shared" si="1"/>
        <v>700000</v>
      </c>
      <c r="O8" s="1">
        <f t="shared" si="1"/>
        <v>700000</v>
      </c>
      <c r="P8" s="1">
        <f t="shared" si="1"/>
        <v>700000</v>
      </c>
      <c r="Q8" s="1">
        <f t="shared" si="1"/>
        <v>700000</v>
      </c>
      <c r="R8" s="1">
        <f t="shared" si="1"/>
        <v>750000</v>
      </c>
      <c r="S8" s="1">
        <f t="shared" si="1"/>
        <v>750000</v>
      </c>
      <c r="T8" s="1">
        <f t="shared" si="1"/>
        <v>750000</v>
      </c>
      <c r="U8" s="1">
        <f t="shared" si="1"/>
        <v>750000</v>
      </c>
      <c r="V8" s="1">
        <f t="shared" si="1"/>
        <v>750000</v>
      </c>
      <c r="W8" s="1">
        <f t="shared" si="1"/>
        <v>800000</v>
      </c>
      <c r="X8" s="1">
        <f t="shared" si="1"/>
        <v>800000</v>
      </c>
      <c r="Y8" s="1">
        <f t="shared" si="1"/>
        <v>800000</v>
      </c>
      <c r="Z8" s="1">
        <f t="shared" si="1"/>
        <v>1100000</v>
      </c>
    </row>
    <row r="9" spans="1:27" x14ac:dyDescent="0.35">
      <c r="A9" t="s">
        <v>69</v>
      </c>
      <c r="B9" s="19"/>
      <c r="C9" s="6">
        <v>50000</v>
      </c>
      <c r="D9" s="39">
        <v>50000</v>
      </c>
      <c r="E9" s="39">
        <v>50000</v>
      </c>
      <c r="F9" s="39">
        <v>50000</v>
      </c>
      <c r="G9" s="39">
        <v>50000</v>
      </c>
      <c r="H9" s="39">
        <f>H13</f>
        <v>0</v>
      </c>
      <c r="I9" s="39">
        <f>I13</f>
        <v>0</v>
      </c>
      <c r="J9" s="39">
        <v>100000</v>
      </c>
      <c r="K9" s="39">
        <f>K13</f>
        <v>0</v>
      </c>
      <c r="L9" s="39">
        <v>50000</v>
      </c>
      <c r="M9" s="39">
        <f>M13</f>
        <v>0</v>
      </c>
      <c r="N9" s="39">
        <f>N13</f>
        <v>0</v>
      </c>
      <c r="O9" s="39">
        <f>O13</f>
        <v>0</v>
      </c>
      <c r="P9" s="39">
        <f>P13</f>
        <v>0</v>
      </c>
      <c r="Q9" s="39">
        <v>50000</v>
      </c>
      <c r="R9" s="39">
        <f>R13</f>
        <v>0</v>
      </c>
      <c r="S9" s="39">
        <f>S13</f>
        <v>0</v>
      </c>
      <c r="T9" s="39">
        <f>T13</f>
        <v>0</v>
      </c>
      <c r="U9" s="39">
        <f>U13</f>
        <v>0</v>
      </c>
      <c r="V9" s="39">
        <v>50000</v>
      </c>
      <c r="W9" s="39">
        <f>W13</f>
        <v>0</v>
      </c>
      <c r="X9" s="39">
        <f>X13</f>
        <v>0</v>
      </c>
      <c r="Y9" s="39">
        <v>300000</v>
      </c>
      <c r="Z9" s="39">
        <f>Z13</f>
        <v>0</v>
      </c>
    </row>
    <row r="10" spans="1:27" x14ac:dyDescent="0.35">
      <c r="A10" t="s">
        <v>81</v>
      </c>
      <c r="B10" s="19"/>
      <c r="C10" s="68">
        <f t="shared" ref="C10:Z10" si="2">-(0)</f>
        <v>0</v>
      </c>
      <c r="D10" s="62">
        <f t="shared" si="2"/>
        <v>0</v>
      </c>
      <c r="E10" s="62">
        <f t="shared" si="2"/>
        <v>0</v>
      </c>
      <c r="F10" s="62">
        <f t="shared" si="2"/>
        <v>0</v>
      </c>
      <c r="G10" s="62">
        <f t="shared" si="2"/>
        <v>0</v>
      </c>
      <c r="H10" s="62">
        <f t="shared" si="2"/>
        <v>0</v>
      </c>
      <c r="I10" s="62">
        <f t="shared" si="2"/>
        <v>0</v>
      </c>
      <c r="J10" s="62">
        <f t="shared" si="2"/>
        <v>0</v>
      </c>
      <c r="K10" s="62">
        <f t="shared" si="2"/>
        <v>0</v>
      </c>
      <c r="L10" s="62">
        <f t="shared" si="2"/>
        <v>0</v>
      </c>
      <c r="M10" s="62">
        <f t="shared" si="2"/>
        <v>0</v>
      </c>
      <c r="N10" s="62">
        <f t="shared" si="2"/>
        <v>0</v>
      </c>
      <c r="O10" s="62">
        <f t="shared" si="2"/>
        <v>0</v>
      </c>
      <c r="P10" s="62">
        <f t="shared" si="2"/>
        <v>0</v>
      </c>
      <c r="Q10" s="62">
        <f t="shared" si="2"/>
        <v>0</v>
      </c>
      <c r="R10" s="62">
        <f t="shared" si="2"/>
        <v>0</v>
      </c>
      <c r="S10" s="62">
        <f t="shared" si="2"/>
        <v>0</v>
      </c>
      <c r="T10" s="62">
        <f t="shared" si="2"/>
        <v>0</v>
      </c>
      <c r="U10" s="62">
        <f t="shared" si="2"/>
        <v>0</v>
      </c>
      <c r="V10" s="62">
        <f t="shared" si="2"/>
        <v>0</v>
      </c>
      <c r="W10" s="62">
        <f t="shared" si="2"/>
        <v>0</v>
      </c>
      <c r="X10" s="62">
        <f t="shared" si="2"/>
        <v>0</v>
      </c>
      <c r="Y10" s="62">
        <f t="shared" si="2"/>
        <v>0</v>
      </c>
      <c r="Z10" s="62">
        <f t="shared" si="2"/>
        <v>0</v>
      </c>
    </row>
    <row r="11" spans="1:27" x14ac:dyDescent="0.35">
      <c r="A11" s="41" t="s">
        <v>75</v>
      </c>
      <c r="B11" s="19"/>
      <c r="C11" s="31">
        <f>C8+C9+C10</f>
        <v>350000</v>
      </c>
      <c r="D11" s="17">
        <f t="shared" ref="D11:Z11" si="3">D8+D9+D10</f>
        <v>400000</v>
      </c>
      <c r="E11" s="17">
        <f t="shared" si="3"/>
        <v>450000</v>
      </c>
      <c r="F11" s="17">
        <f t="shared" si="3"/>
        <v>500000</v>
      </c>
      <c r="G11" s="17">
        <f t="shared" si="3"/>
        <v>550000</v>
      </c>
      <c r="H11" s="17">
        <f t="shared" si="3"/>
        <v>550000</v>
      </c>
      <c r="I11" s="17">
        <f t="shared" si="3"/>
        <v>550000</v>
      </c>
      <c r="J11" s="17">
        <f t="shared" si="3"/>
        <v>650000</v>
      </c>
      <c r="K11" s="17">
        <f t="shared" si="3"/>
        <v>650000</v>
      </c>
      <c r="L11" s="17">
        <f t="shared" si="3"/>
        <v>700000</v>
      </c>
      <c r="M11" s="17">
        <f t="shared" si="3"/>
        <v>700000</v>
      </c>
      <c r="N11" s="17">
        <f t="shared" si="3"/>
        <v>700000</v>
      </c>
      <c r="O11" s="17">
        <f t="shared" si="3"/>
        <v>700000</v>
      </c>
      <c r="P11" s="17">
        <f t="shared" si="3"/>
        <v>700000</v>
      </c>
      <c r="Q11" s="17">
        <f t="shared" si="3"/>
        <v>750000</v>
      </c>
      <c r="R11" s="17">
        <f t="shared" si="3"/>
        <v>750000</v>
      </c>
      <c r="S11" s="17">
        <f t="shared" si="3"/>
        <v>750000</v>
      </c>
      <c r="T11" s="17">
        <f t="shared" si="3"/>
        <v>750000</v>
      </c>
      <c r="U11" s="17">
        <f t="shared" si="3"/>
        <v>750000</v>
      </c>
      <c r="V11" s="17">
        <f t="shared" si="3"/>
        <v>800000</v>
      </c>
      <c r="W11" s="17">
        <f t="shared" si="3"/>
        <v>800000</v>
      </c>
      <c r="X11" s="17">
        <f t="shared" si="3"/>
        <v>800000</v>
      </c>
      <c r="Y11" s="17">
        <f t="shared" si="3"/>
        <v>1100000</v>
      </c>
      <c r="Z11" s="17">
        <f t="shared" si="3"/>
        <v>1100000</v>
      </c>
    </row>
    <row r="12" spans="1:27" x14ac:dyDescent="0.35">
      <c r="B12" s="19"/>
    </row>
    <row r="13" spans="1:27" x14ac:dyDescent="0.35">
      <c r="A13" s="3" t="s">
        <v>62</v>
      </c>
      <c r="B13" s="19"/>
      <c r="C13" s="6"/>
      <c r="D13" s="6"/>
      <c r="E13" s="6"/>
      <c r="F13" s="6"/>
    </row>
    <row r="14" spans="1:27" x14ac:dyDescent="0.35">
      <c r="A14" t="s">
        <v>61</v>
      </c>
      <c r="B14" s="19"/>
      <c r="C14" s="27">
        <f>(500000*14.5/100)*(2)+500000</f>
        <v>645000</v>
      </c>
      <c r="D14" s="22">
        <f t="shared" ref="D14:Z14" si="4">C17</f>
        <v>618125</v>
      </c>
      <c r="E14" s="22">
        <f t="shared" si="4"/>
        <v>591250.33333333337</v>
      </c>
      <c r="F14" s="22">
        <f t="shared" si="4"/>
        <v>564375.66666666674</v>
      </c>
      <c r="G14" s="22">
        <f t="shared" si="4"/>
        <v>537501.00000000012</v>
      </c>
      <c r="H14" s="22">
        <f t="shared" si="4"/>
        <v>510626.33333333343</v>
      </c>
      <c r="I14" s="22">
        <f t="shared" si="4"/>
        <v>483751.66666666674</v>
      </c>
      <c r="J14" s="22">
        <f t="shared" si="4"/>
        <v>456877.00000000006</v>
      </c>
      <c r="K14" s="22">
        <f t="shared" si="4"/>
        <v>430002.33333333337</v>
      </c>
      <c r="L14" s="22">
        <f t="shared" si="4"/>
        <v>403127.66666666669</v>
      </c>
      <c r="M14" s="22">
        <f t="shared" si="4"/>
        <v>376253</v>
      </c>
      <c r="N14" s="22">
        <f t="shared" si="4"/>
        <v>349378.33333333331</v>
      </c>
      <c r="O14" s="22">
        <f t="shared" si="4"/>
        <v>322503.66666666663</v>
      </c>
      <c r="P14" s="22">
        <f t="shared" si="4"/>
        <v>295628.99999999994</v>
      </c>
      <c r="Q14" s="22">
        <f t="shared" si="4"/>
        <v>268754.33333333326</v>
      </c>
      <c r="R14" s="22">
        <f t="shared" si="4"/>
        <v>241879.6666666666</v>
      </c>
      <c r="S14" s="22">
        <f t="shared" si="4"/>
        <v>215004.99999999994</v>
      </c>
      <c r="T14" s="22">
        <f t="shared" si="4"/>
        <v>188130.33333333328</v>
      </c>
      <c r="U14" s="22">
        <f t="shared" si="4"/>
        <v>161255.66666666663</v>
      </c>
      <c r="V14" s="22">
        <f t="shared" si="4"/>
        <v>134380.99999999997</v>
      </c>
      <c r="W14" s="22">
        <f t="shared" si="4"/>
        <v>107506.3333333333</v>
      </c>
      <c r="X14" s="22">
        <f t="shared" si="4"/>
        <v>80631.666666666628</v>
      </c>
      <c r="Y14" s="22">
        <f t="shared" si="4"/>
        <v>53756.999999999964</v>
      </c>
      <c r="Z14" s="22">
        <f t="shared" si="4"/>
        <v>26882.333333333296</v>
      </c>
      <c r="AA14" s="22"/>
    </row>
    <row r="15" spans="1:27" x14ac:dyDescent="0.35">
      <c r="A15" t="s">
        <v>70</v>
      </c>
      <c r="B15" s="19"/>
      <c r="C15" s="71">
        <f>-(C14/24+C16)</f>
        <v>-20833.333333333332</v>
      </c>
      <c r="D15" s="74">
        <v>-20833</v>
      </c>
      <c r="E15" s="74">
        <v>-20833</v>
      </c>
      <c r="F15" s="74">
        <v>-20833</v>
      </c>
      <c r="G15" s="74">
        <v>-20833</v>
      </c>
      <c r="H15" s="74">
        <v>-20833</v>
      </c>
      <c r="I15" s="74">
        <v>-20833</v>
      </c>
      <c r="J15" s="74">
        <v>-20833</v>
      </c>
      <c r="K15" s="74">
        <v>-20833</v>
      </c>
      <c r="L15" s="74">
        <v>-20833</v>
      </c>
      <c r="M15" s="74">
        <v>-20833</v>
      </c>
      <c r="N15" s="74">
        <v>-20833</v>
      </c>
      <c r="O15" s="74">
        <v>-20833</v>
      </c>
      <c r="P15" s="74">
        <v>-20833</v>
      </c>
      <c r="Q15" s="74">
        <v>-20833</v>
      </c>
      <c r="R15" s="74">
        <v>-20833</v>
      </c>
      <c r="S15" s="74">
        <v>-20833</v>
      </c>
      <c r="T15" s="74">
        <v>-20833</v>
      </c>
      <c r="U15" s="74">
        <v>-20833</v>
      </c>
      <c r="V15" s="74">
        <v>-20833</v>
      </c>
      <c r="W15" s="74">
        <v>-20833</v>
      </c>
      <c r="X15" s="74">
        <v>-20833</v>
      </c>
      <c r="Y15" s="74">
        <v>-20833</v>
      </c>
      <c r="Z15" s="74">
        <v>-20833</v>
      </c>
    </row>
    <row r="16" spans="1:27" x14ac:dyDescent="0.35">
      <c r="A16" t="s">
        <v>41</v>
      </c>
      <c r="B16" s="19"/>
      <c r="C16" s="74">
        <f>-('[1]Supporting Schedules'!B26)</f>
        <v>-6041.666666666667</v>
      </c>
      <c r="D16" s="74">
        <f>-('[1]Supporting Schedules'!C26)</f>
        <v>-6041.666666666667</v>
      </c>
      <c r="E16" s="74">
        <f>-('[1]Supporting Schedules'!D26)</f>
        <v>-6041.666666666667</v>
      </c>
      <c r="F16" s="74">
        <f>-('[1]Supporting Schedules'!E26)</f>
        <v>-6041.666666666667</v>
      </c>
      <c r="G16" s="74">
        <f>-('[1]Supporting Schedules'!F26)</f>
        <v>-6041.666666666667</v>
      </c>
      <c r="H16" s="74">
        <f>-('[1]Supporting Schedules'!G26)</f>
        <v>-6041.666666666667</v>
      </c>
      <c r="I16" s="74">
        <f>-('[1]Supporting Schedules'!H26)</f>
        <v>-6041.666666666667</v>
      </c>
      <c r="J16" s="74">
        <f>-('[1]Supporting Schedules'!I26)</f>
        <v>-6041.666666666667</v>
      </c>
      <c r="K16" s="74">
        <f>-('[1]Supporting Schedules'!J26)</f>
        <v>-6041.666666666667</v>
      </c>
      <c r="L16" s="74">
        <f>-('[1]Supporting Schedules'!K26)</f>
        <v>-6041.666666666667</v>
      </c>
      <c r="M16" s="74">
        <f>-('[1]Supporting Schedules'!L26)</f>
        <v>-6041.666666666667</v>
      </c>
      <c r="N16" s="74">
        <f>-('[1]Supporting Schedules'!M26)</f>
        <v>-6041.666666666667</v>
      </c>
      <c r="O16" s="74">
        <f>-('[1]Supporting Schedules'!N26)</f>
        <v>-6041.666666666667</v>
      </c>
      <c r="P16" s="74">
        <f>-('[1]Supporting Schedules'!O26)</f>
        <v>-6041.666666666667</v>
      </c>
      <c r="Q16" s="74">
        <f>-('[1]Supporting Schedules'!P26)</f>
        <v>-6041.666666666667</v>
      </c>
      <c r="R16" s="74">
        <f>-('[1]Supporting Schedules'!Q26)</f>
        <v>-6041.666666666667</v>
      </c>
      <c r="S16" s="74">
        <f>-('[1]Supporting Schedules'!R26)</f>
        <v>-6041.666666666667</v>
      </c>
      <c r="T16" s="74">
        <f>-('[1]Supporting Schedules'!S26)</f>
        <v>-6041.666666666667</v>
      </c>
      <c r="U16" s="74">
        <f>-('[1]Supporting Schedules'!T26)</f>
        <v>-6041.666666666667</v>
      </c>
      <c r="V16" s="74">
        <f>-('[1]Supporting Schedules'!U26)</f>
        <v>-6041.666666666667</v>
      </c>
      <c r="W16" s="74">
        <f>-('[1]Supporting Schedules'!V26)</f>
        <v>-6041.666666666667</v>
      </c>
      <c r="X16" s="74">
        <f>-('[1]Supporting Schedules'!W26)</f>
        <v>-6041.666666666667</v>
      </c>
      <c r="Y16" s="74">
        <f>-('[1]Supporting Schedules'!X26)</f>
        <v>-6041.666666666667</v>
      </c>
      <c r="Z16" s="74">
        <f>-('[1]Supporting Schedules'!Y26)</f>
        <v>-6041.666666666667</v>
      </c>
    </row>
    <row r="17" spans="1:27" x14ac:dyDescent="0.35">
      <c r="A17" s="41" t="s">
        <v>88</v>
      </c>
      <c r="B17" s="19"/>
      <c r="C17" s="31">
        <f>SUM(C14:C16)</f>
        <v>618125</v>
      </c>
      <c r="D17" s="32">
        <f t="shared" ref="D17:Y17" si="5">SUM(D14:D16)</f>
        <v>591250.33333333337</v>
      </c>
      <c r="E17" s="32">
        <f t="shared" si="5"/>
        <v>564375.66666666674</v>
      </c>
      <c r="F17" s="32">
        <f t="shared" si="5"/>
        <v>537501.00000000012</v>
      </c>
      <c r="G17" s="32">
        <f t="shared" si="5"/>
        <v>510626.33333333343</v>
      </c>
      <c r="H17" s="32">
        <f t="shared" si="5"/>
        <v>483751.66666666674</v>
      </c>
      <c r="I17" s="32">
        <f t="shared" si="5"/>
        <v>456877.00000000006</v>
      </c>
      <c r="J17" s="32">
        <f t="shared" si="5"/>
        <v>430002.33333333337</v>
      </c>
      <c r="K17" s="32">
        <f t="shared" si="5"/>
        <v>403127.66666666669</v>
      </c>
      <c r="L17" s="32">
        <f t="shared" si="5"/>
        <v>376253</v>
      </c>
      <c r="M17" s="32">
        <f t="shared" si="5"/>
        <v>349378.33333333331</v>
      </c>
      <c r="N17" s="32">
        <f t="shared" si="5"/>
        <v>322503.66666666663</v>
      </c>
      <c r="O17" s="32">
        <f t="shared" si="5"/>
        <v>295628.99999999994</v>
      </c>
      <c r="P17" s="32">
        <f t="shared" si="5"/>
        <v>268754.33333333326</v>
      </c>
      <c r="Q17" s="32">
        <f t="shared" si="5"/>
        <v>241879.6666666666</v>
      </c>
      <c r="R17" s="32">
        <f t="shared" si="5"/>
        <v>215004.99999999994</v>
      </c>
      <c r="S17" s="32">
        <f t="shared" si="5"/>
        <v>188130.33333333328</v>
      </c>
      <c r="T17" s="32">
        <f t="shared" si="5"/>
        <v>161255.66666666663</v>
      </c>
      <c r="U17" s="32">
        <f t="shared" si="5"/>
        <v>134380.99999999997</v>
      </c>
      <c r="V17" s="32">
        <f t="shared" si="5"/>
        <v>107506.3333333333</v>
      </c>
      <c r="W17" s="32">
        <f t="shared" si="5"/>
        <v>80631.666666666628</v>
      </c>
      <c r="X17" s="32">
        <f t="shared" si="5"/>
        <v>53756.999999999964</v>
      </c>
      <c r="Y17" s="32">
        <f t="shared" si="5"/>
        <v>26882.333333333296</v>
      </c>
      <c r="Z17" s="32">
        <f>ROUNDDOWN(SUM(Z14:Z16),-1)</f>
        <v>0</v>
      </c>
      <c r="AA17" s="13"/>
    </row>
    <row r="19" spans="1:27" x14ac:dyDescent="0.35">
      <c r="A19" s="11" t="s">
        <v>83</v>
      </c>
      <c r="B19" s="28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7" x14ac:dyDescent="0.35">
      <c r="A20" s="3" t="s">
        <v>50</v>
      </c>
      <c r="B20" s="19"/>
      <c r="C20" s="75">
        <v>500000</v>
      </c>
      <c r="D20" s="38">
        <f>C24</f>
        <v>404525</v>
      </c>
      <c r="E20" s="38">
        <f t="shared" ref="E20:Z20" si="6">D24</f>
        <v>332550.33333333331</v>
      </c>
      <c r="F20" s="38">
        <f t="shared" si="6"/>
        <v>256575.66666666663</v>
      </c>
      <c r="G20" s="38">
        <f t="shared" si="6"/>
        <v>200600.99999999994</v>
      </c>
      <c r="H20" s="38">
        <f t="shared" si="6"/>
        <v>164626.33333333328</v>
      </c>
      <c r="I20" s="38">
        <f t="shared" si="6"/>
        <v>161251.66666666663</v>
      </c>
      <c r="J20" s="38">
        <f t="shared" si="6"/>
        <v>177876.99999999997</v>
      </c>
      <c r="K20" s="38">
        <f t="shared" si="6"/>
        <v>114502.33333333331</v>
      </c>
      <c r="L20" s="38">
        <f t="shared" si="6"/>
        <v>124087.66666666666</v>
      </c>
      <c r="M20" s="38">
        <f t="shared" si="6"/>
        <v>103673</v>
      </c>
      <c r="N20" s="38">
        <f t="shared" si="6"/>
        <v>174758.33333333331</v>
      </c>
      <c r="O20" s="38">
        <f t="shared" si="6"/>
        <v>234675.66666666663</v>
      </c>
      <c r="P20" s="38">
        <f t="shared" si="6"/>
        <v>334592.99999999994</v>
      </c>
      <c r="Q20" s="38">
        <f t="shared" si="6"/>
        <v>439510.33333333326</v>
      </c>
      <c r="R20" s="38">
        <f t="shared" si="6"/>
        <v>465549.2666666666</v>
      </c>
      <c r="S20" s="38">
        <f t="shared" si="6"/>
        <v>546588.19999999995</v>
      </c>
      <c r="T20" s="38">
        <f t="shared" si="6"/>
        <v>632627.1333333333</v>
      </c>
      <c r="U20" s="38">
        <f t="shared" si="6"/>
        <v>697883.34666666668</v>
      </c>
      <c r="V20" s="38">
        <f t="shared" si="6"/>
        <v>773539.56</v>
      </c>
      <c r="W20" s="38">
        <f t="shared" si="6"/>
        <v>809595.77333333343</v>
      </c>
      <c r="X20" s="38">
        <f t="shared" si="6"/>
        <v>882662.35466666683</v>
      </c>
      <c r="Y20" s="38">
        <f t="shared" si="6"/>
        <v>966128.93600000022</v>
      </c>
      <c r="Z20" s="38">
        <f t="shared" si="6"/>
        <v>759995.51733333361</v>
      </c>
    </row>
    <row r="21" spans="1:27" x14ac:dyDescent="0.35">
      <c r="A21" s="3" t="s">
        <v>59</v>
      </c>
      <c r="B21" s="19"/>
      <c r="C21" s="69">
        <f>'Income Statement'!C38</f>
        <v>-24641.666666666668</v>
      </c>
      <c r="D21" s="69">
        <f>'Income Statement'!D38</f>
        <v>-1141.666666666667</v>
      </c>
      <c r="E21" s="69">
        <f>'Income Statement'!E38</f>
        <v>-5141.666666666667</v>
      </c>
      <c r="F21" s="69">
        <f>'Income Statement'!F38</f>
        <v>14858.333333333332</v>
      </c>
      <c r="G21" s="69">
        <f>'Income Statement'!G38</f>
        <v>34858.333333333336</v>
      </c>
      <c r="H21" s="69">
        <f>'Income Statement'!H38</f>
        <v>17458.333333333332</v>
      </c>
      <c r="I21" s="69">
        <f>'Income Statement'!I38</f>
        <v>37458.333333333336</v>
      </c>
      <c r="J21" s="69">
        <f>'Income Statement'!J38</f>
        <v>57458.333333333336</v>
      </c>
      <c r="K21" s="69">
        <f>'Income Statement'!K38</f>
        <v>30418.333333333332</v>
      </c>
      <c r="L21" s="69">
        <f>'Income Statement'!L38</f>
        <v>50418.333333333336</v>
      </c>
      <c r="M21" s="69">
        <f>'Income Statement'!M38</f>
        <v>91918.333333333328</v>
      </c>
      <c r="N21" s="69">
        <f>'Income Statement'!N38</f>
        <v>80750.333333333328</v>
      </c>
      <c r="O21" s="69">
        <f>'Income Statement'!O38</f>
        <v>120750.33333333333</v>
      </c>
      <c r="P21" s="69">
        <f>'Income Statement'!P38</f>
        <v>125750.33333333333</v>
      </c>
      <c r="Q21" s="69">
        <f>'Income Statement'!Q38</f>
        <v>96871.93333333332</v>
      </c>
      <c r="R21" s="69">
        <f>'Income Statement'!R38</f>
        <v>101871.93333333332</v>
      </c>
      <c r="S21" s="69">
        <f>'Income Statement'!S38</f>
        <v>106871.93333333332</v>
      </c>
      <c r="T21" s="69">
        <f>'Income Statement'!T38</f>
        <v>86089.213333333319</v>
      </c>
      <c r="U21" s="69">
        <f>'Income Statement'!U38</f>
        <v>96489.213333333348</v>
      </c>
      <c r="V21" s="69">
        <f>'Income Statement'!V38</f>
        <v>106889.21333333335</v>
      </c>
      <c r="W21" s="69">
        <f>'Income Statement'!W38</f>
        <v>93899.58133333335</v>
      </c>
      <c r="X21" s="69">
        <f>'Income Statement'!X38</f>
        <v>104299.58133333335</v>
      </c>
      <c r="Y21" s="69">
        <f>'Income Statement'!Y38</f>
        <v>114699.58133333335</v>
      </c>
      <c r="Z21" s="69">
        <f>'Income Statement'!Z38</f>
        <v>108725.4565333333</v>
      </c>
    </row>
    <row r="22" spans="1:27" x14ac:dyDescent="0.35">
      <c r="A22" s="3" t="s">
        <v>51</v>
      </c>
      <c r="B22" s="19"/>
      <c r="C22" s="73">
        <f>-(Assumptions!C30)</f>
        <v>-50000</v>
      </c>
      <c r="D22" s="73">
        <f>-(Assumptions!D30)</f>
        <v>-50000</v>
      </c>
      <c r="E22" s="73">
        <f>-(Assumptions!E30)</f>
        <v>-50000</v>
      </c>
      <c r="F22" s="73">
        <f>-(Assumptions!F30)</f>
        <v>-50000</v>
      </c>
      <c r="G22" s="73">
        <f>-(Assumptions!G30)</f>
        <v>-50000</v>
      </c>
      <c r="H22" s="73">
        <f>-(Assumptions!H30)</f>
        <v>0</v>
      </c>
      <c r="I22" s="73">
        <f>-(Assumptions!I30)</f>
        <v>0</v>
      </c>
      <c r="J22" s="73">
        <f>-(Assumptions!J30)</f>
        <v>-100000</v>
      </c>
      <c r="K22" s="73">
        <f>-(Assumptions!K30)</f>
        <v>0</v>
      </c>
      <c r="L22" s="73">
        <f>-(Assumptions!L30)</f>
        <v>-50000</v>
      </c>
      <c r="M22" s="73">
        <f>-(Assumptions!M30)</f>
        <v>0</v>
      </c>
      <c r="N22" s="73">
        <f>-(Assumptions!N30)</f>
        <v>0</v>
      </c>
      <c r="O22" s="73">
        <f>-(Assumptions!O30)</f>
        <v>0</v>
      </c>
      <c r="P22" s="73">
        <f>-(Assumptions!P30)</f>
        <v>0</v>
      </c>
      <c r="Q22" s="73">
        <f>-(Assumptions!Q30)</f>
        <v>-50000</v>
      </c>
      <c r="R22" s="73">
        <f>-(Assumptions!R30)</f>
        <v>0</v>
      </c>
      <c r="S22" s="73">
        <f>-(Assumptions!S30)</f>
        <v>0</v>
      </c>
      <c r="T22" s="73">
        <f>-(Assumptions!T30)</f>
        <v>0</v>
      </c>
      <c r="U22" s="73">
        <f>-(Assumptions!U30)</f>
        <v>0</v>
      </c>
      <c r="V22" s="73">
        <f>-(Assumptions!V30)</f>
        <v>-50000</v>
      </c>
      <c r="W22" s="73">
        <f>-(Assumptions!W30)</f>
        <v>0</v>
      </c>
      <c r="X22" s="73">
        <f>-(Assumptions!X30)</f>
        <v>0</v>
      </c>
      <c r="Y22" s="73">
        <f>-(Assumptions!Y30)</f>
        <v>-300000</v>
      </c>
      <c r="Z22" s="73">
        <f>-(Assumptions!Z30)</f>
        <v>0</v>
      </c>
    </row>
    <row r="23" spans="1:27" x14ac:dyDescent="0.35">
      <c r="A23" s="3" t="s">
        <v>64</v>
      </c>
      <c r="B23" s="19"/>
      <c r="C23" s="70">
        <f>C15</f>
        <v>-20833.333333333332</v>
      </c>
      <c r="D23" s="70">
        <f>Assumptions!D36</f>
        <v>-20833</v>
      </c>
      <c r="E23" s="70">
        <f>Assumptions!E36</f>
        <v>-20833</v>
      </c>
      <c r="F23" s="70">
        <f>Assumptions!F36</f>
        <v>-20833</v>
      </c>
      <c r="G23" s="70">
        <f>Assumptions!G36</f>
        <v>-20833</v>
      </c>
      <c r="H23" s="70">
        <f>Assumptions!H36</f>
        <v>-20833</v>
      </c>
      <c r="I23" s="70">
        <f>Assumptions!I36</f>
        <v>-20833</v>
      </c>
      <c r="J23" s="70">
        <f>Assumptions!J36</f>
        <v>-20833</v>
      </c>
      <c r="K23" s="70">
        <f>Assumptions!K36</f>
        <v>-20833</v>
      </c>
      <c r="L23" s="70">
        <f>Assumptions!L36</f>
        <v>-20833</v>
      </c>
      <c r="M23" s="70">
        <f>Assumptions!M36</f>
        <v>-20833</v>
      </c>
      <c r="N23" s="70">
        <f>Assumptions!N36</f>
        <v>-20833</v>
      </c>
      <c r="O23" s="70">
        <f>Assumptions!O36</f>
        <v>-20833</v>
      </c>
      <c r="P23" s="70">
        <f>Assumptions!P36</f>
        <v>-20833</v>
      </c>
      <c r="Q23" s="70">
        <f>Assumptions!Q36</f>
        <v>-20833</v>
      </c>
      <c r="R23" s="70">
        <f>Assumptions!R36</f>
        <v>-20833</v>
      </c>
      <c r="S23" s="70">
        <f>Assumptions!S36</f>
        <v>-20833</v>
      </c>
      <c r="T23" s="70">
        <f>Assumptions!T36</f>
        <v>-20833</v>
      </c>
      <c r="U23" s="70">
        <f>Assumptions!U36</f>
        <v>-20833</v>
      </c>
      <c r="V23" s="70">
        <f>Assumptions!V36</f>
        <v>-20833</v>
      </c>
      <c r="W23" s="70">
        <f>Assumptions!W36</f>
        <v>-20833</v>
      </c>
      <c r="X23" s="70">
        <f>Assumptions!X36</f>
        <v>-20833</v>
      </c>
      <c r="Y23" s="70">
        <f>Assumptions!Y36</f>
        <v>-20833</v>
      </c>
      <c r="Z23" s="70">
        <f>Assumptions!Z36</f>
        <v>-20833</v>
      </c>
    </row>
    <row r="24" spans="1:27" x14ac:dyDescent="0.35">
      <c r="A24" s="41" t="s">
        <v>66</v>
      </c>
      <c r="B24" s="19"/>
      <c r="C24" s="35">
        <f>SUM(C20:C23)</f>
        <v>404525</v>
      </c>
      <c r="D24" s="37">
        <f>SUM(D20:D23)</f>
        <v>332550.33333333331</v>
      </c>
      <c r="E24" s="37">
        <f t="shared" ref="E24:I24" si="7">SUM(E20:E23)</f>
        <v>256575.66666666663</v>
      </c>
      <c r="F24" s="37">
        <f t="shared" si="7"/>
        <v>200600.99999999994</v>
      </c>
      <c r="G24" s="37">
        <f t="shared" si="7"/>
        <v>164626.33333333328</v>
      </c>
      <c r="H24" s="37">
        <f t="shared" si="7"/>
        <v>161251.66666666663</v>
      </c>
      <c r="I24" s="37">
        <f t="shared" si="7"/>
        <v>177876.99999999997</v>
      </c>
      <c r="J24" s="37">
        <f t="shared" ref="J24:Y24" si="8">SUM(J20:J23)</f>
        <v>114502.33333333331</v>
      </c>
      <c r="K24" s="37">
        <f t="shared" si="8"/>
        <v>124087.66666666666</v>
      </c>
      <c r="L24" s="37">
        <f t="shared" si="8"/>
        <v>103673</v>
      </c>
      <c r="M24" s="37">
        <f t="shared" si="8"/>
        <v>174758.33333333331</v>
      </c>
      <c r="N24" s="37">
        <f t="shared" si="8"/>
        <v>234675.66666666663</v>
      </c>
      <c r="O24" s="37">
        <f t="shared" si="8"/>
        <v>334592.99999999994</v>
      </c>
      <c r="P24" s="37">
        <f t="shared" si="8"/>
        <v>439510.33333333326</v>
      </c>
      <c r="Q24" s="37">
        <f t="shared" si="8"/>
        <v>465549.2666666666</v>
      </c>
      <c r="R24" s="37">
        <f t="shared" si="8"/>
        <v>546588.19999999995</v>
      </c>
      <c r="S24" s="37">
        <f t="shared" si="8"/>
        <v>632627.1333333333</v>
      </c>
      <c r="T24" s="37">
        <f t="shared" si="8"/>
        <v>697883.34666666668</v>
      </c>
      <c r="U24" s="37">
        <f t="shared" si="8"/>
        <v>773539.56</v>
      </c>
      <c r="V24" s="37">
        <f t="shared" si="8"/>
        <v>809595.77333333343</v>
      </c>
      <c r="W24" s="37">
        <f t="shared" si="8"/>
        <v>882662.35466666683</v>
      </c>
      <c r="X24" s="37">
        <f t="shared" si="8"/>
        <v>966128.93600000022</v>
      </c>
      <c r="Y24" s="37">
        <f t="shared" si="8"/>
        <v>759995.51733333361</v>
      </c>
      <c r="Z24" s="37">
        <f>SUM(Z20:Z23)</f>
        <v>847887.9738666669</v>
      </c>
    </row>
  </sheetData>
  <mergeCells count="1">
    <mergeCell ref="A1:XF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3F15-3480-4653-98AE-3EBE5B8B6E32}">
  <dimension ref="A1:AC113"/>
  <sheetViews>
    <sheetView showGridLines="0" zoomScaleNormal="67" workbookViewId="0">
      <pane ySplit="4" topLeftCell="A5" activePane="bottomLeft" state="frozen"/>
      <selection pane="bottomLeft" activeCell="B8" sqref="B8"/>
    </sheetView>
  </sheetViews>
  <sheetFormatPr defaultRowHeight="14.5" x14ac:dyDescent="0.35"/>
  <cols>
    <col min="1" max="1" width="34.90625" customWidth="1"/>
    <col min="2" max="2" width="10" customWidth="1"/>
    <col min="3" max="3" width="12.1796875" bestFit="1" customWidth="1"/>
    <col min="4" max="26" width="11.08984375" bestFit="1" customWidth="1"/>
  </cols>
  <sheetData>
    <row r="1" spans="1:26" s="88" customFormat="1" x14ac:dyDescent="0.35"/>
    <row r="2" spans="1:26" s="88" customFormat="1" x14ac:dyDescent="0.35"/>
    <row r="3" spans="1:26" s="88" customFormat="1" x14ac:dyDescent="0.35"/>
    <row r="4" spans="1:26" x14ac:dyDescent="0.35">
      <c r="A4" s="11" t="s">
        <v>77</v>
      </c>
      <c r="B4" s="11"/>
      <c r="C4" s="12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2" t="s">
        <v>9</v>
      </c>
      <c r="M4" s="12" t="s">
        <v>10</v>
      </c>
      <c r="N4" s="12" t="s">
        <v>11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16</v>
      </c>
      <c r="T4" s="12" t="s">
        <v>17</v>
      </c>
      <c r="U4" s="12" t="s">
        <v>18</v>
      </c>
      <c r="V4" s="12" t="s">
        <v>19</v>
      </c>
      <c r="W4" s="12" t="s">
        <v>20</v>
      </c>
      <c r="X4" s="12" t="s">
        <v>21</v>
      </c>
      <c r="Y4" s="12" t="s">
        <v>22</v>
      </c>
      <c r="Z4" s="12" t="s">
        <v>23</v>
      </c>
    </row>
    <row r="5" spans="1:26" x14ac:dyDescent="0.35">
      <c r="A5" s="8" t="s">
        <v>28</v>
      </c>
      <c r="B5" s="18"/>
    </row>
    <row r="6" spans="1:26" x14ac:dyDescent="0.35">
      <c r="A6" t="s">
        <v>58</v>
      </c>
      <c r="B6" s="19"/>
      <c r="C6" s="27">
        <f>(Assumptions!C5)+(Assumptions!C4*'Customer Acquisition'!B14)</f>
        <v>88000</v>
      </c>
      <c r="D6" s="22">
        <f>(Assumptions!D5)+(Assumptions!D4*'Customer Acquisition'!C14)</f>
        <v>128000</v>
      </c>
      <c r="E6" s="22">
        <f>(Assumptions!E5)+(Assumptions!E4*'Customer Acquisition'!D14)</f>
        <v>120000</v>
      </c>
      <c r="F6" s="22">
        <f>(Assumptions!F5)+(Assumptions!F4*'Customer Acquisition'!E14)</f>
        <v>160000</v>
      </c>
      <c r="G6" s="22">
        <f>(Assumptions!G5)+(Assumptions!G4*'Customer Acquisition'!F14)</f>
        <v>200000</v>
      </c>
      <c r="H6" s="22">
        <f>(Assumptions!H5)+(Assumptions!H4*'Customer Acquisition'!G14)</f>
        <v>163200</v>
      </c>
      <c r="I6" s="22">
        <f>(Assumptions!I5)+(Assumptions!I4*'Customer Acquisition'!H14)</f>
        <v>203200</v>
      </c>
      <c r="J6" s="22">
        <f>(Assumptions!J5)+(Assumptions!J4*'Customer Acquisition'!I14)</f>
        <v>243200</v>
      </c>
      <c r="K6" s="22">
        <f>(Assumptions!K5)+(Assumptions!K4*'Customer Acquisition'!J14)</f>
        <v>189120</v>
      </c>
      <c r="L6" s="22">
        <f>(Assumptions!L5)+(Assumptions!L4*'Customer Acquisition'!K14)</f>
        <v>229120.00000000003</v>
      </c>
      <c r="M6" s="22">
        <f>(Assumptions!M5)+(Assumptions!M4*'Customer Acquisition'!L14)</f>
        <v>309120</v>
      </c>
      <c r="N6" s="22">
        <f>(Assumptions!N5)+(Assumptions!N4*'Customer Acquisition'!M14)</f>
        <v>286784</v>
      </c>
      <c r="O6" s="22">
        <f>(Assumptions!O5)+(Assumptions!O4*'Customer Acquisition'!N14)</f>
        <v>366784</v>
      </c>
      <c r="P6" s="22">
        <f>(Assumptions!P5)+(Assumptions!P4*'Customer Acquisition'!O14)</f>
        <v>376784</v>
      </c>
      <c r="Q6" s="22">
        <f>(Assumptions!Q5)+(Assumptions!Q4*'Customer Acquisition'!P14)</f>
        <v>319027.20000000001</v>
      </c>
      <c r="R6" s="22">
        <f>(Assumptions!R5)+(Assumptions!R4*'Customer Acquisition'!Q14)</f>
        <v>329027.20000000001</v>
      </c>
      <c r="S6" s="22">
        <f>(Assumptions!S5)+(Assumptions!S4*'Customer Acquisition'!R14)</f>
        <v>339027.20000000001</v>
      </c>
      <c r="T6" s="22">
        <f>(Assumptions!T5)+(Assumptions!T4*'Customer Acquisition'!S14)</f>
        <v>297461.76000000001</v>
      </c>
      <c r="U6" s="22">
        <f>(Assumptions!U5)+(Assumptions!U4*'Customer Acquisition'!T14)</f>
        <v>318261.76000000007</v>
      </c>
      <c r="V6" s="22">
        <f>(Assumptions!V5)+(Assumptions!V4*'Customer Acquisition'!U14)</f>
        <v>339061.76000000007</v>
      </c>
      <c r="W6" s="22">
        <f>(Assumptions!W5)+(Assumptions!W4*'Customer Acquisition'!V14)</f>
        <v>313082.49600000004</v>
      </c>
      <c r="X6" s="22">
        <f>(Assumptions!X5)+(Assumptions!X4*'Customer Acquisition'!W14)</f>
        <v>333882.49600000004</v>
      </c>
      <c r="Y6" s="22">
        <f>(Assumptions!Y5)+(Assumptions!Y4*'Customer Acquisition'!X14)</f>
        <v>354682.49600000004</v>
      </c>
      <c r="Z6" s="22">
        <f>(Assumptions!Z5)+(Assumptions!Z4*'Customer Acquisition'!Y14)</f>
        <v>342734.2464</v>
      </c>
    </row>
    <row r="7" spans="1:26" x14ac:dyDescent="0.35">
      <c r="A7" t="s">
        <v>78</v>
      </c>
      <c r="B7" s="18"/>
      <c r="C7" s="30">
        <f>Assumptions!C6</f>
        <v>8000</v>
      </c>
      <c r="D7" s="22">
        <f>Assumptions!D6</f>
        <v>15000</v>
      </c>
      <c r="E7" s="22">
        <f>Assumptions!E6</f>
        <v>15000</v>
      </c>
      <c r="F7" s="22">
        <f>Assumptions!F6</f>
        <v>15000</v>
      </c>
      <c r="G7" s="22">
        <f>Assumptions!G6</f>
        <v>15000</v>
      </c>
      <c r="H7" s="22">
        <f>Assumptions!H6</f>
        <v>17000</v>
      </c>
      <c r="I7" s="22">
        <f>Assumptions!I6</f>
        <v>17000</v>
      </c>
      <c r="J7" s="22">
        <f>Assumptions!J6</f>
        <v>17000</v>
      </c>
      <c r="K7" s="22">
        <f>Assumptions!K6</f>
        <v>17000</v>
      </c>
      <c r="L7" s="22">
        <f>Assumptions!L6</f>
        <v>17000</v>
      </c>
      <c r="M7" s="22">
        <f>Assumptions!M6</f>
        <v>20000</v>
      </c>
      <c r="N7" s="22">
        <f>Assumptions!N6</f>
        <v>20000</v>
      </c>
      <c r="O7" s="22">
        <f>Assumptions!O6</f>
        <v>20000</v>
      </c>
      <c r="P7" s="22">
        <f>Assumptions!P6</f>
        <v>20000</v>
      </c>
      <c r="Q7" s="22">
        <f>Assumptions!Q6</f>
        <v>20000</v>
      </c>
      <c r="R7" s="22">
        <f>Assumptions!R6</f>
        <v>20000</v>
      </c>
      <c r="S7" s="22">
        <f>Assumptions!S6</f>
        <v>20000</v>
      </c>
      <c r="T7" s="22">
        <f>Assumptions!T6</f>
        <v>20000</v>
      </c>
      <c r="U7" s="22">
        <f>Assumptions!U6</f>
        <v>20000</v>
      </c>
      <c r="V7" s="22">
        <f>Assumptions!V6</f>
        <v>20000</v>
      </c>
      <c r="W7" s="22">
        <f>Assumptions!W6</f>
        <v>20000</v>
      </c>
      <c r="X7" s="22">
        <f>Assumptions!X6</f>
        <v>20000</v>
      </c>
      <c r="Y7" s="22">
        <f>Assumptions!Y6</f>
        <v>20000</v>
      </c>
      <c r="Z7" s="22">
        <f>Assumptions!Z6</f>
        <v>20000</v>
      </c>
    </row>
    <row r="8" spans="1:26" x14ac:dyDescent="0.35">
      <c r="A8" s="41" t="s">
        <v>55</v>
      </c>
      <c r="B8" s="19"/>
      <c r="C8" s="31">
        <f>SUM(C6:C7)</f>
        <v>96000</v>
      </c>
      <c r="D8" s="32">
        <f>SUM(D6:D7)</f>
        <v>143000</v>
      </c>
      <c r="E8" s="32">
        <f t="shared" ref="E8:Z8" si="0">SUM(E6:E7)</f>
        <v>135000</v>
      </c>
      <c r="F8" s="32">
        <f t="shared" si="0"/>
        <v>175000</v>
      </c>
      <c r="G8" s="32">
        <f t="shared" si="0"/>
        <v>215000</v>
      </c>
      <c r="H8" s="32">
        <f t="shared" si="0"/>
        <v>180200</v>
      </c>
      <c r="I8" s="32">
        <f t="shared" si="0"/>
        <v>220200</v>
      </c>
      <c r="J8" s="32">
        <f t="shared" si="0"/>
        <v>260200</v>
      </c>
      <c r="K8" s="32">
        <f t="shared" si="0"/>
        <v>206120</v>
      </c>
      <c r="L8" s="32">
        <f t="shared" si="0"/>
        <v>246120.00000000003</v>
      </c>
      <c r="M8" s="32">
        <f t="shared" si="0"/>
        <v>329120</v>
      </c>
      <c r="N8" s="32">
        <f t="shared" si="0"/>
        <v>306784</v>
      </c>
      <c r="O8" s="32">
        <f t="shared" si="0"/>
        <v>386784</v>
      </c>
      <c r="P8" s="32">
        <f t="shared" si="0"/>
        <v>396784</v>
      </c>
      <c r="Q8" s="32">
        <f t="shared" si="0"/>
        <v>339027.20000000001</v>
      </c>
      <c r="R8" s="32">
        <f t="shared" si="0"/>
        <v>349027.2</v>
      </c>
      <c r="S8" s="32">
        <f t="shared" si="0"/>
        <v>359027.20000000001</v>
      </c>
      <c r="T8" s="32">
        <f t="shared" si="0"/>
        <v>317461.76000000001</v>
      </c>
      <c r="U8" s="32">
        <f t="shared" si="0"/>
        <v>338261.76000000007</v>
      </c>
      <c r="V8" s="32">
        <f t="shared" si="0"/>
        <v>359061.76000000007</v>
      </c>
      <c r="W8" s="32">
        <f t="shared" si="0"/>
        <v>333082.49600000004</v>
      </c>
      <c r="X8" s="32">
        <f t="shared" si="0"/>
        <v>353882.49600000004</v>
      </c>
      <c r="Y8" s="32">
        <f t="shared" si="0"/>
        <v>374682.49600000004</v>
      </c>
      <c r="Z8" s="32">
        <f t="shared" si="0"/>
        <v>362734.2464</v>
      </c>
    </row>
    <row r="9" spans="1:26" x14ac:dyDescent="0.35">
      <c r="B9" s="19"/>
    </row>
    <row r="10" spans="1:26" x14ac:dyDescent="0.35">
      <c r="A10" s="8" t="s">
        <v>31</v>
      </c>
      <c r="B10" s="19"/>
    </row>
    <row r="11" spans="1:26" x14ac:dyDescent="0.35">
      <c r="A11" t="s">
        <v>37</v>
      </c>
      <c r="B11" s="19"/>
      <c r="C11" s="27">
        <f>C$8*Assumptions!C9</f>
        <v>19200</v>
      </c>
      <c r="D11" s="22">
        <f>D$8*Assumptions!D9</f>
        <v>28600</v>
      </c>
      <c r="E11" s="22">
        <f>E$8*Assumptions!E9</f>
        <v>27000</v>
      </c>
      <c r="F11" s="22">
        <f>F$8*Assumptions!F9</f>
        <v>35000</v>
      </c>
      <c r="G11" s="22">
        <f>G$8*Assumptions!G9</f>
        <v>43000</v>
      </c>
      <c r="H11" s="22">
        <f>H$8*Assumptions!H9</f>
        <v>36040</v>
      </c>
      <c r="I11" s="22">
        <f>I$8*Assumptions!I9</f>
        <v>44040</v>
      </c>
      <c r="J11" s="22">
        <f>J$8*Assumptions!J9</f>
        <v>52040</v>
      </c>
      <c r="K11" s="22">
        <f>K$8*Assumptions!K9</f>
        <v>41224</v>
      </c>
      <c r="L11" s="22">
        <f>L$8*Assumptions!L9</f>
        <v>49224.000000000007</v>
      </c>
      <c r="M11" s="22">
        <f>M$8*Assumptions!M9</f>
        <v>65824</v>
      </c>
      <c r="N11" s="22">
        <f>N$8*Assumptions!N9</f>
        <v>61356.800000000003</v>
      </c>
      <c r="O11" s="22">
        <f>O$8*Assumptions!O9</f>
        <v>77356.800000000003</v>
      </c>
      <c r="P11" s="22">
        <f>P$8*Assumptions!P9</f>
        <v>79356.800000000003</v>
      </c>
      <c r="Q11" s="22">
        <f>Q$8*Assumptions!Q9</f>
        <v>67805.440000000002</v>
      </c>
      <c r="R11" s="22">
        <f>R$8*Assumptions!R9</f>
        <v>69805.440000000002</v>
      </c>
      <c r="S11" s="22">
        <f>S$8*Assumptions!S9</f>
        <v>71805.440000000002</v>
      </c>
      <c r="T11" s="22">
        <f>T$8*Assumptions!T9</f>
        <v>63492.352000000006</v>
      </c>
      <c r="U11" s="22">
        <f>U$8*Assumptions!U9</f>
        <v>67652.352000000014</v>
      </c>
      <c r="V11" s="22">
        <f>V$8*Assumptions!V9</f>
        <v>71812.352000000014</v>
      </c>
      <c r="W11" s="22">
        <f>W$8*Assumptions!W9</f>
        <v>66616.499200000006</v>
      </c>
      <c r="X11" s="22">
        <f>X$8*Assumptions!X9</f>
        <v>70776.499200000006</v>
      </c>
      <c r="Y11" s="22">
        <f>Y$8*Assumptions!Y9</f>
        <v>74936.499200000006</v>
      </c>
      <c r="Z11" s="22">
        <f>Z$8*Assumptions!Z9</f>
        <v>72546.849280000009</v>
      </c>
    </row>
    <row r="12" spans="1:26" x14ac:dyDescent="0.35">
      <c r="A12" t="s">
        <v>38</v>
      </c>
      <c r="B12" s="19"/>
      <c r="C12" s="27">
        <f>C$8*Assumptions!C10</f>
        <v>4800</v>
      </c>
      <c r="D12" s="22">
        <f>D$8*Assumptions!D10</f>
        <v>7150</v>
      </c>
      <c r="E12" s="22">
        <f>E$8*Assumptions!E10</f>
        <v>6750</v>
      </c>
      <c r="F12" s="22">
        <f>F$8*Assumptions!F10</f>
        <v>8750</v>
      </c>
      <c r="G12" s="22">
        <f>G$8*Assumptions!G10</f>
        <v>10750</v>
      </c>
      <c r="H12" s="22">
        <f>H$8*Assumptions!H10</f>
        <v>9010</v>
      </c>
      <c r="I12" s="22">
        <f>I$8*Assumptions!I10</f>
        <v>11010</v>
      </c>
      <c r="J12" s="22">
        <f>J$8*Assumptions!J10</f>
        <v>13010</v>
      </c>
      <c r="K12" s="22">
        <f>K$8*Assumptions!K10</f>
        <v>10306</v>
      </c>
      <c r="L12" s="22">
        <f>L$8*Assumptions!L10</f>
        <v>12306.000000000002</v>
      </c>
      <c r="M12" s="22">
        <f>M$8*Assumptions!M10</f>
        <v>16456</v>
      </c>
      <c r="N12" s="22">
        <f>N$8*Assumptions!N10</f>
        <v>15339.2</v>
      </c>
      <c r="O12" s="22">
        <f>O$8*Assumptions!O10</f>
        <v>19339.2</v>
      </c>
      <c r="P12" s="22">
        <f>P$8*Assumptions!P10</f>
        <v>19839.2</v>
      </c>
      <c r="Q12" s="22">
        <f>Q$8*Assumptions!Q10</f>
        <v>16951.36</v>
      </c>
      <c r="R12" s="22">
        <f>R$8*Assumptions!R10</f>
        <v>17451.36</v>
      </c>
      <c r="S12" s="22">
        <f>S$8*Assumptions!S10</f>
        <v>17951.36</v>
      </c>
      <c r="T12" s="22">
        <f>T$8*Assumptions!T10</f>
        <v>15873.088000000002</v>
      </c>
      <c r="U12" s="22">
        <f>U$8*Assumptions!U10</f>
        <v>16913.088000000003</v>
      </c>
      <c r="V12" s="22">
        <f>V$8*Assumptions!V10</f>
        <v>17953.088000000003</v>
      </c>
      <c r="W12" s="22">
        <f>W$8*Assumptions!W10</f>
        <v>16654.124800000001</v>
      </c>
      <c r="X12" s="22">
        <f>X$8*Assumptions!X10</f>
        <v>17694.124800000001</v>
      </c>
      <c r="Y12" s="22">
        <f>Y$8*Assumptions!Y10</f>
        <v>18734.124800000001</v>
      </c>
      <c r="Z12" s="22">
        <f>Z$8*Assumptions!Z10</f>
        <v>18136.712320000002</v>
      </c>
    </row>
    <row r="13" spans="1:26" x14ac:dyDescent="0.35">
      <c r="A13" t="s">
        <v>39</v>
      </c>
      <c r="B13" s="19"/>
      <c r="C13" s="27">
        <f>C$8*Assumptions!C11</f>
        <v>9600</v>
      </c>
      <c r="D13" s="22">
        <f>D$8*Assumptions!D11</f>
        <v>14300</v>
      </c>
      <c r="E13" s="22">
        <f>E$8*Assumptions!E11</f>
        <v>13500</v>
      </c>
      <c r="F13" s="22">
        <f>F$8*Assumptions!F11</f>
        <v>17500</v>
      </c>
      <c r="G13" s="22">
        <f>G$8*Assumptions!G11</f>
        <v>21500</v>
      </c>
      <c r="H13" s="22">
        <f>H$8*Assumptions!H11</f>
        <v>18020</v>
      </c>
      <c r="I13" s="22">
        <f>I$8*Assumptions!I11</f>
        <v>22020</v>
      </c>
      <c r="J13" s="22">
        <f>J$8*Assumptions!J11</f>
        <v>26020</v>
      </c>
      <c r="K13" s="22">
        <f>K$8*Assumptions!K11</f>
        <v>20612</v>
      </c>
      <c r="L13" s="22">
        <f>L$8*Assumptions!L11</f>
        <v>24612.000000000004</v>
      </c>
      <c r="M13" s="22">
        <f>M$8*Assumptions!M11</f>
        <v>32912</v>
      </c>
      <c r="N13" s="22">
        <f>N$8*Assumptions!N11</f>
        <v>30678.400000000001</v>
      </c>
      <c r="O13" s="22">
        <f>O$8*Assumptions!O11</f>
        <v>38678.400000000001</v>
      </c>
      <c r="P13" s="22">
        <f>P$8*Assumptions!P11</f>
        <v>39678.400000000001</v>
      </c>
      <c r="Q13" s="22">
        <f>Q$8*Assumptions!Q11</f>
        <v>33902.720000000001</v>
      </c>
      <c r="R13" s="22">
        <f>R$8*Assumptions!R11</f>
        <v>34902.720000000001</v>
      </c>
      <c r="S13" s="22">
        <f>S$8*Assumptions!S11</f>
        <v>35902.720000000001</v>
      </c>
      <c r="T13" s="22">
        <f>T$8*Assumptions!T11</f>
        <v>31746.176000000003</v>
      </c>
      <c r="U13" s="22">
        <f>U$8*Assumptions!U11</f>
        <v>33826.176000000007</v>
      </c>
      <c r="V13" s="22">
        <f>V$8*Assumptions!V11</f>
        <v>35906.176000000007</v>
      </c>
      <c r="W13" s="22">
        <f>W$8*Assumptions!W11</f>
        <v>33308.249600000003</v>
      </c>
      <c r="X13" s="22">
        <f>X$8*Assumptions!X11</f>
        <v>35388.249600000003</v>
      </c>
      <c r="Y13" s="22">
        <f>Y$8*Assumptions!Y11</f>
        <v>37468.249600000003</v>
      </c>
      <c r="Z13" s="22">
        <f>Z$8*Assumptions!Z11</f>
        <v>36273.424640000005</v>
      </c>
    </row>
    <row r="14" spans="1:26" x14ac:dyDescent="0.35">
      <c r="A14" s="41" t="s">
        <v>36</v>
      </c>
      <c r="B14" s="19"/>
      <c r="C14" s="34">
        <f>SUM(C11:C13)</f>
        <v>33600</v>
      </c>
      <c r="D14" s="17">
        <f t="shared" ref="D14:Z14" si="1">SUM(D11:D13)</f>
        <v>50050</v>
      </c>
      <c r="E14" s="17">
        <f t="shared" si="1"/>
        <v>47250</v>
      </c>
      <c r="F14" s="17">
        <f t="shared" si="1"/>
        <v>61250</v>
      </c>
      <c r="G14" s="17">
        <f t="shared" si="1"/>
        <v>75250</v>
      </c>
      <c r="H14" s="17">
        <f t="shared" si="1"/>
        <v>63070</v>
      </c>
      <c r="I14" s="17">
        <f t="shared" si="1"/>
        <v>77070</v>
      </c>
      <c r="J14" s="17">
        <f t="shared" si="1"/>
        <v>91070</v>
      </c>
      <c r="K14" s="32">
        <f t="shared" si="1"/>
        <v>72142</v>
      </c>
      <c r="L14" s="32">
        <f t="shared" si="1"/>
        <v>86142.000000000015</v>
      </c>
      <c r="M14" s="32">
        <f t="shared" si="1"/>
        <v>115192</v>
      </c>
      <c r="N14" s="32">
        <f t="shared" si="1"/>
        <v>107374.39999999999</v>
      </c>
      <c r="O14" s="32">
        <f t="shared" si="1"/>
        <v>135374.39999999999</v>
      </c>
      <c r="P14" s="32">
        <f t="shared" si="1"/>
        <v>138874.4</v>
      </c>
      <c r="Q14" s="32">
        <f t="shared" si="1"/>
        <v>118659.52</v>
      </c>
      <c r="R14" s="32">
        <f t="shared" si="1"/>
        <v>122159.52</v>
      </c>
      <c r="S14" s="32">
        <f t="shared" si="1"/>
        <v>125659.52</v>
      </c>
      <c r="T14" s="32">
        <f t="shared" si="1"/>
        <v>111111.61600000001</v>
      </c>
      <c r="U14" s="32">
        <f t="shared" si="1"/>
        <v>118391.61600000002</v>
      </c>
      <c r="V14" s="32">
        <f t="shared" si="1"/>
        <v>125671.61600000002</v>
      </c>
      <c r="W14" s="32">
        <f t="shared" si="1"/>
        <v>116578.87360000002</v>
      </c>
      <c r="X14" s="32">
        <f t="shared" si="1"/>
        <v>123858.87360000002</v>
      </c>
      <c r="Y14" s="32">
        <f t="shared" si="1"/>
        <v>131138.87360000002</v>
      </c>
      <c r="Z14" s="32">
        <f t="shared" si="1"/>
        <v>126956.98624000003</v>
      </c>
    </row>
    <row r="15" spans="1:26" x14ac:dyDescent="0.35">
      <c r="A15" s="3"/>
      <c r="B15" s="1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41" t="s">
        <v>44</v>
      </c>
      <c r="B16" s="19"/>
      <c r="C16" s="31">
        <f>C8-C14</f>
        <v>62400</v>
      </c>
      <c r="D16" s="32">
        <f t="shared" ref="D16:Z16" si="2">D8-D14</f>
        <v>92950</v>
      </c>
      <c r="E16" s="32">
        <f t="shared" si="2"/>
        <v>87750</v>
      </c>
      <c r="F16" s="32">
        <f t="shared" si="2"/>
        <v>113750</v>
      </c>
      <c r="G16" s="32">
        <f t="shared" si="2"/>
        <v>139750</v>
      </c>
      <c r="H16" s="32">
        <f t="shared" si="2"/>
        <v>117130</v>
      </c>
      <c r="I16" s="32">
        <f t="shared" si="2"/>
        <v>143130</v>
      </c>
      <c r="J16" s="32">
        <f t="shared" si="2"/>
        <v>169130</v>
      </c>
      <c r="K16" s="32">
        <f t="shared" si="2"/>
        <v>133978</v>
      </c>
      <c r="L16" s="32">
        <f t="shared" si="2"/>
        <v>159978</v>
      </c>
      <c r="M16" s="32">
        <f t="shared" si="2"/>
        <v>213928</v>
      </c>
      <c r="N16" s="32">
        <f t="shared" si="2"/>
        <v>199409.6</v>
      </c>
      <c r="O16" s="32">
        <f t="shared" si="2"/>
        <v>251409.6</v>
      </c>
      <c r="P16" s="32">
        <f t="shared" si="2"/>
        <v>257909.6</v>
      </c>
      <c r="Q16" s="32">
        <f t="shared" si="2"/>
        <v>220367.68</v>
      </c>
      <c r="R16" s="32">
        <f t="shared" si="2"/>
        <v>226867.68</v>
      </c>
      <c r="S16" s="32">
        <f t="shared" si="2"/>
        <v>233367.67999999999</v>
      </c>
      <c r="T16" s="32">
        <f t="shared" si="2"/>
        <v>206350.144</v>
      </c>
      <c r="U16" s="32">
        <f t="shared" si="2"/>
        <v>219870.14400000003</v>
      </c>
      <c r="V16" s="32">
        <f t="shared" si="2"/>
        <v>233390.14400000003</v>
      </c>
      <c r="W16" s="32">
        <f t="shared" si="2"/>
        <v>216503.62240000002</v>
      </c>
      <c r="X16" s="32">
        <f t="shared" si="2"/>
        <v>230023.62240000002</v>
      </c>
      <c r="Y16" s="32">
        <f t="shared" si="2"/>
        <v>243543.62240000002</v>
      </c>
      <c r="Z16" s="32">
        <f t="shared" si="2"/>
        <v>235777.26015999998</v>
      </c>
    </row>
    <row r="17" spans="1:26" x14ac:dyDescent="0.35">
      <c r="A17" s="42" t="s">
        <v>45</v>
      </c>
      <c r="B17" s="19"/>
      <c r="C17" s="64">
        <f>C16/C8</f>
        <v>0.65</v>
      </c>
      <c r="D17" s="29">
        <f t="shared" ref="D17:Z17" si="3">D16/D8</f>
        <v>0.65</v>
      </c>
      <c r="E17" s="29">
        <f t="shared" si="3"/>
        <v>0.65</v>
      </c>
      <c r="F17" s="29">
        <f t="shared" si="3"/>
        <v>0.65</v>
      </c>
      <c r="G17" s="29">
        <f t="shared" si="3"/>
        <v>0.65</v>
      </c>
      <c r="H17" s="29">
        <f t="shared" si="3"/>
        <v>0.65</v>
      </c>
      <c r="I17" s="29">
        <f t="shared" si="3"/>
        <v>0.65</v>
      </c>
      <c r="J17" s="29">
        <f t="shared" si="3"/>
        <v>0.65</v>
      </c>
      <c r="K17" s="29">
        <f t="shared" si="3"/>
        <v>0.65</v>
      </c>
      <c r="L17" s="29">
        <f t="shared" si="3"/>
        <v>0.64999999999999991</v>
      </c>
      <c r="M17" s="29">
        <f t="shared" si="3"/>
        <v>0.65</v>
      </c>
      <c r="N17" s="29">
        <f t="shared" si="3"/>
        <v>0.65</v>
      </c>
      <c r="O17" s="29">
        <f t="shared" si="3"/>
        <v>0.65</v>
      </c>
      <c r="P17" s="29">
        <f t="shared" si="3"/>
        <v>0.65</v>
      </c>
      <c r="Q17" s="29">
        <f t="shared" si="3"/>
        <v>0.64999999999999991</v>
      </c>
      <c r="R17" s="29">
        <f t="shared" si="3"/>
        <v>0.64999999999999991</v>
      </c>
      <c r="S17" s="29">
        <f t="shared" si="3"/>
        <v>0.64999999999999991</v>
      </c>
      <c r="T17" s="29">
        <f t="shared" si="3"/>
        <v>0.65</v>
      </c>
      <c r="U17" s="29">
        <f t="shared" si="3"/>
        <v>0.64999999999999991</v>
      </c>
      <c r="V17" s="29">
        <f t="shared" si="3"/>
        <v>0.64999999999999991</v>
      </c>
      <c r="W17" s="29">
        <f t="shared" si="3"/>
        <v>0.65</v>
      </c>
      <c r="X17" s="29">
        <f t="shared" si="3"/>
        <v>0.65</v>
      </c>
      <c r="Y17" s="29">
        <f t="shared" si="3"/>
        <v>0.65</v>
      </c>
      <c r="Z17" s="29">
        <f t="shared" si="3"/>
        <v>0.64999999999999991</v>
      </c>
    </row>
    <row r="18" spans="1:26" x14ac:dyDescent="0.35">
      <c r="A18" s="14"/>
      <c r="B18" s="19"/>
    </row>
    <row r="19" spans="1:26" x14ac:dyDescent="0.35">
      <c r="A19" s="8" t="s">
        <v>43</v>
      </c>
      <c r="B19" s="19"/>
    </row>
    <row r="20" spans="1:26" x14ac:dyDescent="0.35">
      <c r="A20" s="8" t="s">
        <v>65</v>
      </c>
      <c r="B20" s="19"/>
    </row>
    <row r="21" spans="1:26" x14ac:dyDescent="0.35">
      <c r="A21" t="s">
        <v>82</v>
      </c>
      <c r="B21" s="19"/>
      <c r="C21" s="27">
        <f>Assumptions!$B15*Assumptions!C15</f>
        <v>24000</v>
      </c>
      <c r="D21" s="1">
        <f>Assumptions!$B15*Assumptions!D15</f>
        <v>24000</v>
      </c>
      <c r="E21" s="1">
        <f>Assumptions!$B15*Assumptions!E15</f>
        <v>24000</v>
      </c>
      <c r="F21" s="1">
        <f>Assumptions!$B15*Assumptions!F15</f>
        <v>24000</v>
      </c>
      <c r="G21" s="1">
        <f>Assumptions!$B15*Assumptions!G15</f>
        <v>24000</v>
      </c>
      <c r="H21" s="1">
        <f>Assumptions!$B15*Assumptions!H15</f>
        <v>24000</v>
      </c>
      <c r="I21" s="1">
        <f>Assumptions!$B15*Assumptions!I15</f>
        <v>24000</v>
      </c>
      <c r="J21" s="1">
        <f>Assumptions!$B15*Assumptions!J15</f>
        <v>24000</v>
      </c>
      <c r="K21" s="1">
        <f>Assumptions!$B15*Assumptions!K15</f>
        <v>24000</v>
      </c>
      <c r="L21" s="1">
        <f>Assumptions!$B15*Assumptions!L15</f>
        <v>24000</v>
      </c>
      <c r="M21" s="1">
        <f>Assumptions!$B15*Assumptions!M15</f>
        <v>24000</v>
      </c>
      <c r="N21" s="1">
        <f>Assumptions!$B15*Assumptions!N15</f>
        <v>24000</v>
      </c>
      <c r="O21" s="1">
        <f>Assumptions!$B15*Assumptions!O15</f>
        <v>24000</v>
      </c>
      <c r="P21" s="1">
        <f>Assumptions!$B15*Assumptions!P15</f>
        <v>24000</v>
      </c>
      <c r="Q21" s="1">
        <f>Assumptions!$B15*Assumptions!Q15</f>
        <v>24000</v>
      </c>
      <c r="R21" s="1">
        <f>Assumptions!$B15*Assumptions!R15</f>
        <v>24000</v>
      </c>
      <c r="S21" s="1">
        <f>Assumptions!$B15*Assumptions!S15</f>
        <v>24000</v>
      </c>
      <c r="T21" s="1">
        <f>Assumptions!$B15*Assumptions!T15</f>
        <v>24000</v>
      </c>
      <c r="U21" s="1">
        <f>Assumptions!$B15*Assumptions!U15</f>
        <v>24000</v>
      </c>
      <c r="V21" s="1">
        <f>Assumptions!$B15*Assumptions!V15</f>
        <v>24000</v>
      </c>
      <c r="W21" s="1">
        <f>Assumptions!$B15*Assumptions!W15</f>
        <v>24000</v>
      </c>
      <c r="X21" s="1">
        <f>Assumptions!$B15*Assumptions!X15</f>
        <v>24000</v>
      </c>
      <c r="Y21" s="1">
        <f>Assumptions!$B15*Assumptions!Y15</f>
        <v>24000</v>
      </c>
      <c r="Z21" s="1">
        <f>Assumptions!$B15*Assumptions!Z15</f>
        <v>24000</v>
      </c>
    </row>
    <row r="22" spans="1:26" x14ac:dyDescent="0.35">
      <c r="A22" t="s">
        <v>67</v>
      </c>
      <c r="B22" s="19"/>
      <c r="C22" s="27">
        <f>Assumptions!$B16*Assumptions!C16</f>
        <v>24000</v>
      </c>
      <c r="D22" s="1">
        <f>Assumptions!$B16*Assumptions!D16</f>
        <v>24000</v>
      </c>
      <c r="E22" s="1">
        <f>Assumptions!$B16*Assumptions!E16</f>
        <v>24000</v>
      </c>
      <c r="F22" s="1">
        <f>Assumptions!$B16*Assumptions!F16</f>
        <v>24000</v>
      </c>
      <c r="G22" s="1">
        <f>Assumptions!$B16*Assumptions!G16</f>
        <v>24000</v>
      </c>
      <c r="H22" s="1">
        <f>Assumptions!$B16*Assumptions!H16</f>
        <v>24000</v>
      </c>
      <c r="I22" s="1">
        <f>Assumptions!$B16*Assumptions!I16</f>
        <v>24000</v>
      </c>
      <c r="J22" s="1">
        <f>Assumptions!$B16*Assumptions!J16</f>
        <v>24000</v>
      </c>
      <c r="K22" s="1">
        <f>Assumptions!$B16*Assumptions!K16</f>
        <v>24000</v>
      </c>
      <c r="L22" s="1">
        <f>Assumptions!$B16*Assumptions!L16</f>
        <v>24000</v>
      </c>
      <c r="M22" s="1">
        <f>Assumptions!$B16*Assumptions!M16</f>
        <v>24000</v>
      </c>
      <c r="N22" s="1">
        <f>Assumptions!$B16*Assumptions!N16</f>
        <v>24000</v>
      </c>
      <c r="O22" s="1">
        <f>Assumptions!$B16*Assumptions!O16</f>
        <v>24000</v>
      </c>
      <c r="P22" s="1">
        <f>Assumptions!$B16*Assumptions!P16</f>
        <v>24000</v>
      </c>
      <c r="Q22" s="1">
        <f>Assumptions!$B16*Assumptions!Q16</f>
        <v>24000</v>
      </c>
      <c r="R22" s="1">
        <f>Assumptions!$B16*Assumptions!R16</f>
        <v>24000</v>
      </c>
      <c r="S22" s="1">
        <f>Assumptions!$B16*Assumptions!S16</f>
        <v>24000</v>
      </c>
      <c r="T22" s="1">
        <f>Assumptions!$B16*Assumptions!T16</f>
        <v>24000</v>
      </c>
      <c r="U22" s="1">
        <f>Assumptions!$B16*Assumptions!U16</f>
        <v>24000</v>
      </c>
      <c r="V22" s="1">
        <f>Assumptions!$B16*Assumptions!V16</f>
        <v>24000</v>
      </c>
      <c r="W22" s="1">
        <f>Assumptions!$B16*Assumptions!W16</f>
        <v>24000</v>
      </c>
      <c r="X22" s="1">
        <f>Assumptions!$B16*Assumptions!X16</f>
        <v>24000</v>
      </c>
      <c r="Y22" s="1">
        <f>Assumptions!$B16*Assumptions!Y16</f>
        <v>24000</v>
      </c>
      <c r="Z22" s="1">
        <f>Assumptions!$B16*Assumptions!Z16</f>
        <v>24000</v>
      </c>
    </row>
    <row r="23" spans="1:26" x14ac:dyDescent="0.35">
      <c r="A23" t="s">
        <v>68</v>
      </c>
      <c r="B23" s="19"/>
      <c r="C23" s="27">
        <f>Assumptions!$B17*Assumptions!C17</f>
        <v>16000</v>
      </c>
      <c r="D23" s="1">
        <f>Assumptions!$B17*Assumptions!D17</f>
        <v>16000</v>
      </c>
      <c r="E23" s="1">
        <f>Assumptions!$B17*Assumptions!E17</f>
        <v>16000</v>
      </c>
      <c r="F23" s="1">
        <f>Assumptions!$B17*Assumptions!F17</f>
        <v>16000</v>
      </c>
      <c r="G23" s="1">
        <f>Assumptions!$B17*Assumptions!G17</f>
        <v>16000</v>
      </c>
      <c r="H23" s="1">
        <f>Assumptions!$B17*Assumptions!H17</f>
        <v>16000</v>
      </c>
      <c r="I23" s="1">
        <f>Assumptions!$B17*Assumptions!I17</f>
        <v>16000</v>
      </c>
      <c r="J23" s="1">
        <f>Assumptions!$B17*Assumptions!J17</f>
        <v>16000</v>
      </c>
      <c r="K23" s="1">
        <f>Assumptions!$B17*Assumptions!K17</f>
        <v>16000</v>
      </c>
      <c r="L23" s="1">
        <f>Assumptions!$B17*Assumptions!L17</f>
        <v>16000</v>
      </c>
      <c r="M23" s="1">
        <f>Assumptions!$B17*Assumptions!M17</f>
        <v>16000</v>
      </c>
      <c r="N23" s="1">
        <f>Assumptions!$B17*Assumptions!N17</f>
        <v>16000</v>
      </c>
      <c r="O23" s="1">
        <f>Assumptions!$B17*Assumptions!O17</f>
        <v>16000</v>
      </c>
      <c r="P23" s="1">
        <f>Assumptions!$B17*Assumptions!P17</f>
        <v>16000</v>
      </c>
      <c r="Q23" s="1">
        <f>Assumptions!$B17*Assumptions!Q17</f>
        <v>16000</v>
      </c>
      <c r="R23" s="1">
        <f>Assumptions!$B17*Assumptions!R17</f>
        <v>16000</v>
      </c>
      <c r="S23" s="1">
        <f>Assumptions!$B17*Assumptions!S17</f>
        <v>16000</v>
      </c>
      <c r="T23" s="1">
        <f>Assumptions!$B17*Assumptions!T17</f>
        <v>16000</v>
      </c>
      <c r="U23" s="1">
        <f>Assumptions!$B17*Assumptions!U17</f>
        <v>16000</v>
      </c>
      <c r="V23" s="1">
        <f>Assumptions!$B17*Assumptions!V17</f>
        <v>16000</v>
      </c>
      <c r="W23" s="1">
        <f>Assumptions!$B17*Assumptions!W17</f>
        <v>16000</v>
      </c>
      <c r="X23" s="1">
        <f>Assumptions!$B17*Assumptions!X17</f>
        <v>16000</v>
      </c>
      <c r="Y23" s="1">
        <f>Assumptions!$B17*Assumptions!Y17</f>
        <v>16000</v>
      </c>
      <c r="Z23" s="1">
        <f>Assumptions!$B17*Assumptions!Z17</f>
        <v>16000</v>
      </c>
    </row>
    <row r="24" spans="1:26" x14ac:dyDescent="0.35">
      <c r="A24" s="41" t="s">
        <v>49</v>
      </c>
      <c r="B24" s="19"/>
      <c r="C24" s="34">
        <f>SUM(C21,C22,C23)</f>
        <v>64000</v>
      </c>
      <c r="D24" s="17">
        <f>SUM(D21,D22,D23)</f>
        <v>64000</v>
      </c>
      <c r="E24" s="17">
        <f>SUM(E21,E22,E23)</f>
        <v>64000</v>
      </c>
      <c r="F24" s="17">
        <f>SUM(F21,F22,F23)</f>
        <v>64000</v>
      </c>
      <c r="G24" s="17">
        <f t="shared" ref="G24:Z24" si="4">SUM(G21,G22,G23)</f>
        <v>64000</v>
      </c>
      <c r="H24" s="17">
        <f t="shared" si="4"/>
        <v>64000</v>
      </c>
      <c r="I24" s="17">
        <f t="shared" si="4"/>
        <v>64000</v>
      </c>
      <c r="J24" s="17">
        <f t="shared" si="4"/>
        <v>64000</v>
      </c>
      <c r="K24" s="17">
        <f t="shared" si="4"/>
        <v>64000</v>
      </c>
      <c r="L24" s="17">
        <f t="shared" si="4"/>
        <v>64000</v>
      </c>
      <c r="M24" s="17">
        <f t="shared" si="4"/>
        <v>64000</v>
      </c>
      <c r="N24" s="17">
        <f t="shared" si="4"/>
        <v>64000</v>
      </c>
      <c r="O24" s="17">
        <f t="shared" si="4"/>
        <v>64000</v>
      </c>
      <c r="P24" s="17">
        <f t="shared" si="4"/>
        <v>64000</v>
      </c>
      <c r="Q24" s="17">
        <f t="shared" si="4"/>
        <v>64000</v>
      </c>
      <c r="R24" s="17">
        <f t="shared" si="4"/>
        <v>64000</v>
      </c>
      <c r="S24" s="17">
        <f t="shared" si="4"/>
        <v>64000</v>
      </c>
      <c r="T24" s="17">
        <f t="shared" si="4"/>
        <v>64000</v>
      </c>
      <c r="U24" s="17">
        <f t="shared" si="4"/>
        <v>64000</v>
      </c>
      <c r="V24" s="17">
        <f t="shared" si="4"/>
        <v>64000</v>
      </c>
      <c r="W24" s="17">
        <f t="shared" si="4"/>
        <v>64000</v>
      </c>
      <c r="X24" s="17">
        <f t="shared" si="4"/>
        <v>64000</v>
      </c>
      <c r="Y24" s="17">
        <f t="shared" si="4"/>
        <v>64000</v>
      </c>
      <c r="Z24" s="17">
        <f t="shared" si="4"/>
        <v>64000</v>
      </c>
    </row>
    <row r="25" spans="1:26" x14ac:dyDescent="0.35">
      <c r="A25" s="8" t="s">
        <v>35</v>
      </c>
      <c r="B25" s="19"/>
    </row>
    <row r="26" spans="1:26" x14ac:dyDescent="0.35">
      <c r="A26" t="s">
        <v>40</v>
      </c>
      <c r="B26" s="19"/>
      <c r="C26" s="27">
        <f>Assumptions!C19</f>
        <v>2600</v>
      </c>
      <c r="D26" s="22">
        <f>Assumptions!D19</f>
        <v>2600</v>
      </c>
      <c r="E26" s="22">
        <f>Assumptions!E19</f>
        <v>2600</v>
      </c>
      <c r="F26" s="22">
        <f>Assumptions!F19</f>
        <v>2600</v>
      </c>
      <c r="G26" s="22">
        <f>Assumptions!G19</f>
        <v>2600</v>
      </c>
      <c r="H26" s="22">
        <f>Assumptions!H19</f>
        <v>2600</v>
      </c>
      <c r="I26" s="22">
        <f>Assumptions!I19</f>
        <v>2600</v>
      </c>
      <c r="J26" s="22">
        <f>Assumptions!J19</f>
        <v>2600</v>
      </c>
      <c r="K26" s="22">
        <f>Assumptions!K19</f>
        <v>2600</v>
      </c>
      <c r="L26" s="22">
        <f>Assumptions!L19</f>
        <v>2600</v>
      </c>
      <c r="M26" s="22">
        <f>Assumptions!M19</f>
        <v>2600</v>
      </c>
      <c r="N26" s="22">
        <f>Assumptions!N19</f>
        <v>2600</v>
      </c>
      <c r="O26" s="22">
        <f>Assumptions!O19</f>
        <v>2600</v>
      </c>
      <c r="P26" s="22">
        <f>Assumptions!P19</f>
        <v>2600</v>
      </c>
      <c r="Q26" s="22">
        <f>Assumptions!Q19</f>
        <v>2600</v>
      </c>
      <c r="R26" s="22">
        <f>Assumptions!R19</f>
        <v>2600</v>
      </c>
      <c r="S26" s="22">
        <f>Assumptions!S19</f>
        <v>2600</v>
      </c>
      <c r="T26" s="22">
        <f>Assumptions!T19</f>
        <v>2600</v>
      </c>
      <c r="U26" s="22">
        <f>Assumptions!U19</f>
        <v>2600</v>
      </c>
      <c r="V26" s="22">
        <f>Assumptions!V19</f>
        <v>2600</v>
      </c>
      <c r="W26" s="22">
        <f>Assumptions!W19</f>
        <v>2600</v>
      </c>
      <c r="X26" s="22">
        <f>Assumptions!X19</f>
        <v>2600</v>
      </c>
      <c r="Y26" s="22">
        <f>Assumptions!Y19</f>
        <v>2600</v>
      </c>
      <c r="Z26" s="22">
        <f>Assumptions!Z19</f>
        <v>2600</v>
      </c>
    </row>
    <row r="27" spans="1:26" x14ac:dyDescent="0.35">
      <c r="A27" t="s">
        <v>30</v>
      </c>
      <c r="B27" s="19"/>
      <c r="C27" s="27">
        <f>Assumptions!C20*C$8</f>
        <v>9600</v>
      </c>
      <c r="D27" s="22">
        <f>Assumptions!D20*D$8</f>
        <v>14300</v>
      </c>
      <c r="E27" s="22">
        <f>Assumptions!E20*E$8</f>
        <v>13500</v>
      </c>
      <c r="F27" s="22">
        <f>Assumptions!F20*F$8</f>
        <v>17500</v>
      </c>
      <c r="G27" s="22">
        <f>Assumptions!G20*G$8</f>
        <v>21500</v>
      </c>
      <c r="H27" s="22">
        <f>Assumptions!H20*H$8</f>
        <v>18020</v>
      </c>
      <c r="I27" s="22">
        <f>Assumptions!I20*I$8</f>
        <v>22020</v>
      </c>
      <c r="J27" s="22">
        <f>Assumptions!J20*J$8</f>
        <v>26020</v>
      </c>
      <c r="K27" s="22">
        <f>Assumptions!K20*K$8</f>
        <v>20612</v>
      </c>
      <c r="L27" s="22">
        <f>Assumptions!L20*L$8</f>
        <v>24612.000000000004</v>
      </c>
      <c r="M27" s="22">
        <f>Assumptions!M20*M$8</f>
        <v>32912</v>
      </c>
      <c r="N27" s="22">
        <f>Assumptions!N20*N$8</f>
        <v>30678.400000000001</v>
      </c>
      <c r="O27" s="22">
        <f>Assumptions!O20*O$8</f>
        <v>38678.400000000001</v>
      </c>
      <c r="P27" s="22">
        <f>Assumptions!P20*P$8</f>
        <v>39678.400000000001</v>
      </c>
      <c r="Q27" s="22">
        <f>Assumptions!Q20*Q$8</f>
        <v>33902.720000000001</v>
      </c>
      <c r="R27" s="22">
        <f>Assumptions!R20*R$8</f>
        <v>34902.720000000001</v>
      </c>
      <c r="S27" s="22">
        <f>Assumptions!S20*S$8</f>
        <v>35902.720000000001</v>
      </c>
      <c r="T27" s="22">
        <f>Assumptions!T20*T$8</f>
        <v>31746.176000000003</v>
      </c>
      <c r="U27" s="22">
        <f>Assumptions!U20*U$8</f>
        <v>33826.176000000007</v>
      </c>
      <c r="V27" s="22">
        <f>Assumptions!V20*V$8</f>
        <v>35906.176000000007</v>
      </c>
      <c r="W27" s="22">
        <f>Assumptions!W20*W$8</f>
        <v>33308.249600000003</v>
      </c>
      <c r="X27" s="22">
        <f>Assumptions!X20*X$8</f>
        <v>35388.249600000003</v>
      </c>
      <c r="Y27" s="22">
        <f>Assumptions!Y20*Y$8</f>
        <v>37468.249600000003</v>
      </c>
      <c r="Z27" s="22">
        <f>Assumptions!Z20*Z$8</f>
        <v>36273.424640000005</v>
      </c>
    </row>
    <row r="28" spans="1:26" x14ac:dyDescent="0.35">
      <c r="A28" t="s">
        <v>42</v>
      </c>
      <c r="B28" s="19"/>
      <c r="C28" s="27">
        <f>Assumptions!C22*C$8</f>
        <v>4800</v>
      </c>
      <c r="D28" s="22">
        <f>Assumptions!D22*D$8</f>
        <v>7150</v>
      </c>
      <c r="E28" s="22">
        <f>Assumptions!E22*E$8</f>
        <v>6750</v>
      </c>
      <c r="F28" s="22">
        <f>Assumptions!F22*F$8</f>
        <v>8750</v>
      </c>
      <c r="G28" s="22">
        <f>Assumptions!G22*G$8</f>
        <v>10750</v>
      </c>
      <c r="H28" s="22">
        <f>Assumptions!H22*H$8</f>
        <v>9010</v>
      </c>
      <c r="I28" s="22">
        <f>Assumptions!I22*I$8</f>
        <v>11010</v>
      </c>
      <c r="J28" s="22">
        <f>Assumptions!J22*J$8</f>
        <v>13010</v>
      </c>
      <c r="K28" s="22">
        <f>Assumptions!K22*K$8</f>
        <v>10306</v>
      </c>
      <c r="L28" s="22">
        <f>Assumptions!L22*L$8</f>
        <v>12306.000000000002</v>
      </c>
      <c r="M28" s="22">
        <f>Assumptions!M22*M$8</f>
        <v>16456</v>
      </c>
      <c r="N28" s="22">
        <f>Assumptions!N22*N$8</f>
        <v>15339.2</v>
      </c>
      <c r="O28" s="22">
        <f>Assumptions!O22*O$8</f>
        <v>19339.2</v>
      </c>
      <c r="P28" s="22">
        <f>Assumptions!P22*P$8</f>
        <v>19839.2</v>
      </c>
      <c r="Q28" s="22">
        <f>Assumptions!Q22*Q$8</f>
        <v>16951.36</v>
      </c>
      <c r="R28" s="22">
        <f>Assumptions!R22*R$8</f>
        <v>17451.36</v>
      </c>
      <c r="S28" s="22">
        <f>Assumptions!S22*S$8</f>
        <v>17951.36</v>
      </c>
      <c r="T28" s="22">
        <f>Assumptions!T22*T$8</f>
        <v>15873.088000000002</v>
      </c>
      <c r="U28" s="22">
        <f>Assumptions!U22*U$8</f>
        <v>16913.088000000003</v>
      </c>
      <c r="V28" s="22">
        <f>Assumptions!V22*V$8</f>
        <v>17953.088000000003</v>
      </c>
      <c r="W28" s="22">
        <f>Assumptions!W22*W$8</f>
        <v>16654.124800000001</v>
      </c>
      <c r="X28" s="22">
        <f>Assumptions!X22*X$8</f>
        <v>17694.124800000001</v>
      </c>
      <c r="Y28" s="22">
        <f>Assumptions!Y22*Y$8</f>
        <v>18734.124800000001</v>
      </c>
      <c r="Z28" s="22">
        <f>Assumptions!Z22*Z$8</f>
        <v>18136.712320000002</v>
      </c>
    </row>
    <row r="29" spans="1:26" x14ac:dyDescent="0.35">
      <c r="A29" t="s">
        <v>81</v>
      </c>
      <c r="B29" s="19"/>
      <c r="C29" s="27">
        <f>Assumptions!C21</f>
        <v>0</v>
      </c>
      <c r="D29" s="22">
        <f>Assumptions!D21</f>
        <v>0</v>
      </c>
      <c r="E29" s="22">
        <f>Assumptions!E21</f>
        <v>0</v>
      </c>
      <c r="F29" s="22">
        <f>Assumptions!F21</f>
        <v>0</v>
      </c>
      <c r="G29" s="22">
        <f>Assumptions!G21</f>
        <v>0</v>
      </c>
      <c r="H29" s="22">
        <f>Assumptions!H21</f>
        <v>0</v>
      </c>
      <c r="I29" s="22">
        <f>Assumptions!I21</f>
        <v>0</v>
      </c>
      <c r="J29" s="22">
        <f>Assumptions!J21</f>
        <v>0</v>
      </c>
      <c r="K29" s="22">
        <f>Assumptions!K21</f>
        <v>0</v>
      </c>
      <c r="L29" s="22">
        <f>Assumptions!L21</f>
        <v>0</v>
      </c>
      <c r="M29" s="22">
        <f>Assumptions!M21</f>
        <v>0</v>
      </c>
      <c r="N29" s="22">
        <f>Assumptions!N21</f>
        <v>0</v>
      </c>
      <c r="O29" s="22">
        <f>Assumptions!O21</f>
        <v>0</v>
      </c>
      <c r="P29" s="22">
        <f>Assumptions!P21</f>
        <v>0</v>
      </c>
      <c r="Q29" s="22">
        <f>Assumptions!Q21</f>
        <v>0</v>
      </c>
      <c r="R29" s="22">
        <f>Assumptions!R21</f>
        <v>0</v>
      </c>
      <c r="S29" s="22">
        <f>Assumptions!S21</f>
        <v>0</v>
      </c>
      <c r="T29" s="22">
        <f>Assumptions!T21</f>
        <v>0</v>
      </c>
      <c r="U29" s="22">
        <f>Assumptions!U21</f>
        <v>0</v>
      </c>
      <c r="V29" s="22">
        <f>Assumptions!V21</f>
        <v>0</v>
      </c>
      <c r="W29" s="22">
        <f>Assumptions!W21</f>
        <v>0</v>
      </c>
      <c r="X29" s="22">
        <f>Assumptions!X21</f>
        <v>0</v>
      </c>
      <c r="Y29" s="22">
        <f>Assumptions!Y21</f>
        <v>0</v>
      </c>
      <c r="Z29" s="22">
        <f>Assumptions!Z21</f>
        <v>0</v>
      </c>
    </row>
    <row r="30" spans="1:26" x14ac:dyDescent="0.35">
      <c r="A30" s="41" t="s">
        <v>71</v>
      </c>
      <c r="B30" s="19"/>
      <c r="C30" s="36">
        <f>SUM(C26:C29)</f>
        <v>17000</v>
      </c>
      <c r="D30" s="33">
        <f t="shared" ref="D30:Z30" si="5">SUM(D26:D29)</f>
        <v>24050</v>
      </c>
      <c r="E30" s="33">
        <f t="shared" si="5"/>
        <v>22850</v>
      </c>
      <c r="F30" s="33">
        <f t="shared" si="5"/>
        <v>28850</v>
      </c>
      <c r="G30" s="33">
        <f t="shared" si="5"/>
        <v>34850</v>
      </c>
      <c r="H30" s="33">
        <f t="shared" si="5"/>
        <v>29630</v>
      </c>
      <c r="I30" s="33">
        <f t="shared" si="5"/>
        <v>35630</v>
      </c>
      <c r="J30" s="33">
        <f t="shared" si="5"/>
        <v>41630</v>
      </c>
      <c r="K30" s="33">
        <f t="shared" si="5"/>
        <v>33518</v>
      </c>
      <c r="L30" s="33">
        <f t="shared" si="5"/>
        <v>39518.000000000007</v>
      </c>
      <c r="M30" s="33">
        <f t="shared" si="5"/>
        <v>51968</v>
      </c>
      <c r="N30" s="33">
        <f t="shared" si="5"/>
        <v>48617.600000000006</v>
      </c>
      <c r="O30" s="33">
        <f t="shared" si="5"/>
        <v>60617.600000000006</v>
      </c>
      <c r="P30" s="33">
        <f t="shared" si="5"/>
        <v>62117.600000000006</v>
      </c>
      <c r="Q30" s="33">
        <f t="shared" si="5"/>
        <v>53454.080000000002</v>
      </c>
      <c r="R30" s="33">
        <f t="shared" si="5"/>
        <v>54954.080000000002</v>
      </c>
      <c r="S30" s="33">
        <f t="shared" si="5"/>
        <v>56454.080000000002</v>
      </c>
      <c r="T30" s="33">
        <f t="shared" si="5"/>
        <v>50219.26400000001</v>
      </c>
      <c r="U30" s="33">
        <f t="shared" si="5"/>
        <v>53339.26400000001</v>
      </c>
      <c r="V30" s="33">
        <f t="shared" si="5"/>
        <v>56459.26400000001</v>
      </c>
      <c r="W30" s="33">
        <f t="shared" si="5"/>
        <v>52562.374400000001</v>
      </c>
      <c r="X30" s="33">
        <f t="shared" si="5"/>
        <v>55682.374400000001</v>
      </c>
      <c r="Y30" s="33">
        <f t="shared" si="5"/>
        <v>58802.374400000001</v>
      </c>
      <c r="Z30" s="33">
        <f t="shared" si="5"/>
        <v>57010.136960000003</v>
      </c>
    </row>
    <row r="31" spans="1:26" x14ac:dyDescent="0.35">
      <c r="A31" s="41" t="s">
        <v>72</v>
      </c>
      <c r="B31" s="19"/>
      <c r="C31" s="34">
        <f>SUM(C24+C30)</f>
        <v>81000</v>
      </c>
      <c r="D31" s="17">
        <f t="shared" ref="D31:Z31" si="6">SUM(D24+D30)</f>
        <v>88050</v>
      </c>
      <c r="E31" s="32">
        <f t="shared" si="6"/>
        <v>86850</v>
      </c>
      <c r="F31" s="32">
        <f t="shared" si="6"/>
        <v>92850</v>
      </c>
      <c r="G31" s="32">
        <f t="shared" si="6"/>
        <v>98850</v>
      </c>
      <c r="H31" s="32">
        <f t="shared" si="6"/>
        <v>93630</v>
      </c>
      <c r="I31" s="32">
        <f t="shared" si="6"/>
        <v>99630</v>
      </c>
      <c r="J31" s="32">
        <f t="shared" si="6"/>
        <v>105630</v>
      </c>
      <c r="K31" s="32">
        <f t="shared" si="6"/>
        <v>97518</v>
      </c>
      <c r="L31" s="32">
        <f t="shared" si="6"/>
        <v>103518</v>
      </c>
      <c r="M31" s="32">
        <f t="shared" si="6"/>
        <v>115968</v>
      </c>
      <c r="N31" s="32">
        <f t="shared" si="6"/>
        <v>112617.60000000001</v>
      </c>
      <c r="O31" s="32">
        <f t="shared" si="6"/>
        <v>124617.60000000001</v>
      </c>
      <c r="P31" s="32">
        <f t="shared" si="6"/>
        <v>126117.6</v>
      </c>
      <c r="Q31" s="32">
        <f t="shared" si="6"/>
        <v>117454.08</v>
      </c>
      <c r="R31" s="32">
        <f t="shared" si="6"/>
        <v>118954.08</v>
      </c>
      <c r="S31" s="32">
        <f t="shared" si="6"/>
        <v>120454.08</v>
      </c>
      <c r="T31" s="32">
        <f t="shared" si="6"/>
        <v>114219.26400000001</v>
      </c>
      <c r="U31" s="32">
        <f t="shared" si="6"/>
        <v>117339.26400000001</v>
      </c>
      <c r="V31" s="32">
        <f t="shared" si="6"/>
        <v>120459.26400000001</v>
      </c>
      <c r="W31" s="32">
        <f t="shared" si="6"/>
        <v>116562.3744</v>
      </c>
      <c r="X31" s="32">
        <f t="shared" si="6"/>
        <v>119682.3744</v>
      </c>
      <c r="Y31" s="32">
        <f t="shared" si="6"/>
        <v>122802.3744</v>
      </c>
      <c r="Z31" s="32">
        <f t="shared" si="6"/>
        <v>121010.13696</v>
      </c>
    </row>
    <row r="32" spans="1:26" x14ac:dyDescent="0.35">
      <c r="B32" s="19"/>
    </row>
    <row r="33" spans="1:26" x14ac:dyDescent="0.35">
      <c r="A33" s="41" t="s">
        <v>46</v>
      </c>
      <c r="B33" s="19"/>
      <c r="C33" s="44">
        <f t="shared" ref="C33:I33" si="7">C16-C31</f>
        <v>-18600</v>
      </c>
      <c r="D33" s="43">
        <f t="shared" si="7"/>
        <v>4900</v>
      </c>
      <c r="E33" s="43">
        <f t="shared" si="7"/>
        <v>900</v>
      </c>
      <c r="F33" s="43">
        <f t="shared" si="7"/>
        <v>20900</v>
      </c>
      <c r="G33" s="43">
        <f t="shared" si="7"/>
        <v>40900</v>
      </c>
      <c r="H33" s="43">
        <f t="shared" si="7"/>
        <v>23500</v>
      </c>
      <c r="I33" s="43">
        <f t="shared" si="7"/>
        <v>43500</v>
      </c>
      <c r="J33" s="43">
        <f t="shared" ref="J33:Z33" si="8">J16-J31</f>
        <v>63500</v>
      </c>
      <c r="K33" s="43">
        <f t="shared" si="8"/>
        <v>36460</v>
      </c>
      <c r="L33" s="43">
        <f t="shared" si="8"/>
        <v>56460</v>
      </c>
      <c r="M33" s="43">
        <f t="shared" si="8"/>
        <v>97960</v>
      </c>
      <c r="N33" s="43">
        <f t="shared" si="8"/>
        <v>86792</v>
      </c>
      <c r="O33" s="43">
        <f t="shared" si="8"/>
        <v>126792</v>
      </c>
      <c r="P33" s="43">
        <f t="shared" si="8"/>
        <v>131792</v>
      </c>
      <c r="Q33" s="43">
        <f t="shared" si="8"/>
        <v>102913.59999999999</v>
      </c>
      <c r="R33" s="43">
        <f t="shared" si="8"/>
        <v>107913.59999999999</v>
      </c>
      <c r="S33" s="43">
        <f t="shared" si="8"/>
        <v>112913.59999999999</v>
      </c>
      <c r="T33" s="43">
        <f t="shared" si="8"/>
        <v>92130.87999999999</v>
      </c>
      <c r="U33" s="43">
        <f t="shared" si="8"/>
        <v>102530.88000000002</v>
      </c>
      <c r="V33" s="43">
        <f t="shared" si="8"/>
        <v>112930.88000000002</v>
      </c>
      <c r="W33" s="43">
        <f t="shared" si="8"/>
        <v>99941.248000000021</v>
      </c>
      <c r="X33" s="43">
        <f t="shared" si="8"/>
        <v>110341.24800000002</v>
      </c>
      <c r="Y33" s="43">
        <f t="shared" si="8"/>
        <v>120741.24800000002</v>
      </c>
      <c r="Z33" s="43">
        <f t="shared" si="8"/>
        <v>114767.12319999997</v>
      </c>
    </row>
    <row r="34" spans="1:26" x14ac:dyDescent="0.35">
      <c r="A34" s="42" t="s">
        <v>53</v>
      </c>
      <c r="B34" s="19"/>
      <c r="C34" s="64">
        <f>C33/C8</f>
        <v>-0.19375000000000001</v>
      </c>
      <c r="D34" s="29">
        <f t="shared" ref="D34:Z34" si="9">D33/D8</f>
        <v>3.4265734265734267E-2</v>
      </c>
      <c r="E34" s="29">
        <f t="shared" si="9"/>
        <v>6.6666666666666671E-3</v>
      </c>
      <c r="F34" s="29">
        <f t="shared" si="9"/>
        <v>0.11942857142857143</v>
      </c>
      <c r="G34" s="29">
        <f t="shared" si="9"/>
        <v>0.19023255813953488</v>
      </c>
      <c r="H34" s="29">
        <f t="shared" si="9"/>
        <v>0.13041065482796893</v>
      </c>
      <c r="I34" s="29">
        <f t="shared" si="9"/>
        <v>0.19754768392370572</v>
      </c>
      <c r="J34" s="29">
        <f t="shared" si="9"/>
        <v>0.24404304381245195</v>
      </c>
      <c r="K34" s="29">
        <f t="shared" si="9"/>
        <v>0.17688725014554629</v>
      </c>
      <c r="L34" s="29">
        <f t="shared" si="9"/>
        <v>0.22940029254022426</v>
      </c>
      <c r="M34" s="29">
        <f t="shared" si="9"/>
        <v>0.29764219737481767</v>
      </c>
      <c r="N34" s="29">
        <f t="shared" si="9"/>
        <v>0.28290914780431836</v>
      </c>
      <c r="O34" s="29">
        <f t="shared" si="9"/>
        <v>0.32781087118391661</v>
      </c>
      <c r="P34" s="29">
        <f t="shared" si="9"/>
        <v>0.33215048993911045</v>
      </c>
      <c r="Q34" s="29">
        <f t="shared" si="9"/>
        <v>0.3035555849206199</v>
      </c>
      <c r="R34" s="29">
        <f t="shared" si="9"/>
        <v>0.30918392606650708</v>
      </c>
      <c r="S34" s="29">
        <f t="shared" si="9"/>
        <v>0.31449873435773107</v>
      </c>
      <c r="T34" s="29">
        <f t="shared" si="9"/>
        <v>0.29021095328142826</v>
      </c>
      <c r="U34" s="29">
        <f t="shared" si="9"/>
        <v>0.30311105813438682</v>
      </c>
      <c r="V34" s="29">
        <f t="shared" si="9"/>
        <v>0.31451658901243063</v>
      </c>
      <c r="W34" s="29">
        <f t="shared" si="9"/>
        <v>0.30004953487558833</v>
      </c>
      <c r="X34" s="29">
        <f t="shared" si="9"/>
        <v>0.31180193778219539</v>
      </c>
      <c r="Y34" s="29">
        <f t="shared" si="9"/>
        <v>0.32224950268293295</v>
      </c>
      <c r="Z34" s="29">
        <f t="shared" si="9"/>
        <v>0.31639450738114805</v>
      </c>
    </row>
    <row r="35" spans="1:26" x14ac:dyDescent="0.35">
      <c r="A35" s="14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s="3" customFormat="1" x14ac:dyDescent="0.35">
      <c r="A36" s="41" t="s">
        <v>41</v>
      </c>
      <c r="B36" s="18"/>
      <c r="C36" s="34">
        <f>'[1]Supporting Schedules'!B26</f>
        <v>6041.666666666667</v>
      </c>
      <c r="D36" s="32">
        <f>'[1]Supporting Schedules'!C26</f>
        <v>6041.666666666667</v>
      </c>
      <c r="E36" s="32">
        <f>'[1]Supporting Schedules'!D26</f>
        <v>6041.666666666667</v>
      </c>
      <c r="F36" s="32">
        <f>'[1]Supporting Schedules'!E26</f>
        <v>6041.666666666667</v>
      </c>
      <c r="G36" s="32">
        <f>'[1]Supporting Schedules'!F26</f>
        <v>6041.666666666667</v>
      </c>
      <c r="H36" s="32">
        <f>'[1]Supporting Schedules'!G26</f>
        <v>6041.666666666667</v>
      </c>
      <c r="I36" s="32">
        <f>'[1]Supporting Schedules'!H26</f>
        <v>6041.666666666667</v>
      </c>
      <c r="J36" s="32">
        <f>'[1]Supporting Schedules'!I26</f>
        <v>6041.666666666667</v>
      </c>
      <c r="K36" s="32">
        <f>'[1]Supporting Schedules'!J26</f>
        <v>6041.666666666667</v>
      </c>
      <c r="L36" s="32">
        <f>'[1]Supporting Schedules'!K26</f>
        <v>6041.666666666667</v>
      </c>
      <c r="M36" s="32">
        <f>'[1]Supporting Schedules'!L26</f>
        <v>6041.666666666667</v>
      </c>
      <c r="N36" s="32">
        <f>'[1]Supporting Schedules'!M26</f>
        <v>6041.666666666667</v>
      </c>
      <c r="O36" s="32">
        <f>'[1]Supporting Schedules'!N26</f>
        <v>6041.666666666667</v>
      </c>
      <c r="P36" s="32">
        <f>'[1]Supporting Schedules'!O26</f>
        <v>6041.666666666667</v>
      </c>
      <c r="Q36" s="32">
        <f>'[1]Supporting Schedules'!P26</f>
        <v>6041.666666666667</v>
      </c>
      <c r="R36" s="32">
        <f>'[1]Supporting Schedules'!Q26</f>
        <v>6041.666666666667</v>
      </c>
      <c r="S36" s="32">
        <f>'[1]Supporting Schedules'!R26</f>
        <v>6041.666666666667</v>
      </c>
      <c r="T36" s="32">
        <f>'[1]Supporting Schedules'!S26</f>
        <v>6041.666666666667</v>
      </c>
      <c r="U36" s="32">
        <f>'[1]Supporting Schedules'!T26</f>
        <v>6041.666666666667</v>
      </c>
      <c r="V36" s="32">
        <f>'[1]Supporting Schedules'!U26</f>
        <v>6041.666666666667</v>
      </c>
      <c r="W36" s="32">
        <f>'[1]Supporting Schedules'!V26</f>
        <v>6041.666666666667</v>
      </c>
      <c r="X36" s="32">
        <f>'[1]Supporting Schedules'!W26</f>
        <v>6041.666666666667</v>
      </c>
      <c r="Y36" s="32">
        <f>'[1]Supporting Schedules'!X26</f>
        <v>6041.666666666667</v>
      </c>
      <c r="Z36" s="32">
        <f>'[1]Supporting Schedules'!Y26</f>
        <v>6041.666666666667</v>
      </c>
    </row>
    <row r="37" spans="1:26" x14ac:dyDescent="0.35">
      <c r="A37" s="14"/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35">
      <c r="A38" s="41" t="s">
        <v>59</v>
      </c>
      <c r="B38" s="19"/>
      <c r="C38" s="35">
        <f>C33-C36</f>
        <v>-24641.666666666668</v>
      </c>
      <c r="D38" s="37">
        <f>D33-D36</f>
        <v>-1141.666666666667</v>
      </c>
      <c r="E38" s="37">
        <f>E33-E36</f>
        <v>-5141.666666666667</v>
      </c>
      <c r="F38" s="37">
        <f>F33-F36</f>
        <v>14858.333333333332</v>
      </c>
      <c r="G38" s="37">
        <f t="shared" ref="G38:Y38" si="10">G33-G36</f>
        <v>34858.333333333336</v>
      </c>
      <c r="H38" s="37">
        <f t="shared" si="10"/>
        <v>17458.333333333332</v>
      </c>
      <c r="I38" s="37">
        <f t="shared" si="10"/>
        <v>37458.333333333336</v>
      </c>
      <c r="J38" s="37">
        <f t="shared" si="10"/>
        <v>57458.333333333336</v>
      </c>
      <c r="K38" s="37">
        <f t="shared" si="10"/>
        <v>30418.333333333332</v>
      </c>
      <c r="L38" s="37">
        <f t="shared" si="10"/>
        <v>50418.333333333336</v>
      </c>
      <c r="M38" s="37">
        <f t="shared" si="10"/>
        <v>91918.333333333328</v>
      </c>
      <c r="N38" s="37">
        <f t="shared" si="10"/>
        <v>80750.333333333328</v>
      </c>
      <c r="O38" s="37">
        <f t="shared" si="10"/>
        <v>120750.33333333333</v>
      </c>
      <c r="P38" s="37">
        <f t="shared" si="10"/>
        <v>125750.33333333333</v>
      </c>
      <c r="Q38" s="37">
        <f t="shared" si="10"/>
        <v>96871.93333333332</v>
      </c>
      <c r="R38" s="37">
        <f t="shared" si="10"/>
        <v>101871.93333333332</v>
      </c>
      <c r="S38" s="37">
        <f t="shared" si="10"/>
        <v>106871.93333333332</v>
      </c>
      <c r="T38" s="37">
        <f t="shared" si="10"/>
        <v>86089.213333333319</v>
      </c>
      <c r="U38" s="37">
        <f t="shared" si="10"/>
        <v>96489.213333333348</v>
      </c>
      <c r="V38" s="37">
        <f t="shared" si="10"/>
        <v>106889.21333333335</v>
      </c>
      <c r="W38" s="37">
        <f t="shared" si="10"/>
        <v>93899.58133333335</v>
      </c>
      <c r="X38" s="37">
        <f t="shared" si="10"/>
        <v>104299.58133333335</v>
      </c>
      <c r="Y38" s="37">
        <f t="shared" si="10"/>
        <v>114699.58133333335</v>
      </c>
      <c r="Z38" s="37">
        <f>Z33-Z36</f>
        <v>108725.4565333333</v>
      </c>
    </row>
    <row r="39" spans="1:26" x14ac:dyDescent="0.35">
      <c r="A39" s="42" t="s">
        <v>60</v>
      </c>
      <c r="B39" s="19"/>
      <c r="C39" s="64">
        <f>C38/C8</f>
        <v>-0.25668402777777777</v>
      </c>
      <c r="D39" s="29">
        <f t="shared" ref="D39:Z39" si="11">D38/D8</f>
        <v>-7.9836829836829864E-3</v>
      </c>
      <c r="E39" s="29">
        <f t="shared" si="11"/>
        <v>-3.8086419753086423E-2</v>
      </c>
      <c r="F39" s="29">
        <f t="shared" si="11"/>
        <v>8.49047619047619E-2</v>
      </c>
      <c r="G39" s="29">
        <f t="shared" si="11"/>
        <v>0.16213178294573644</v>
      </c>
      <c r="H39" s="29">
        <f t="shared" si="11"/>
        <v>9.6883092859785414E-2</v>
      </c>
      <c r="I39" s="29">
        <f t="shared" si="11"/>
        <v>0.17011050560096883</v>
      </c>
      <c r="J39" s="29">
        <f t="shared" si="11"/>
        <v>0.22082372533948247</v>
      </c>
      <c r="K39" s="29">
        <f t="shared" si="11"/>
        <v>0.14757584578562649</v>
      </c>
      <c r="L39" s="29">
        <f t="shared" si="11"/>
        <v>0.20485264640554743</v>
      </c>
      <c r="M39" s="29">
        <f t="shared" si="11"/>
        <v>0.27928516447901475</v>
      </c>
      <c r="N39" s="29">
        <f t="shared" si="11"/>
        <v>0.26321559577205239</v>
      </c>
      <c r="O39" s="29">
        <f t="shared" si="11"/>
        <v>0.31219061112490004</v>
      </c>
      <c r="P39" s="29">
        <f t="shared" si="11"/>
        <v>0.31692390150140459</v>
      </c>
      <c r="Q39" s="29">
        <f t="shared" si="11"/>
        <v>0.28573498920833879</v>
      </c>
      <c r="R39" s="29">
        <f t="shared" si="11"/>
        <v>0.29187390934956736</v>
      </c>
      <c r="S39" s="29">
        <f t="shared" si="11"/>
        <v>0.29767085427882156</v>
      </c>
      <c r="T39" s="29">
        <f t="shared" si="11"/>
        <v>0.27117978975903528</v>
      </c>
      <c r="U39" s="29">
        <f t="shared" si="11"/>
        <v>0.28525013685653777</v>
      </c>
      <c r="V39" s="29">
        <f t="shared" si="11"/>
        <v>0.29769032863130102</v>
      </c>
      <c r="W39" s="29">
        <f t="shared" si="11"/>
        <v>0.28191088532413705</v>
      </c>
      <c r="X39" s="29">
        <f t="shared" si="11"/>
        <v>0.29472941587179641</v>
      </c>
      <c r="Y39" s="29">
        <f t="shared" si="11"/>
        <v>0.30612473909999077</v>
      </c>
      <c r="Z39" s="29">
        <f t="shared" si="11"/>
        <v>0.29973860370889233</v>
      </c>
    </row>
    <row r="40" spans="1:26" x14ac:dyDescent="0.35">
      <c r="A40" s="14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x14ac:dyDescent="0.35">
      <c r="A41" s="14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8" spans="1:26" x14ac:dyDescent="0.35">
      <c r="A48" s="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68" spans="27:27" x14ac:dyDescent="0.35">
      <c r="AA68" s="25"/>
    </row>
    <row r="76" spans="27:27" s="3" customFormat="1" x14ac:dyDescent="0.35"/>
    <row r="77" spans="27:27" s="3" customFormat="1" x14ac:dyDescent="0.35"/>
    <row r="78" spans="27:27" s="3" customFormat="1" x14ac:dyDescent="0.35"/>
    <row r="79" spans="27:27" s="3" customFormat="1" x14ac:dyDescent="0.35"/>
    <row r="80" spans="27:27" s="3" customFormat="1" x14ac:dyDescent="0.35"/>
    <row r="83" spans="3:29" x14ac:dyDescent="0.35">
      <c r="AA83" s="25"/>
      <c r="AB83" s="25"/>
      <c r="AC83" s="25"/>
    </row>
    <row r="87" spans="3:29" x14ac:dyDescent="0.35">
      <c r="C87" s="72"/>
    </row>
    <row r="88" spans="3:29" x14ac:dyDescent="0.35">
      <c r="C88" s="72"/>
    </row>
    <row r="89" spans="3:29" x14ac:dyDescent="0.35">
      <c r="C89" s="13"/>
      <c r="D89" s="13"/>
    </row>
    <row r="90" spans="3:29" x14ac:dyDescent="0.35">
      <c r="C90" s="72"/>
    </row>
    <row r="113" spans="17:17" x14ac:dyDescent="0.35">
      <c r="Q113" t="s">
        <v>85</v>
      </c>
    </row>
  </sheetData>
  <mergeCells count="1">
    <mergeCell ref="A1:XFD3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02B6-524E-461A-A970-58ECA98E8CE8}">
  <dimension ref="A26:Y28"/>
  <sheetViews>
    <sheetView showGridLines="0" zoomScale="47" zoomScaleNormal="64" workbookViewId="0">
      <selection activeCell="F28" sqref="F28"/>
    </sheetView>
  </sheetViews>
  <sheetFormatPr defaultRowHeight="14.5" x14ac:dyDescent="0.35"/>
  <cols>
    <col min="1" max="1" width="33.453125" bestFit="1" customWidth="1"/>
    <col min="2" max="2" width="13.54296875" bestFit="1" customWidth="1"/>
    <col min="3" max="4" width="12" bestFit="1" customWidth="1"/>
    <col min="5" max="13" width="12.7265625" bestFit="1" customWidth="1"/>
    <col min="14" max="15" width="14.08984375" bestFit="1" customWidth="1"/>
    <col min="16" max="16" width="12.7265625" bestFit="1" customWidth="1"/>
    <col min="17" max="18" width="14.08984375" bestFit="1" customWidth="1"/>
    <col min="19" max="20" width="12.7265625" bestFit="1" customWidth="1"/>
    <col min="21" max="21" width="14.08984375" bestFit="1" customWidth="1"/>
    <col min="22" max="22" width="12.7265625" bestFit="1" customWidth="1"/>
    <col min="23" max="25" width="14.08984375" bestFit="1" customWidth="1"/>
    <col min="26" max="28" width="13.453125" bestFit="1" customWidth="1"/>
  </cols>
  <sheetData>
    <row r="26" spans="1:25" ht="23.5" x14ac:dyDescent="0.55000000000000004">
      <c r="A26" s="81" t="s">
        <v>84</v>
      </c>
      <c r="B26" s="76" t="s">
        <v>0</v>
      </c>
      <c r="C26" s="76" t="s">
        <v>1</v>
      </c>
      <c r="D26" s="76" t="s">
        <v>2</v>
      </c>
      <c r="E26" s="76" t="s">
        <v>3</v>
      </c>
      <c r="F26" s="76" t="s">
        <v>4</v>
      </c>
      <c r="G26" s="76" t="s">
        <v>5</v>
      </c>
      <c r="H26" s="76" t="s">
        <v>6</v>
      </c>
      <c r="I26" s="76" t="s">
        <v>7</v>
      </c>
      <c r="J26" s="76" t="s">
        <v>8</v>
      </c>
      <c r="K26" s="76" t="s">
        <v>9</v>
      </c>
      <c r="L26" s="76" t="s">
        <v>10</v>
      </c>
      <c r="M26" s="76" t="s">
        <v>11</v>
      </c>
      <c r="N26" s="77" t="str">
        <f>'Supporting Schedule'!O4</f>
        <v>M13</v>
      </c>
      <c r="O26" s="77" t="str">
        <f>'Supporting Schedule'!P4</f>
        <v>M14</v>
      </c>
      <c r="P26" s="77" t="str">
        <f>'Supporting Schedule'!Q4</f>
        <v>M15</v>
      </c>
      <c r="Q26" s="77" t="str">
        <f>'Supporting Schedule'!R4</f>
        <v>M16</v>
      </c>
      <c r="R26" s="77" t="str">
        <f>'Supporting Schedule'!S4</f>
        <v>M17</v>
      </c>
      <c r="S26" s="77" t="str">
        <f>'Supporting Schedule'!T4</f>
        <v>M18</v>
      </c>
      <c r="T26" s="77" t="str">
        <f>'Supporting Schedule'!U4</f>
        <v>M19</v>
      </c>
      <c r="U26" s="77" t="str">
        <f>'Supporting Schedule'!V4</f>
        <v>M20</v>
      </c>
      <c r="V26" s="77" t="str">
        <f>'Supporting Schedule'!W4</f>
        <v>M21</v>
      </c>
      <c r="W26" s="77" t="str">
        <f>'Supporting Schedule'!X4</f>
        <v>M22</v>
      </c>
      <c r="X26" s="77" t="str">
        <f>'Supporting Schedule'!Y4</f>
        <v>M23</v>
      </c>
      <c r="Y26" s="77" t="str">
        <f>'Supporting Schedule'!Z4</f>
        <v>M24</v>
      </c>
    </row>
    <row r="27" spans="1:25" ht="18.5" x14ac:dyDescent="0.45">
      <c r="A27" s="78" t="s">
        <v>60</v>
      </c>
      <c r="B27" s="79">
        <f>'Income Statement'!C39</f>
        <v>-0.25668402777777777</v>
      </c>
      <c r="C27" s="79">
        <f>'Income Statement'!D39</f>
        <v>-7.9836829836829864E-3</v>
      </c>
      <c r="D27" s="79">
        <f>'Income Statement'!E39</f>
        <v>-3.8086419753086423E-2</v>
      </c>
      <c r="E27" s="79">
        <f>'Income Statement'!F39</f>
        <v>8.49047619047619E-2</v>
      </c>
      <c r="F27" s="79">
        <f>'Income Statement'!G39</f>
        <v>0.16213178294573644</v>
      </c>
      <c r="G27" s="79">
        <f>'Income Statement'!H39</f>
        <v>9.6883092859785414E-2</v>
      </c>
      <c r="H27" s="79">
        <f>'Income Statement'!I39</f>
        <v>0.17011050560096883</v>
      </c>
      <c r="I27" s="79">
        <f>'Income Statement'!J39</f>
        <v>0.22082372533948247</v>
      </c>
      <c r="J27" s="79">
        <f>'Income Statement'!K39</f>
        <v>0.14757584578562649</v>
      </c>
      <c r="K27" s="79">
        <f>'Income Statement'!L39</f>
        <v>0.20485264640554743</v>
      </c>
      <c r="L27" s="79">
        <f>'Income Statement'!M39</f>
        <v>0.27928516447901475</v>
      </c>
      <c r="M27" s="79">
        <f>'Income Statement'!N39</f>
        <v>0.26321559577205239</v>
      </c>
      <c r="N27" s="79">
        <f>'Income Statement'!O39</f>
        <v>0.31219061112490004</v>
      </c>
      <c r="O27" s="79">
        <f>'Income Statement'!P39</f>
        <v>0.31692390150140459</v>
      </c>
      <c r="P27" s="79">
        <f>'Income Statement'!Q39</f>
        <v>0.28573498920833879</v>
      </c>
      <c r="Q27" s="79">
        <f>'Income Statement'!R39</f>
        <v>0.29187390934956736</v>
      </c>
      <c r="R27" s="79">
        <f>'Income Statement'!S39</f>
        <v>0.29767085427882156</v>
      </c>
      <c r="S27" s="79">
        <f>'Income Statement'!T39</f>
        <v>0.27117978975903528</v>
      </c>
      <c r="T27" s="79">
        <f>'Income Statement'!U39</f>
        <v>0.28525013685653777</v>
      </c>
      <c r="U27" s="79">
        <f>'Income Statement'!V39</f>
        <v>0.29769032863130102</v>
      </c>
      <c r="V27" s="79">
        <f>'Income Statement'!W39</f>
        <v>0.28191088532413705</v>
      </c>
      <c r="W27" s="79">
        <f>'Income Statement'!X39</f>
        <v>0.29472941587179641</v>
      </c>
      <c r="X27" s="79">
        <f>'Income Statement'!Y39</f>
        <v>0.30612473909999077</v>
      </c>
      <c r="Y27" s="79">
        <f>'Income Statement'!Z39</f>
        <v>0.29973860370889233</v>
      </c>
    </row>
    <row r="28" spans="1:25" ht="18.5" x14ac:dyDescent="0.45">
      <c r="A28" s="77" t="s">
        <v>59</v>
      </c>
      <c r="B28" s="80">
        <f>'Income Statement'!C38</f>
        <v>-24641.666666666668</v>
      </c>
      <c r="C28" s="80">
        <f>'Income Statement'!D38</f>
        <v>-1141.666666666667</v>
      </c>
      <c r="D28" s="80">
        <f>'Income Statement'!E38</f>
        <v>-5141.666666666667</v>
      </c>
      <c r="E28" s="80">
        <f>'Income Statement'!F38</f>
        <v>14858.333333333332</v>
      </c>
      <c r="F28" s="80">
        <f>'Income Statement'!G38</f>
        <v>34858.333333333336</v>
      </c>
      <c r="G28" s="80">
        <f>'Income Statement'!H38</f>
        <v>17458.333333333332</v>
      </c>
      <c r="H28" s="80">
        <f>'Income Statement'!I38</f>
        <v>37458.333333333336</v>
      </c>
      <c r="I28" s="80">
        <f>'Income Statement'!J38</f>
        <v>57458.333333333336</v>
      </c>
      <c r="J28" s="80">
        <f>'Income Statement'!K38</f>
        <v>30418.333333333332</v>
      </c>
      <c r="K28" s="80">
        <f>'Income Statement'!L38</f>
        <v>50418.333333333336</v>
      </c>
      <c r="L28" s="80">
        <f>'Income Statement'!M38</f>
        <v>91918.333333333328</v>
      </c>
      <c r="M28" s="80">
        <f>'Income Statement'!N38</f>
        <v>80750.333333333328</v>
      </c>
      <c r="N28" s="80">
        <f>'Income Statement'!O38</f>
        <v>120750.33333333333</v>
      </c>
      <c r="O28" s="80">
        <f>'Income Statement'!P38</f>
        <v>125750.33333333333</v>
      </c>
      <c r="P28" s="80">
        <f>'Income Statement'!Q38</f>
        <v>96871.93333333332</v>
      </c>
      <c r="Q28" s="80">
        <f>'Income Statement'!R38</f>
        <v>101871.93333333332</v>
      </c>
      <c r="R28" s="80">
        <f>'Income Statement'!S38</f>
        <v>106871.93333333332</v>
      </c>
      <c r="S28" s="80">
        <f>'Income Statement'!T38</f>
        <v>86089.213333333319</v>
      </c>
      <c r="T28" s="80">
        <f>'Income Statement'!U38</f>
        <v>96489.213333333348</v>
      </c>
      <c r="U28" s="80">
        <f>'Income Statement'!V38</f>
        <v>106889.21333333335</v>
      </c>
      <c r="V28" s="80">
        <f>'Income Statement'!W38</f>
        <v>93899.58133333335</v>
      </c>
      <c r="W28" s="80">
        <f>'Income Statement'!X38</f>
        <v>104299.58133333335</v>
      </c>
      <c r="X28" s="80">
        <f>'Income Statement'!Y38</f>
        <v>114699.58133333335</v>
      </c>
      <c r="Y28" s="80">
        <f>'Income Statement'!Z38</f>
        <v>108725.4565333333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4A03-8A68-493F-83DA-ACD9263342C1}">
  <dimension ref="A1:A4"/>
  <sheetViews>
    <sheetView showGridLines="0" workbookViewId="0">
      <selection activeCell="A5" sqref="A5"/>
    </sheetView>
  </sheetViews>
  <sheetFormatPr defaultRowHeight="14.5" x14ac:dyDescent="0.35"/>
  <sheetData>
    <row r="1" spans="1:1" s="87" customFormat="1" x14ac:dyDescent="0.35">
      <c r="A1" s="86" t="s">
        <v>76</v>
      </c>
    </row>
    <row r="2" spans="1:1" s="87" customFormat="1" x14ac:dyDescent="0.35"/>
    <row r="3" spans="1:1" s="87" customFormat="1" x14ac:dyDescent="0.35"/>
    <row r="4" spans="1:1" s="85" customFormat="1" x14ac:dyDescent="0.35"/>
  </sheetData>
  <mergeCells count="2">
    <mergeCell ref="A1:XFD3"/>
    <mergeCell ref="A4:XF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Acquisition</vt:lpstr>
      <vt:lpstr>Assumptions</vt:lpstr>
      <vt:lpstr>Supporting Schedule</vt:lpstr>
      <vt:lpstr>Income Statement</vt:lpstr>
      <vt:lpstr>Outputs</vt:lpstr>
      <vt:lpstr>Cap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</dc:creator>
  <cp:lastModifiedBy>Biruk Haregwoin</cp:lastModifiedBy>
  <dcterms:created xsi:type="dcterms:W3CDTF">2022-12-13T17:58:41Z</dcterms:created>
  <dcterms:modified xsi:type="dcterms:W3CDTF">2024-04-11T13:35:48Z</dcterms:modified>
</cp:coreProperties>
</file>