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School\UdeM\A22\IFT3913\ift3913\tp3\"/>
    </mc:Choice>
  </mc:AlternateContent>
  <xr:revisionPtr revIDLastSave="0" documentId="13_ncr:1_{10417205-E18E-4D8F-9BC0-8C61B25176D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  <sheet name="NoComNormal" sheetId="2" r:id="rId2"/>
    <sheet name="NCLOCNormal" sheetId="3" r:id="rId3"/>
    <sheet name="DCPNormal" sheetId="4" r:id="rId4"/>
    <sheet name="Spearma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4" i="1" l="1"/>
  <c r="S12" i="1" a="1"/>
  <c r="S12" i="1" s="1"/>
  <c r="P12" i="1" a="1"/>
  <c r="P12" i="1" s="1"/>
  <c r="P11" i="1"/>
  <c r="S11" i="1"/>
  <c r="S5" i="1" a="1"/>
  <c r="S5" i="1" s="1"/>
  <c r="S4" i="1" a="1"/>
  <c r="S4" i="1" s="1"/>
  <c r="P5" i="1" a="1"/>
  <c r="P5" i="1" s="1"/>
  <c r="P4" i="1" a="1"/>
  <c r="P4" i="1" s="1"/>
  <c r="S3" i="1" a="1"/>
  <c r="S3" i="1" s="1"/>
  <c r="P3" i="1" a="1"/>
  <c r="P3" i="1" s="1"/>
  <c r="S13" i="1" s="1" a="1"/>
  <c r="S13" i="1" s="1"/>
  <c r="G5" i="1"/>
  <c r="G4" i="1"/>
  <c r="G3" i="1"/>
  <c r="S9" i="1"/>
  <c r="S10" i="1"/>
  <c r="P10" i="1"/>
  <c r="P9" i="1"/>
  <c r="C654" i="5"/>
  <c r="C653" i="5"/>
  <c r="C652" i="5"/>
  <c r="C651" i="5"/>
  <c r="C650" i="5"/>
  <c r="C649" i="5"/>
  <c r="C648" i="5"/>
  <c r="C647" i="5"/>
  <c r="C646" i="5"/>
  <c r="C645" i="5"/>
  <c r="C644" i="5"/>
  <c r="C643" i="5"/>
  <c r="C642" i="5"/>
  <c r="C641" i="5"/>
  <c r="C640" i="5"/>
  <c r="C639" i="5"/>
  <c r="C638" i="5"/>
  <c r="D637" i="5"/>
  <c r="C637" i="5"/>
  <c r="D636" i="5"/>
  <c r="C636" i="5"/>
  <c r="D635" i="5"/>
  <c r="C635" i="5"/>
  <c r="D634" i="5"/>
  <c r="C634" i="5"/>
  <c r="B634" i="5"/>
  <c r="D633" i="5"/>
  <c r="C633" i="5"/>
  <c r="B633" i="5"/>
  <c r="D632" i="5"/>
  <c r="C632" i="5"/>
  <c r="B632" i="5"/>
  <c r="D631" i="5"/>
  <c r="C631" i="5"/>
  <c r="B631" i="5"/>
  <c r="D630" i="5"/>
  <c r="C630" i="5"/>
  <c r="B630" i="5"/>
  <c r="D629" i="5"/>
  <c r="C629" i="5"/>
  <c r="B629" i="5"/>
  <c r="D628" i="5"/>
  <c r="C628" i="5"/>
  <c r="B628" i="5"/>
  <c r="D627" i="5"/>
  <c r="C627" i="5"/>
  <c r="B627" i="5"/>
  <c r="D626" i="5"/>
  <c r="C626" i="5"/>
  <c r="B626" i="5"/>
  <c r="D625" i="5"/>
  <c r="C625" i="5"/>
  <c r="B625" i="5"/>
  <c r="D624" i="5"/>
  <c r="C624" i="5"/>
  <c r="B624" i="5"/>
  <c r="D623" i="5"/>
  <c r="C623" i="5"/>
  <c r="B623" i="5"/>
  <c r="D622" i="5"/>
  <c r="C622" i="5"/>
  <c r="B622" i="5"/>
  <c r="D621" i="5"/>
  <c r="C621" i="5"/>
  <c r="B621" i="5"/>
  <c r="D620" i="5"/>
  <c r="C620" i="5"/>
  <c r="B620" i="5"/>
  <c r="D619" i="5"/>
  <c r="C619" i="5"/>
  <c r="B619" i="5"/>
  <c r="D618" i="5"/>
  <c r="C618" i="5"/>
  <c r="B618" i="5"/>
  <c r="D617" i="5"/>
  <c r="C617" i="5"/>
  <c r="B617" i="5"/>
  <c r="D616" i="5"/>
  <c r="C616" i="5"/>
  <c r="B616" i="5"/>
  <c r="D615" i="5"/>
  <c r="C615" i="5"/>
  <c r="B615" i="5"/>
  <c r="D614" i="5"/>
  <c r="C614" i="5"/>
  <c r="B614" i="5"/>
  <c r="D613" i="5"/>
  <c r="C613" i="5"/>
  <c r="B613" i="5"/>
  <c r="D612" i="5"/>
  <c r="C612" i="5"/>
  <c r="B612" i="5"/>
  <c r="D611" i="5"/>
  <c r="C611" i="5"/>
  <c r="B611" i="5"/>
  <c r="D610" i="5"/>
  <c r="C610" i="5"/>
  <c r="B610" i="5"/>
  <c r="D609" i="5"/>
  <c r="C609" i="5"/>
  <c r="B609" i="5"/>
  <c r="D608" i="5"/>
  <c r="C608" i="5"/>
  <c r="B608" i="5"/>
  <c r="D607" i="5"/>
  <c r="C607" i="5"/>
  <c r="B607" i="5"/>
  <c r="D606" i="5"/>
  <c r="C606" i="5"/>
  <c r="B606" i="5"/>
  <c r="D605" i="5"/>
  <c r="C605" i="5"/>
  <c r="B605" i="5"/>
  <c r="D604" i="5"/>
  <c r="C604" i="5"/>
  <c r="B604" i="5"/>
  <c r="D603" i="5"/>
  <c r="C603" i="5"/>
  <c r="B603" i="5"/>
  <c r="D602" i="5"/>
  <c r="C602" i="5"/>
  <c r="B602" i="5"/>
  <c r="D601" i="5"/>
  <c r="C601" i="5"/>
  <c r="B601" i="5"/>
  <c r="D600" i="5"/>
  <c r="C600" i="5"/>
  <c r="B600" i="5"/>
  <c r="D599" i="5"/>
  <c r="C599" i="5"/>
  <c r="B599" i="5"/>
  <c r="D598" i="5"/>
  <c r="C598" i="5"/>
  <c r="B598" i="5"/>
  <c r="D597" i="5"/>
  <c r="C597" i="5"/>
  <c r="B597" i="5"/>
  <c r="D596" i="5"/>
  <c r="C596" i="5"/>
  <c r="B596" i="5"/>
  <c r="D595" i="5"/>
  <c r="C595" i="5"/>
  <c r="B595" i="5"/>
  <c r="D594" i="5"/>
  <c r="C594" i="5"/>
  <c r="B594" i="5"/>
  <c r="D593" i="5"/>
  <c r="C593" i="5"/>
  <c r="B593" i="5"/>
  <c r="D592" i="5"/>
  <c r="C592" i="5"/>
  <c r="B592" i="5"/>
  <c r="D591" i="5"/>
  <c r="C591" i="5"/>
  <c r="B591" i="5"/>
  <c r="D590" i="5"/>
  <c r="C590" i="5"/>
  <c r="B590" i="5"/>
  <c r="D589" i="5"/>
  <c r="C589" i="5"/>
  <c r="B589" i="5"/>
  <c r="D588" i="5"/>
  <c r="C588" i="5"/>
  <c r="B588" i="5"/>
  <c r="D587" i="5"/>
  <c r="C587" i="5"/>
  <c r="B587" i="5"/>
  <c r="D586" i="5"/>
  <c r="C586" i="5"/>
  <c r="B586" i="5"/>
  <c r="D585" i="5"/>
  <c r="C585" i="5"/>
  <c r="B585" i="5"/>
  <c r="D584" i="5"/>
  <c r="C584" i="5"/>
  <c r="B584" i="5"/>
  <c r="D583" i="5"/>
  <c r="C583" i="5"/>
  <c r="B583" i="5"/>
  <c r="D582" i="5"/>
  <c r="C582" i="5"/>
  <c r="B582" i="5"/>
  <c r="D581" i="5"/>
  <c r="C581" i="5"/>
  <c r="B581" i="5"/>
  <c r="D580" i="5"/>
  <c r="C580" i="5"/>
  <c r="B580" i="5"/>
  <c r="D579" i="5"/>
  <c r="C579" i="5"/>
  <c r="B579" i="5"/>
  <c r="D578" i="5"/>
  <c r="C578" i="5"/>
  <c r="B578" i="5"/>
  <c r="D577" i="5"/>
  <c r="C577" i="5"/>
  <c r="B577" i="5"/>
  <c r="D576" i="5"/>
  <c r="C576" i="5"/>
  <c r="B576" i="5"/>
  <c r="D575" i="5"/>
  <c r="C575" i="5"/>
  <c r="B575" i="5"/>
  <c r="D574" i="5"/>
  <c r="C574" i="5"/>
  <c r="B574" i="5"/>
  <c r="D573" i="5"/>
  <c r="C573" i="5"/>
  <c r="B573" i="5"/>
  <c r="D572" i="5"/>
  <c r="C572" i="5"/>
  <c r="B572" i="5"/>
  <c r="D571" i="5"/>
  <c r="C571" i="5"/>
  <c r="B571" i="5"/>
  <c r="D570" i="5"/>
  <c r="C570" i="5"/>
  <c r="B570" i="5"/>
  <c r="D569" i="5"/>
  <c r="C569" i="5"/>
  <c r="B569" i="5"/>
  <c r="D568" i="5"/>
  <c r="C568" i="5"/>
  <c r="B568" i="5"/>
  <c r="D567" i="5"/>
  <c r="C567" i="5"/>
  <c r="B567" i="5"/>
  <c r="D566" i="5"/>
  <c r="C566" i="5"/>
  <c r="B566" i="5"/>
  <c r="D565" i="5"/>
  <c r="C565" i="5"/>
  <c r="B565" i="5"/>
  <c r="D564" i="5"/>
  <c r="C564" i="5"/>
  <c r="B564" i="5"/>
  <c r="D563" i="5"/>
  <c r="C563" i="5"/>
  <c r="B563" i="5"/>
  <c r="D562" i="5"/>
  <c r="C562" i="5"/>
  <c r="B562" i="5"/>
  <c r="D561" i="5"/>
  <c r="C561" i="5"/>
  <c r="B561" i="5"/>
  <c r="D560" i="5"/>
  <c r="C560" i="5"/>
  <c r="B560" i="5"/>
  <c r="D559" i="5"/>
  <c r="C559" i="5"/>
  <c r="B559" i="5"/>
  <c r="D558" i="5"/>
  <c r="C558" i="5"/>
  <c r="B558" i="5"/>
  <c r="D557" i="5"/>
  <c r="C557" i="5"/>
  <c r="B557" i="5"/>
  <c r="D556" i="5"/>
  <c r="C556" i="5"/>
  <c r="B556" i="5"/>
  <c r="D555" i="5"/>
  <c r="C555" i="5"/>
  <c r="B555" i="5"/>
  <c r="D554" i="5"/>
  <c r="C554" i="5"/>
  <c r="B554" i="5"/>
  <c r="D553" i="5"/>
  <c r="C553" i="5"/>
  <c r="B553" i="5"/>
  <c r="D552" i="5"/>
  <c r="C552" i="5"/>
  <c r="B552" i="5"/>
  <c r="D551" i="5"/>
  <c r="C551" i="5"/>
  <c r="B551" i="5"/>
  <c r="D550" i="5"/>
  <c r="C550" i="5"/>
  <c r="B550" i="5"/>
  <c r="D549" i="5"/>
  <c r="C549" i="5"/>
  <c r="B549" i="5"/>
  <c r="D548" i="5"/>
  <c r="C548" i="5"/>
  <c r="B548" i="5"/>
  <c r="D547" i="5"/>
  <c r="C547" i="5"/>
  <c r="B547" i="5"/>
  <c r="D546" i="5"/>
  <c r="C546" i="5"/>
  <c r="B546" i="5"/>
  <c r="D545" i="5"/>
  <c r="C545" i="5"/>
  <c r="B545" i="5"/>
  <c r="D544" i="5"/>
  <c r="C544" i="5"/>
  <c r="B544" i="5"/>
  <c r="D543" i="5"/>
  <c r="C543" i="5"/>
  <c r="B543" i="5"/>
  <c r="D542" i="5"/>
  <c r="C542" i="5"/>
  <c r="B542" i="5"/>
  <c r="D541" i="5"/>
  <c r="C541" i="5"/>
  <c r="B541" i="5"/>
  <c r="D540" i="5"/>
  <c r="C540" i="5"/>
  <c r="B540" i="5"/>
  <c r="D539" i="5"/>
  <c r="C539" i="5"/>
  <c r="B539" i="5"/>
  <c r="D538" i="5"/>
  <c r="C538" i="5"/>
  <c r="B538" i="5"/>
  <c r="D537" i="5"/>
  <c r="C537" i="5"/>
  <c r="B537" i="5"/>
  <c r="D536" i="5"/>
  <c r="C536" i="5"/>
  <c r="B536" i="5"/>
  <c r="D535" i="5"/>
  <c r="C535" i="5"/>
  <c r="B535" i="5"/>
  <c r="D534" i="5"/>
  <c r="C534" i="5"/>
  <c r="B534" i="5"/>
  <c r="D533" i="5"/>
  <c r="C533" i="5"/>
  <c r="B533" i="5"/>
  <c r="D532" i="5"/>
  <c r="C532" i="5"/>
  <c r="B532" i="5"/>
  <c r="D531" i="5"/>
  <c r="C531" i="5"/>
  <c r="B531" i="5"/>
  <c r="D530" i="5"/>
  <c r="C530" i="5"/>
  <c r="B530" i="5"/>
  <c r="D529" i="5"/>
  <c r="C529" i="5"/>
  <c r="B529" i="5"/>
  <c r="D528" i="5"/>
  <c r="C528" i="5"/>
  <c r="B528" i="5"/>
  <c r="D527" i="5"/>
  <c r="C527" i="5"/>
  <c r="B527" i="5"/>
  <c r="D526" i="5"/>
  <c r="C526" i="5"/>
  <c r="B526" i="5"/>
  <c r="D525" i="5"/>
  <c r="C525" i="5"/>
  <c r="B525" i="5"/>
  <c r="D524" i="5"/>
  <c r="C524" i="5"/>
  <c r="B524" i="5"/>
  <c r="D523" i="5"/>
  <c r="C523" i="5"/>
  <c r="B523" i="5"/>
  <c r="D522" i="5"/>
  <c r="C522" i="5"/>
  <c r="B522" i="5"/>
  <c r="D521" i="5"/>
  <c r="C521" i="5"/>
  <c r="B521" i="5"/>
  <c r="D520" i="5"/>
  <c r="C520" i="5"/>
  <c r="B520" i="5"/>
  <c r="D519" i="5"/>
  <c r="C519" i="5"/>
  <c r="B519" i="5"/>
  <c r="D518" i="5"/>
  <c r="C518" i="5"/>
  <c r="B518" i="5"/>
  <c r="D517" i="5"/>
  <c r="C517" i="5"/>
  <c r="B517" i="5"/>
  <c r="D516" i="5"/>
  <c r="C516" i="5"/>
  <c r="B516" i="5"/>
  <c r="D515" i="5"/>
  <c r="C515" i="5"/>
  <c r="B515" i="5"/>
  <c r="D514" i="5"/>
  <c r="C514" i="5"/>
  <c r="B514" i="5"/>
  <c r="D513" i="5"/>
  <c r="C513" i="5"/>
  <c r="B513" i="5"/>
  <c r="D512" i="5"/>
  <c r="C512" i="5"/>
  <c r="B512" i="5"/>
  <c r="D511" i="5"/>
  <c r="C511" i="5"/>
  <c r="B511" i="5"/>
  <c r="D510" i="5"/>
  <c r="C510" i="5"/>
  <c r="B510" i="5"/>
  <c r="D509" i="5"/>
  <c r="C509" i="5"/>
  <c r="B509" i="5"/>
  <c r="D508" i="5"/>
  <c r="C508" i="5"/>
  <c r="B508" i="5"/>
  <c r="D507" i="5"/>
  <c r="C507" i="5"/>
  <c r="B507" i="5"/>
  <c r="D506" i="5"/>
  <c r="C506" i="5"/>
  <c r="B506" i="5"/>
  <c r="D505" i="5"/>
  <c r="C505" i="5"/>
  <c r="B505" i="5"/>
  <c r="D504" i="5"/>
  <c r="C504" i="5"/>
  <c r="B504" i="5"/>
  <c r="D503" i="5"/>
  <c r="C503" i="5"/>
  <c r="B503" i="5"/>
  <c r="D502" i="5"/>
  <c r="C502" i="5"/>
  <c r="B502" i="5"/>
  <c r="D501" i="5"/>
  <c r="C501" i="5"/>
  <c r="B501" i="5"/>
  <c r="D500" i="5"/>
  <c r="C500" i="5"/>
  <c r="B500" i="5"/>
  <c r="D499" i="5"/>
  <c r="C499" i="5"/>
  <c r="B499" i="5"/>
  <c r="D498" i="5"/>
  <c r="C498" i="5"/>
  <c r="B498" i="5"/>
  <c r="D497" i="5"/>
  <c r="C497" i="5"/>
  <c r="B497" i="5"/>
  <c r="D496" i="5"/>
  <c r="C496" i="5"/>
  <c r="B496" i="5"/>
  <c r="D495" i="5"/>
  <c r="C495" i="5"/>
  <c r="B495" i="5"/>
  <c r="D494" i="5"/>
  <c r="C494" i="5"/>
  <c r="B494" i="5"/>
  <c r="D493" i="5"/>
  <c r="C493" i="5"/>
  <c r="B493" i="5"/>
  <c r="D492" i="5"/>
  <c r="C492" i="5"/>
  <c r="B492" i="5"/>
  <c r="D491" i="5"/>
  <c r="C491" i="5"/>
  <c r="B491" i="5"/>
  <c r="D490" i="5"/>
  <c r="C490" i="5"/>
  <c r="B490" i="5"/>
  <c r="D489" i="5"/>
  <c r="C489" i="5"/>
  <c r="B489" i="5"/>
  <c r="D488" i="5"/>
  <c r="C488" i="5"/>
  <c r="B488" i="5"/>
  <c r="D487" i="5"/>
  <c r="C487" i="5"/>
  <c r="B487" i="5"/>
  <c r="D486" i="5"/>
  <c r="C486" i="5"/>
  <c r="B486" i="5"/>
  <c r="D485" i="5"/>
  <c r="C485" i="5"/>
  <c r="B485" i="5"/>
  <c r="D484" i="5"/>
  <c r="C484" i="5"/>
  <c r="B484" i="5"/>
  <c r="D483" i="5"/>
  <c r="C483" i="5"/>
  <c r="B483" i="5"/>
  <c r="D482" i="5"/>
  <c r="C482" i="5"/>
  <c r="B482" i="5"/>
  <c r="D481" i="5"/>
  <c r="C481" i="5"/>
  <c r="B481" i="5"/>
  <c r="D480" i="5"/>
  <c r="C480" i="5"/>
  <c r="B480" i="5"/>
  <c r="D479" i="5"/>
  <c r="C479" i="5"/>
  <c r="B479" i="5"/>
  <c r="D478" i="5"/>
  <c r="C478" i="5"/>
  <c r="B478" i="5"/>
  <c r="D477" i="5"/>
  <c r="C477" i="5"/>
  <c r="B477" i="5"/>
  <c r="D476" i="5"/>
  <c r="C476" i="5"/>
  <c r="B476" i="5"/>
  <c r="D475" i="5"/>
  <c r="C475" i="5"/>
  <c r="B475" i="5"/>
  <c r="D474" i="5"/>
  <c r="C474" i="5"/>
  <c r="B474" i="5"/>
  <c r="D473" i="5"/>
  <c r="C473" i="5"/>
  <c r="B473" i="5"/>
  <c r="D472" i="5"/>
  <c r="C472" i="5"/>
  <c r="B472" i="5"/>
  <c r="D471" i="5"/>
  <c r="C471" i="5"/>
  <c r="B471" i="5"/>
  <c r="D470" i="5"/>
  <c r="C470" i="5"/>
  <c r="B470" i="5"/>
  <c r="D469" i="5"/>
  <c r="C469" i="5"/>
  <c r="B469" i="5"/>
  <c r="D468" i="5"/>
  <c r="C468" i="5"/>
  <c r="B468" i="5"/>
  <c r="D467" i="5"/>
  <c r="C467" i="5"/>
  <c r="B467" i="5"/>
  <c r="D466" i="5"/>
  <c r="C466" i="5"/>
  <c r="B466" i="5"/>
  <c r="D465" i="5"/>
  <c r="C465" i="5"/>
  <c r="B465" i="5"/>
  <c r="D464" i="5"/>
  <c r="C464" i="5"/>
  <c r="B464" i="5"/>
  <c r="D463" i="5"/>
  <c r="C463" i="5"/>
  <c r="B463" i="5"/>
  <c r="D462" i="5"/>
  <c r="C462" i="5"/>
  <c r="B462" i="5"/>
  <c r="D461" i="5"/>
  <c r="C461" i="5"/>
  <c r="B461" i="5"/>
  <c r="D460" i="5"/>
  <c r="C460" i="5"/>
  <c r="B460" i="5"/>
  <c r="D459" i="5"/>
  <c r="C459" i="5"/>
  <c r="B459" i="5"/>
  <c r="D458" i="5"/>
  <c r="C458" i="5"/>
  <c r="B458" i="5"/>
  <c r="D457" i="5"/>
  <c r="C457" i="5"/>
  <c r="B457" i="5"/>
  <c r="D456" i="5"/>
  <c r="C456" i="5"/>
  <c r="B456" i="5"/>
  <c r="D455" i="5"/>
  <c r="C455" i="5"/>
  <c r="B455" i="5"/>
  <c r="D454" i="5"/>
  <c r="C454" i="5"/>
  <c r="B454" i="5"/>
  <c r="D453" i="5"/>
  <c r="C453" i="5"/>
  <c r="B453" i="5"/>
  <c r="D452" i="5"/>
  <c r="C452" i="5"/>
  <c r="B452" i="5"/>
  <c r="D451" i="5"/>
  <c r="C451" i="5"/>
  <c r="B451" i="5"/>
  <c r="D450" i="5"/>
  <c r="C450" i="5"/>
  <c r="B450" i="5"/>
  <c r="D449" i="5"/>
  <c r="C449" i="5"/>
  <c r="B449" i="5"/>
  <c r="D448" i="5"/>
  <c r="C448" i="5"/>
  <c r="B448" i="5"/>
  <c r="D447" i="5"/>
  <c r="C447" i="5"/>
  <c r="B447" i="5"/>
  <c r="D446" i="5"/>
  <c r="C446" i="5"/>
  <c r="B446" i="5"/>
  <c r="D445" i="5"/>
  <c r="C445" i="5"/>
  <c r="B445" i="5"/>
  <c r="D444" i="5"/>
  <c r="C444" i="5"/>
  <c r="B444" i="5"/>
  <c r="D443" i="5"/>
  <c r="C443" i="5"/>
  <c r="B443" i="5"/>
  <c r="D442" i="5"/>
  <c r="C442" i="5"/>
  <c r="B442" i="5"/>
  <c r="D441" i="5"/>
  <c r="C441" i="5"/>
  <c r="B441" i="5"/>
  <c r="D440" i="5"/>
  <c r="C440" i="5"/>
  <c r="B440" i="5"/>
  <c r="D439" i="5"/>
  <c r="C439" i="5"/>
  <c r="B439" i="5"/>
  <c r="D438" i="5"/>
  <c r="C438" i="5"/>
  <c r="B438" i="5"/>
  <c r="D437" i="5"/>
  <c r="C437" i="5"/>
  <c r="B437" i="5"/>
  <c r="D436" i="5"/>
  <c r="C436" i="5"/>
  <c r="B436" i="5"/>
  <c r="D435" i="5"/>
  <c r="C435" i="5"/>
  <c r="B435" i="5"/>
  <c r="D434" i="5"/>
  <c r="C434" i="5"/>
  <c r="B434" i="5"/>
  <c r="D433" i="5"/>
  <c r="C433" i="5"/>
  <c r="B433" i="5"/>
  <c r="D432" i="5"/>
  <c r="C432" i="5"/>
  <c r="B432" i="5"/>
  <c r="D431" i="5"/>
  <c r="C431" i="5"/>
  <c r="B431" i="5"/>
  <c r="D430" i="5"/>
  <c r="C430" i="5"/>
  <c r="B430" i="5"/>
  <c r="D429" i="5"/>
  <c r="C429" i="5"/>
  <c r="B429" i="5"/>
  <c r="D428" i="5"/>
  <c r="C428" i="5"/>
  <c r="B428" i="5"/>
  <c r="D427" i="5"/>
  <c r="C427" i="5"/>
  <c r="B427" i="5"/>
  <c r="D426" i="5"/>
  <c r="C426" i="5"/>
  <c r="B426" i="5"/>
  <c r="D425" i="5"/>
  <c r="C425" i="5"/>
  <c r="B425" i="5"/>
  <c r="D424" i="5"/>
  <c r="C424" i="5"/>
  <c r="B424" i="5"/>
  <c r="D423" i="5"/>
  <c r="C423" i="5"/>
  <c r="B423" i="5"/>
  <c r="D422" i="5"/>
  <c r="C422" i="5"/>
  <c r="B422" i="5"/>
  <c r="D421" i="5"/>
  <c r="C421" i="5"/>
  <c r="B421" i="5"/>
  <c r="D420" i="5"/>
  <c r="C420" i="5"/>
  <c r="B420" i="5"/>
  <c r="D419" i="5"/>
  <c r="C419" i="5"/>
  <c r="B419" i="5"/>
  <c r="D418" i="5"/>
  <c r="C418" i="5"/>
  <c r="B418" i="5"/>
  <c r="D417" i="5"/>
  <c r="C417" i="5"/>
  <c r="B417" i="5"/>
  <c r="D416" i="5"/>
  <c r="C416" i="5"/>
  <c r="B416" i="5"/>
  <c r="D415" i="5"/>
  <c r="C415" i="5"/>
  <c r="B415" i="5"/>
  <c r="D414" i="5"/>
  <c r="C414" i="5"/>
  <c r="B414" i="5"/>
  <c r="D413" i="5"/>
  <c r="C413" i="5"/>
  <c r="B413" i="5"/>
  <c r="D412" i="5"/>
  <c r="C412" i="5"/>
  <c r="B412" i="5"/>
  <c r="D411" i="5"/>
  <c r="C411" i="5"/>
  <c r="B411" i="5"/>
  <c r="D410" i="5"/>
  <c r="C410" i="5"/>
  <c r="B410" i="5"/>
  <c r="D409" i="5"/>
  <c r="C409" i="5"/>
  <c r="B409" i="5"/>
  <c r="D408" i="5"/>
  <c r="C408" i="5"/>
  <c r="B408" i="5"/>
  <c r="D407" i="5"/>
  <c r="C407" i="5"/>
  <c r="B407" i="5"/>
  <c r="D406" i="5"/>
  <c r="C406" i="5"/>
  <c r="B406" i="5"/>
  <c r="D405" i="5"/>
  <c r="C405" i="5"/>
  <c r="B405" i="5"/>
  <c r="D404" i="5"/>
  <c r="C404" i="5"/>
  <c r="B404" i="5"/>
  <c r="D403" i="5"/>
  <c r="C403" i="5"/>
  <c r="B403" i="5"/>
  <c r="D402" i="5"/>
  <c r="C402" i="5"/>
  <c r="B402" i="5"/>
  <c r="D401" i="5"/>
  <c r="C401" i="5"/>
  <c r="B401" i="5"/>
  <c r="D400" i="5"/>
  <c r="C400" i="5"/>
  <c r="B400" i="5"/>
  <c r="D399" i="5"/>
  <c r="C399" i="5"/>
  <c r="B399" i="5"/>
  <c r="D398" i="5"/>
  <c r="C398" i="5"/>
  <c r="B398" i="5"/>
  <c r="D397" i="5"/>
  <c r="C397" i="5"/>
  <c r="B397" i="5"/>
  <c r="D396" i="5"/>
  <c r="C396" i="5"/>
  <c r="B396" i="5"/>
  <c r="D395" i="5"/>
  <c r="C395" i="5"/>
  <c r="B395" i="5"/>
  <c r="D394" i="5"/>
  <c r="C394" i="5"/>
  <c r="B394" i="5"/>
  <c r="D393" i="5"/>
  <c r="C393" i="5"/>
  <c r="B393" i="5"/>
  <c r="D392" i="5"/>
  <c r="C392" i="5"/>
  <c r="B392" i="5"/>
  <c r="D391" i="5"/>
  <c r="C391" i="5"/>
  <c r="B391" i="5"/>
  <c r="D390" i="5"/>
  <c r="C390" i="5"/>
  <c r="B390" i="5"/>
  <c r="D389" i="5"/>
  <c r="C389" i="5"/>
  <c r="B389" i="5"/>
  <c r="D388" i="5"/>
  <c r="C388" i="5"/>
  <c r="B388" i="5"/>
  <c r="D387" i="5"/>
  <c r="C387" i="5"/>
  <c r="B387" i="5"/>
  <c r="D386" i="5"/>
  <c r="C386" i="5"/>
  <c r="B386" i="5"/>
  <c r="D385" i="5"/>
  <c r="C385" i="5"/>
  <c r="B385" i="5"/>
  <c r="D384" i="5"/>
  <c r="C384" i="5"/>
  <c r="B384" i="5"/>
  <c r="D383" i="5"/>
  <c r="C383" i="5"/>
  <c r="B383" i="5"/>
  <c r="D382" i="5"/>
  <c r="C382" i="5"/>
  <c r="B382" i="5"/>
  <c r="D381" i="5"/>
  <c r="C381" i="5"/>
  <c r="B381" i="5"/>
  <c r="D380" i="5"/>
  <c r="C380" i="5"/>
  <c r="B380" i="5"/>
  <c r="D379" i="5"/>
  <c r="C379" i="5"/>
  <c r="B379" i="5"/>
  <c r="D378" i="5"/>
  <c r="C378" i="5"/>
  <c r="B378" i="5"/>
  <c r="D377" i="5"/>
  <c r="C377" i="5"/>
  <c r="B377" i="5"/>
  <c r="D376" i="5"/>
  <c r="C376" i="5"/>
  <c r="B376" i="5"/>
  <c r="D375" i="5"/>
  <c r="C375" i="5"/>
  <c r="B375" i="5"/>
  <c r="D374" i="5"/>
  <c r="C374" i="5"/>
  <c r="B374" i="5"/>
  <c r="D373" i="5"/>
  <c r="C373" i="5"/>
  <c r="B373" i="5"/>
  <c r="D372" i="5"/>
  <c r="C372" i="5"/>
  <c r="B372" i="5"/>
  <c r="D371" i="5"/>
  <c r="C371" i="5"/>
  <c r="B371" i="5"/>
  <c r="D370" i="5"/>
  <c r="C370" i="5"/>
  <c r="B370" i="5"/>
  <c r="D369" i="5"/>
  <c r="C369" i="5"/>
  <c r="B369" i="5"/>
  <c r="D368" i="5"/>
  <c r="C368" i="5"/>
  <c r="B368" i="5"/>
  <c r="D367" i="5"/>
  <c r="C367" i="5"/>
  <c r="B367" i="5"/>
  <c r="D366" i="5"/>
  <c r="C366" i="5"/>
  <c r="B366" i="5"/>
  <c r="D365" i="5"/>
  <c r="C365" i="5"/>
  <c r="B365" i="5"/>
  <c r="D364" i="5"/>
  <c r="C364" i="5"/>
  <c r="B364" i="5"/>
  <c r="D363" i="5"/>
  <c r="C363" i="5"/>
  <c r="B363" i="5"/>
  <c r="D362" i="5"/>
  <c r="C362" i="5"/>
  <c r="B362" i="5"/>
  <c r="D361" i="5"/>
  <c r="C361" i="5"/>
  <c r="B361" i="5"/>
  <c r="D360" i="5"/>
  <c r="C360" i="5"/>
  <c r="B360" i="5"/>
  <c r="D359" i="5"/>
  <c r="C359" i="5"/>
  <c r="B359" i="5"/>
  <c r="D358" i="5"/>
  <c r="C358" i="5"/>
  <c r="B358" i="5"/>
  <c r="D357" i="5"/>
  <c r="C357" i="5"/>
  <c r="B357" i="5"/>
  <c r="D356" i="5"/>
  <c r="C356" i="5"/>
  <c r="B356" i="5"/>
  <c r="D355" i="5"/>
  <c r="C355" i="5"/>
  <c r="B355" i="5"/>
  <c r="D354" i="5"/>
  <c r="C354" i="5"/>
  <c r="B354" i="5"/>
  <c r="D353" i="5"/>
  <c r="C353" i="5"/>
  <c r="B353" i="5"/>
  <c r="D352" i="5"/>
  <c r="C352" i="5"/>
  <c r="B352" i="5"/>
  <c r="D351" i="5"/>
  <c r="C351" i="5"/>
  <c r="B351" i="5"/>
  <c r="D350" i="5"/>
  <c r="C350" i="5"/>
  <c r="B350" i="5"/>
  <c r="D349" i="5"/>
  <c r="C349" i="5"/>
  <c r="B349" i="5"/>
  <c r="D348" i="5"/>
  <c r="C348" i="5"/>
  <c r="B348" i="5"/>
  <c r="D347" i="5"/>
  <c r="C347" i="5"/>
  <c r="B347" i="5"/>
  <c r="D346" i="5"/>
  <c r="C346" i="5"/>
  <c r="B346" i="5"/>
  <c r="D345" i="5"/>
  <c r="C345" i="5"/>
  <c r="B345" i="5"/>
  <c r="D344" i="5"/>
  <c r="C344" i="5"/>
  <c r="B344" i="5"/>
  <c r="D343" i="5"/>
  <c r="C343" i="5"/>
  <c r="B343" i="5"/>
  <c r="D342" i="5"/>
  <c r="C342" i="5"/>
  <c r="B342" i="5"/>
  <c r="D341" i="5"/>
  <c r="C341" i="5"/>
  <c r="B341" i="5"/>
  <c r="D340" i="5"/>
  <c r="C340" i="5"/>
  <c r="B340" i="5"/>
  <c r="D339" i="5"/>
  <c r="C339" i="5"/>
  <c r="B339" i="5"/>
  <c r="D338" i="5"/>
  <c r="C338" i="5"/>
  <c r="B338" i="5"/>
  <c r="D337" i="5"/>
  <c r="C337" i="5"/>
  <c r="B337" i="5"/>
  <c r="D336" i="5"/>
  <c r="C336" i="5"/>
  <c r="B336" i="5"/>
  <c r="D335" i="5"/>
  <c r="C335" i="5"/>
  <c r="B335" i="5"/>
  <c r="D334" i="5"/>
  <c r="C334" i="5"/>
  <c r="B334" i="5"/>
  <c r="D333" i="5"/>
  <c r="C333" i="5"/>
  <c r="B333" i="5"/>
  <c r="D332" i="5"/>
  <c r="C332" i="5"/>
  <c r="B332" i="5"/>
  <c r="D331" i="5"/>
  <c r="C331" i="5"/>
  <c r="B331" i="5"/>
  <c r="D330" i="5"/>
  <c r="C330" i="5"/>
  <c r="B330" i="5"/>
  <c r="D329" i="5"/>
  <c r="C329" i="5"/>
  <c r="B329" i="5"/>
  <c r="D328" i="5"/>
  <c r="C328" i="5"/>
  <c r="B328" i="5"/>
  <c r="D327" i="5"/>
  <c r="C327" i="5"/>
  <c r="B327" i="5"/>
  <c r="D326" i="5"/>
  <c r="C326" i="5"/>
  <c r="B326" i="5"/>
  <c r="D325" i="5"/>
  <c r="C325" i="5"/>
  <c r="B325" i="5"/>
  <c r="D324" i="5"/>
  <c r="C324" i="5"/>
  <c r="B324" i="5"/>
  <c r="D323" i="5"/>
  <c r="C323" i="5"/>
  <c r="B323" i="5"/>
  <c r="D322" i="5"/>
  <c r="C322" i="5"/>
  <c r="B322" i="5"/>
  <c r="D321" i="5"/>
  <c r="C321" i="5"/>
  <c r="B321" i="5"/>
  <c r="D320" i="5"/>
  <c r="C320" i="5"/>
  <c r="B320" i="5"/>
  <c r="D319" i="5"/>
  <c r="C319" i="5"/>
  <c r="B319" i="5"/>
  <c r="D318" i="5"/>
  <c r="C318" i="5"/>
  <c r="B318" i="5"/>
  <c r="D317" i="5"/>
  <c r="C317" i="5"/>
  <c r="B317" i="5"/>
  <c r="D316" i="5"/>
  <c r="C316" i="5"/>
  <c r="B316" i="5"/>
  <c r="D315" i="5"/>
  <c r="C315" i="5"/>
  <c r="B315" i="5"/>
  <c r="D314" i="5"/>
  <c r="C314" i="5"/>
  <c r="B314" i="5"/>
  <c r="D313" i="5"/>
  <c r="C313" i="5"/>
  <c r="B313" i="5"/>
  <c r="D312" i="5"/>
  <c r="C312" i="5"/>
  <c r="B312" i="5"/>
  <c r="D311" i="5"/>
  <c r="C311" i="5"/>
  <c r="B311" i="5"/>
  <c r="D310" i="5"/>
  <c r="C310" i="5"/>
  <c r="B310" i="5"/>
  <c r="D309" i="5"/>
  <c r="C309" i="5"/>
  <c r="B309" i="5"/>
  <c r="D308" i="5"/>
  <c r="C308" i="5"/>
  <c r="B308" i="5"/>
  <c r="D307" i="5"/>
  <c r="C307" i="5"/>
  <c r="B307" i="5"/>
  <c r="D306" i="5"/>
  <c r="C306" i="5"/>
  <c r="B306" i="5"/>
  <c r="D305" i="5"/>
  <c r="C305" i="5"/>
  <c r="B305" i="5"/>
  <c r="D304" i="5"/>
  <c r="C304" i="5"/>
  <c r="B304" i="5"/>
  <c r="D303" i="5"/>
  <c r="C303" i="5"/>
  <c r="B303" i="5"/>
  <c r="D302" i="5"/>
  <c r="C302" i="5"/>
  <c r="B302" i="5"/>
  <c r="D301" i="5"/>
  <c r="C301" i="5"/>
  <c r="B301" i="5"/>
  <c r="D300" i="5"/>
  <c r="C300" i="5"/>
  <c r="B300" i="5"/>
  <c r="D299" i="5"/>
  <c r="C299" i="5"/>
  <c r="B299" i="5"/>
  <c r="D298" i="5"/>
  <c r="C298" i="5"/>
  <c r="B298" i="5"/>
  <c r="D297" i="5"/>
  <c r="C297" i="5"/>
  <c r="B297" i="5"/>
  <c r="D296" i="5"/>
  <c r="C296" i="5"/>
  <c r="B296" i="5"/>
  <c r="D295" i="5"/>
  <c r="C295" i="5"/>
  <c r="B295" i="5"/>
  <c r="D294" i="5"/>
  <c r="C294" i="5"/>
  <c r="B294" i="5"/>
  <c r="D293" i="5"/>
  <c r="C293" i="5"/>
  <c r="B293" i="5"/>
  <c r="D292" i="5"/>
  <c r="C292" i="5"/>
  <c r="B292" i="5"/>
  <c r="D291" i="5"/>
  <c r="C291" i="5"/>
  <c r="B291" i="5"/>
  <c r="D290" i="5"/>
  <c r="C290" i="5"/>
  <c r="B290" i="5"/>
  <c r="D289" i="5"/>
  <c r="C289" i="5"/>
  <c r="B289" i="5"/>
  <c r="D288" i="5"/>
  <c r="C288" i="5"/>
  <c r="B288" i="5"/>
  <c r="D287" i="5"/>
  <c r="C287" i="5"/>
  <c r="B287" i="5"/>
  <c r="D286" i="5"/>
  <c r="C286" i="5"/>
  <c r="B286" i="5"/>
  <c r="D285" i="5"/>
  <c r="C285" i="5"/>
  <c r="B285" i="5"/>
  <c r="D284" i="5"/>
  <c r="C284" i="5"/>
  <c r="B284" i="5"/>
  <c r="D283" i="5"/>
  <c r="C283" i="5"/>
  <c r="B283" i="5"/>
  <c r="D282" i="5"/>
  <c r="C282" i="5"/>
  <c r="B282" i="5"/>
  <c r="D281" i="5"/>
  <c r="C281" i="5"/>
  <c r="B281" i="5"/>
  <c r="D280" i="5"/>
  <c r="C280" i="5"/>
  <c r="B280" i="5"/>
  <c r="D279" i="5"/>
  <c r="C279" i="5"/>
  <c r="B279" i="5"/>
  <c r="D278" i="5"/>
  <c r="C278" i="5"/>
  <c r="B278" i="5"/>
  <c r="D277" i="5"/>
  <c r="C277" i="5"/>
  <c r="B277" i="5"/>
  <c r="D276" i="5"/>
  <c r="C276" i="5"/>
  <c r="B276" i="5"/>
  <c r="D275" i="5"/>
  <c r="C275" i="5"/>
  <c r="B275" i="5"/>
  <c r="D274" i="5"/>
  <c r="C274" i="5"/>
  <c r="B274" i="5"/>
  <c r="D273" i="5"/>
  <c r="C273" i="5"/>
  <c r="B273" i="5"/>
  <c r="D272" i="5"/>
  <c r="C272" i="5"/>
  <c r="B272" i="5"/>
  <c r="D271" i="5"/>
  <c r="C271" i="5"/>
  <c r="B271" i="5"/>
  <c r="D270" i="5"/>
  <c r="C270" i="5"/>
  <c r="B270" i="5"/>
  <c r="D269" i="5"/>
  <c r="C269" i="5"/>
  <c r="B269" i="5"/>
  <c r="D268" i="5"/>
  <c r="C268" i="5"/>
  <c r="B268" i="5"/>
  <c r="D267" i="5"/>
  <c r="C267" i="5"/>
  <c r="B267" i="5"/>
  <c r="D266" i="5"/>
  <c r="C266" i="5"/>
  <c r="B266" i="5"/>
  <c r="D265" i="5"/>
  <c r="C265" i="5"/>
  <c r="B265" i="5"/>
  <c r="D264" i="5"/>
  <c r="C264" i="5"/>
  <c r="B264" i="5"/>
  <c r="D263" i="5"/>
  <c r="C263" i="5"/>
  <c r="B263" i="5"/>
  <c r="D262" i="5"/>
  <c r="C262" i="5"/>
  <c r="B262" i="5"/>
  <c r="D261" i="5"/>
  <c r="C261" i="5"/>
  <c r="B261" i="5"/>
  <c r="D260" i="5"/>
  <c r="C260" i="5"/>
  <c r="B260" i="5"/>
  <c r="D259" i="5"/>
  <c r="C259" i="5"/>
  <c r="B259" i="5"/>
  <c r="D258" i="5"/>
  <c r="C258" i="5"/>
  <c r="B258" i="5"/>
  <c r="D257" i="5"/>
  <c r="C257" i="5"/>
  <c r="B257" i="5"/>
  <c r="D256" i="5"/>
  <c r="C256" i="5"/>
  <c r="B256" i="5"/>
  <c r="D255" i="5"/>
  <c r="C255" i="5"/>
  <c r="B255" i="5"/>
  <c r="D254" i="5"/>
  <c r="C254" i="5"/>
  <c r="B254" i="5"/>
  <c r="D253" i="5"/>
  <c r="C253" i="5"/>
  <c r="B253" i="5"/>
  <c r="D252" i="5"/>
  <c r="C252" i="5"/>
  <c r="B252" i="5"/>
  <c r="D251" i="5"/>
  <c r="C251" i="5"/>
  <c r="B251" i="5"/>
  <c r="D250" i="5"/>
  <c r="C250" i="5"/>
  <c r="B250" i="5"/>
  <c r="D249" i="5"/>
  <c r="C249" i="5"/>
  <c r="B249" i="5"/>
  <c r="D248" i="5"/>
  <c r="C248" i="5"/>
  <c r="B248" i="5"/>
  <c r="D247" i="5"/>
  <c r="C247" i="5"/>
  <c r="B247" i="5"/>
  <c r="D246" i="5"/>
  <c r="C246" i="5"/>
  <c r="B246" i="5"/>
  <c r="D245" i="5"/>
  <c r="C245" i="5"/>
  <c r="B245" i="5"/>
  <c r="D244" i="5"/>
  <c r="C244" i="5"/>
  <c r="B244" i="5"/>
  <c r="D243" i="5"/>
  <c r="C243" i="5"/>
  <c r="B243" i="5"/>
  <c r="D242" i="5"/>
  <c r="C242" i="5"/>
  <c r="B242" i="5"/>
  <c r="D241" i="5"/>
  <c r="C241" i="5"/>
  <c r="B241" i="5"/>
  <c r="D240" i="5"/>
  <c r="C240" i="5"/>
  <c r="B240" i="5"/>
  <c r="D239" i="5"/>
  <c r="C239" i="5"/>
  <c r="B239" i="5"/>
  <c r="D238" i="5"/>
  <c r="C238" i="5"/>
  <c r="B238" i="5"/>
  <c r="D237" i="5"/>
  <c r="C237" i="5"/>
  <c r="B237" i="5"/>
  <c r="D236" i="5"/>
  <c r="C236" i="5"/>
  <c r="B236" i="5"/>
  <c r="D235" i="5"/>
  <c r="C235" i="5"/>
  <c r="B235" i="5"/>
  <c r="D234" i="5"/>
  <c r="C234" i="5"/>
  <c r="B234" i="5"/>
  <c r="D233" i="5"/>
  <c r="C233" i="5"/>
  <c r="B233" i="5"/>
  <c r="D232" i="5"/>
  <c r="C232" i="5"/>
  <c r="B232" i="5"/>
  <c r="D231" i="5"/>
  <c r="C231" i="5"/>
  <c r="B231" i="5"/>
  <c r="D230" i="5"/>
  <c r="C230" i="5"/>
  <c r="B230" i="5"/>
  <c r="D229" i="5"/>
  <c r="C229" i="5"/>
  <c r="B229" i="5"/>
  <c r="D228" i="5"/>
  <c r="C228" i="5"/>
  <c r="B228" i="5"/>
  <c r="D227" i="5"/>
  <c r="C227" i="5"/>
  <c r="B227" i="5"/>
  <c r="D226" i="5"/>
  <c r="C226" i="5"/>
  <c r="B226" i="5"/>
  <c r="D225" i="5"/>
  <c r="C225" i="5"/>
  <c r="B225" i="5"/>
  <c r="D224" i="5"/>
  <c r="C224" i="5"/>
  <c r="B224" i="5"/>
  <c r="D223" i="5"/>
  <c r="C223" i="5"/>
  <c r="B223" i="5"/>
  <c r="D222" i="5"/>
  <c r="C222" i="5"/>
  <c r="B222" i="5"/>
  <c r="D221" i="5"/>
  <c r="C221" i="5"/>
  <c r="B221" i="5"/>
  <c r="D220" i="5"/>
  <c r="C220" i="5"/>
  <c r="B220" i="5"/>
  <c r="D219" i="5"/>
  <c r="C219" i="5"/>
  <c r="B219" i="5"/>
  <c r="D218" i="5"/>
  <c r="C218" i="5"/>
  <c r="B218" i="5"/>
  <c r="D217" i="5"/>
  <c r="C217" i="5"/>
  <c r="B217" i="5"/>
  <c r="D216" i="5"/>
  <c r="C216" i="5"/>
  <c r="B216" i="5"/>
  <c r="D215" i="5"/>
  <c r="C215" i="5"/>
  <c r="B215" i="5"/>
  <c r="D214" i="5"/>
  <c r="C214" i="5"/>
  <c r="B214" i="5"/>
  <c r="D213" i="5"/>
  <c r="C213" i="5"/>
  <c r="B213" i="5"/>
  <c r="D212" i="5"/>
  <c r="C212" i="5"/>
  <c r="B212" i="5"/>
  <c r="D211" i="5"/>
  <c r="C211" i="5"/>
  <c r="B211" i="5"/>
  <c r="D210" i="5"/>
  <c r="C210" i="5"/>
  <c r="B210" i="5"/>
  <c r="D209" i="5"/>
  <c r="C209" i="5"/>
  <c r="B209" i="5"/>
  <c r="D208" i="5"/>
  <c r="C208" i="5"/>
  <c r="B208" i="5"/>
  <c r="D207" i="5"/>
  <c r="C207" i="5"/>
  <c r="B207" i="5"/>
  <c r="D206" i="5"/>
  <c r="C206" i="5"/>
  <c r="B206" i="5"/>
  <c r="D205" i="5"/>
  <c r="C205" i="5"/>
  <c r="B205" i="5"/>
  <c r="D204" i="5"/>
  <c r="C204" i="5"/>
  <c r="B204" i="5"/>
  <c r="D203" i="5"/>
  <c r="C203" i="5"/>
  <c r="B203" i="5"/>
  <c r="D202" i="5"/>
  <c r="C202" i="5"/>
  <c r="B202" i="5"/>
  <c r="D201" i="5"/>
  <c r="C201" i="5"/>
  <c r="B201" i="5"/>
  <c r="D200" i="5"/>
  <c r="C200" i="5"/>
  <c r="B200" i="5"/>
  <c r="D199" i="5"/>
  <c r="C199" i="5"/>
  <c r="B199" i="5"/>
  <c r="D198" i="5"/>
  <c r="C198" i="5"/>
  <c r="B198" i="5"/>
  <c r="D197" i="5"/>
  <c r="C197" i="5"/>
  <c r="B197" i="5"/>
  <c r="D196" i="5"/>
  <c r="C196" i="5"/>
  <c r="B196" i="5"/>
  <c r="D195" i="5"/>
  <c r="C195" i="5"/>
  <c r="B195" i="5"/>
  <c r="D194" i="5"/>
  <c r="C194" i="5"/>
  <c r="B194" i="5"/>
  <c r="D193" i="5"/>
  <c r="C193" i="5"/>
  <c r="B193" i="5"/>
  <c r="D192" i="5"/>
  <c r="C192" i="5"/>
  <c r="B192" i="5"/>
  <c r="D191" i="5"/>
  <c r="C191" i="5"/>
  <c r="B191" i="5"/>
  <c r="D190" i="5"/>
  <c r="C190" i="5"/>
  <c r="B190" i="5"/>
  <c r="D189" i="5"/>
  <c r="C189" i="5"/>
  <c r="B189" i="5"/>
  <c r="D188" i="5"/>
  <c r="C188" i="5"/>
  <c r="B188" i="5"/>
  <c r="D187" i="5"/>
  <c r="C187" i="5"/>
  <c r="B187" i="5"/>
  <c r="D186" i="5"/>
  <c r="C186" i="5"/>
  <c r="B186" i="5"/>
  <c r="D185" i="5"/>
  <c r="C185" i="5"/>
  <c r="B185" i="5"/>
  <c r="D184" i="5"/>
  <c r="C184" i="5"/>
  <c r="B184" i="5"/>
  <c r="D183" i="5"/>
  <c r="C183" i="5"/>
  <c r="B183" i="5"/>
  <c r="D182" i="5"/>
  <c r="C182" i="5"/>
  <c r="B182" i="5"/>
  <c r="D181" i="5"/>
  <c r="C181" i="5"/>
  <c r="B181" i="5"/>
  <c r="D180" i="5"/>
  <c r="C180" i="5"/>
  <c r="B180" i="5"/>
  <c r="D179" i="5"/>
  <c r="C179" i="5"/>
  <c r="B179" i="5"/>
  <c r="D178" i="5"/>
  <c r="C178" i="5"/>
  <c r="B178" i="5"/>
  <c r="D177" i="5"/>
  <c r="C177" i="5"/>
  <c r="B177" i="5"/>
  <c r="D176" i="5"/>
  <c r="C176" i="5"/>
  <c r="B176" i="5"/>
  <c r="D175" i="5"/>
  <c r="C175" i="5"/>
  <c r="B175" i="5"/>
  <c r="D174" i="5"/>
  <c r="C174" i="5"/>
  <c r="B174" i="5"/>
  <c r="D173" i="5"/>
  <c r="C173" i="5"/>
  <c r="B173" i="5"/>
  <c r="D172" i="5"/>
  <c r="C172" i="5"/>
  <c r="B172" i="5"/>
  <c r="D171" i="5"/>
  <c r="C171" i="5"/>
  <c r="B171" i="5"/>
  <c r="D170" i="5"/>
  <c r="C170" i="5"/>
  <c r="B170" i="5"/>
  <c r="D169" i="5"/>
  <c r="C169" i="5"/>
  <c r="B169" i="5"/>
  <c r="D168" i="5"/>
  <c r="C168" i="5"/>
  <c r="B168" i="5"/>
  <c r="D167" i="5"/>
  <c r="C167" i="5"/>
  <c r="B167" i="5"/>
  <c r="D166" i="5"/>
  <c r="C166" i="5"/>
  <c r="B166" i="5"/>
  <c r="D165" i="5"/>
  <c r="C165" i="5"/>
  <c r="B165" i="5"/>
  <c r="D164" i="5"/>
  <c r="C164" i="5"/>
  <c r="B164" i="5"/>
  <c r="D163" i="5"/>
  <c r="C163" i="5"/>
  <c r="B163" i="5"/>
  <c r="D162" i="5"/>
  <c r="C162" i="5"/>
  <c r="B162" i="5"/>
  <c r="D161" i="5"/>
  <c r="C161" i="5"/>
  <c r="B161" i="5"/>
  <c r="D160" i="5"/>
  <c r="C160" i="5"/>
  <c r="B160" i="5"/>
  <c r="D159" i="5"/>
  <c r="C159" i="5"/>
  <c r="B159" i="5"/>
  <c r="D158" i="5"/>
  <c r="C158" i="5"/>
  <c r="B158" i="5"/>
  <c r="D157" i="5"/>
  <c r="C157" i="5"/>
  <c r="B157" i="5"/>
  <c r="D156" i="5"/>
  <c r="C156" i="5"/>
  <c r="B156" i="5"/>
  <c r="D155" i="5"/>
  <c r="C155" i="5"/>
  <c r="B155" i="5"/>
  <c r="D154" i="5"/>
  <c r="C154" i="5"/>
  <c r="B154" i="5"/>
  <c r="D153" i="5"/>
  <c r="C153" i="5"/>
  <c r="B153" i="5"/>
  <c r="D152" i="5"/>
  <c r="C152" i="5"/>
  <c r="B152" i="5"/>
  <c r="D151" i="5"/>
  <c r="C151" i="5"/>
  <c r="B151" i="5"/>
  <c r="D150" i="5"/>
  <c r="C150" i="5"/>
  <c r="B150" i="5"/>
  <c r="D149" i="5"/>
  <c r="C149" i="5"/>
  <c r="B149" i="5"/>
  <c r="D148" i="5"/>
  <c r="C148" i="5"/>
  <c r="B148" i="5"/>
  <c r="D147" i="5"/>
  <c r="C147" i="5"/>
  <c r="B147" i="5"/>
  <c r="D146" i="5"/>
  <c r="C146" i="5"/>
  <c r="B146" i="5"/>
  <c r="D145" i="5"/>
  <c r="C145" i="5"/>
  <c r="B145" i="5"/>
  <c r="D144" i="5"/>
  <c r="C144" i="5"/>
  <c r="B144" i="5"/>
  <c r="D143" i="5"/>
  <c r="C143" i="5"/>
  <c r="B143" i="5"/>
  <c r="D142" i="5"/>
  <c r="C142" i="5"/>
  <c r="B142" i="5"/>
  <c r="D141" i="5"/>
  <c r="C141" i="5"/>
  <c r="B141" i="5"/>
  <c r="D140" i="5"/>
  <c r="C140" i="5"/>
  <c r="B140" i="5"/>
  <c r="D139" i="5"/>
  <c r="C139" i="5"/>
  <c r="B139" i="5"/>
  <c r="D138" i="5"/>
  <c r="C138" i="5"/>
  <c r="B138" i="5"/>
  <c r="D137" i="5"/>
  <c r="C137" i="5"/>
  <c r="B137" i="5"/>
  <c r="D136" i="5"/>
  <c r="C136" i="5"/>
  <c r="B136" i="5"/>
  <c r="D135" i="5"/>
  <c r="C135" i="5"/>
  <c r="B135" i="5"/>
  <c r="D134" i="5"/>
  <c r="C134" i="5"/>
  <c r="B134" i="5"/>
  <c r="D133" i="5"/>
  <c r="C133" i="5"/>
  <c r="B133" i="5"/>
  <c r="D132" i="5"/>
  <c r="C132" i="5"/>
  <c r="B132" i="5"/>
  <c r="D131" i="5"/>
  <c r="C131" i="5"/>
  <c r="B131" i="5"/>
  <c r="D130" i="5"/>
  <c r="C130" i="5"/>
  <c r="B130" i="5"/>
  <c r="D129" i="5"/>
  <c r="C129" i="5"/>
  <c r="B129" i="5"/>
  <c r="D128" i="5"/>
  <c r="C128" i="5"/>
  <c r="B128" i="5"/>
  <c r="D127" i="5"/>
  <c r="C127" i="5"/>
  <c r="B127" i="5"/>
  <c r="D126" i="5"/>
  <c r="C126" i="5"/>
  <c r="B126" i="5"/>
  <c r="D125" i="5"/>
  <c r="C125" i="5"/>
  <c r="B125" i="5"/>
  <c r="D124" i="5"/>
  <c r="C124" i="5"/>
  <c r="B124" i="5"/>
  <c r="D123" i="5"/>
  <c r="C123" i="5"/>
  <c r="B123" i="5"/>
  <c r="D122" i="5"/>
  <c r="C122" i="5"/>
  <c r="B122" i="5"/>
  <c r="D121" i="5"/>
  <c r="C121" i="5"/>
  <c r="B121" i="5"/>
  <c r="D120" i="5"/>
  <c r="C120" i="5"/>
  <c r="B120" i="5"/>
  <c r="D119" i="5"/>
  <c r="C119" i="5"/>
  <c r="B119" i="5"/>
  <c r="D118" i="5"/>
  <c r="C118" i="5"/>
  <c r="B118" i="5"/>
  <c r="D117" i="5"/>
  <c r="C117" i="5"/>
  <c r="B117" i="5"/>
  <c r="D116" i="5"/>
  <c r="C116" i="5"/>
  <c r="B116" i="5"/>
  <c r="D115" i="5"/>
  <c r="C115" i="5"/>
  <c r="B115" i="5"/>
  <c r="D114" i="5"/>
  <c r="C114" i="5"/>
  <c r="B114" i="5"/>
  <c r="D113" i="5"/>
  <c r="C113" i="5"/>
  <c r="B113" i="5"/>
  <c r="D112" i="5"/>
  <c r="C112" i="5"/>
  <c r="B112" i="5"/>
  <c r="D111" i="5"/>
  <c r="C111" i="5"/>
  <c r="B111" i="5"/>
  <c r="D110" i="5"/>
  <c r="C110" i="5"/>
  <c r="B110" i="5"/>
  <c r="D109" i="5"/>
  <c r="C109" i="5"/>
  <c r="B109" i="5"/>
  <c r="D108" i="5"/>
  <c r="C108" i="5"/>
  <c r="B108" i="5"/>
  <c r="D107" i="5"/>
  <c r="C107" i="5"/>
  <c r="B107" i="5"/>
  <c r="D106" i="5"/>
  <c r="C106" i="5"/>
  <c r="B106" i="5"/>
  <c r="D105" i="5"/>
  <c r="C105" i="5"/>
  <c r="B105" i="5"/>
  <c r="D104" i="5"/>
  <c r="C104" i="5"/>
  <c r="B104" i="5"/>
  <c r="D103" i="5"/>
  <c r="C103" i="5"/>
  <c r="B103" i="5"/>
  <c r="D102" i="5"/>
  <c r="C102" i="5"/>
  <c r="B102" i="5"/>
  <c r="D101" i="5"/>
  <c r="C101" i="5"/>
  <c r="B101" i="5"/>
  <c r="D100" i="5"/>
  <c r="C100" i="5"/>
  <c r="B100" i="5"/>
  <c r="D99" i="5"/>
  <c r="C99" i="5"/>
  <c r="B99" i="5"/>
  <c r="D98" i="5"/>
  <c r="C98" i="5"/>
  <c r="B98" i="5"/>
  <c r="D97" i="5"/>
  <c r="C97" i="5"/>
  <c r="B97" i="5"/>
  <c r="D96" i="5"/>
  <c r="C96" i="5"/>
  <c r="B96" i="5"/>
  <c r="D95" i="5"/>
  <c r="C95" i="5"/>
  <c r="B95" i="5"/>
  <c r="D94" i="5"/>
  <c r="C94" i="5"/>
  <c r="B94" i="5"/>
  <c r="D93" i="5"/>
  <c r="C93" i="5"/>
  <c r="B93" i="5"/>
  <c r="D92" i="5"/>
  <c r="C92" i="5"/>
  <c r="B92" i="5"/>
  <c r="D91" i="5"/>
  <c r="C91" i="5"/>
  <c r="B91" i="5"/>
  <c r="D90" i="5"/>
  <c r="C90" i="5"/>
  <c r="B90" i="5"/>
  <c r="D89" i="5"/>
  <c r="C89" i="5"/>
  <c r="B89" i="5"/>
  <c r="D88" i="5"/>
  <c r="C88" i="5"/>
  <c r="B88" i="5"/>
  <c r="D87" i="5"/>
  <c r="C87" i="5"/>
  <c r="B87" i="5"/>
  <c r="D86" i="5"/>
  <c r="C86" i="5"/>
  <c r="B86" i="5"/>
  <c r="D85" i="5"/>
  <c r="C85" i="5"/>
  <c r="B85" i="5"/>
  <c r="D84" i="5"/>
  <c r="C84" i="5"/>
  <c r="B84" i="5"/>
  <c r="D83" i="5"/>
  <c r="C83" i="5"/>
  <c r="B83" i="5"/>
  <c r="D82" i="5"/>
  <c r="C82" i="5"/>
  <c r="B82" i="5"/>
  <c r="D81" i="5"/>
  <c r="C81" i="5"/>
  <c r="B81" i="5"/>
  <c r="D80" i="5"/>
  <c r="C80" i="5"/>
  <c r="B80" i="5"/>
  <c r="D79" i="5"/>
  <c r="C79" i="5"/>
  <c r="B79" i="5"/>
  <c r="D78" i="5"/>
  <c r="C78" i="5"/>
  <c r="B78" i="5"/>
  <c r="D77" i="5"/>
  <c r="C77" i="5"/>
  <c r="B77" i="5"/>
  <c r="D76" i="5"/>
  <c r="C76" i="5"/>
  <c r="B76" i="5"/>
  <c r="D75" i="5"/>
  <c r="C75" i="5"/>
  <c r="B75" i="5"/>
  <c r="D74" i="5"/>
  <c r="C74" i="5"/>
  <c r="B74" i="5"/>
  <c r="D73" i="5"/>
  <c r="C73" i="5"/>
  <c r="B73" i="5"/>
  <c r="D72" i="5"/>
  <c r="C72" i="5"/>
  <c r="B72" i="5"/>
  <c r="D71" i="5"/>
  <c r="C71" i="5"/>
  <c r="B71" i="5"/>
  <c r="D70" i="5"/>
  <c r="C70" i="5"/>
  <c r="B70" i="5"/>
  <c r="D69" i="5"/>
  <c r="C69" i="5"/>
  <c r="B69" i="5"/>
  <c r="D68" i="5"/>
  <c r="C68" i="5"/>
  <c r="B68" i="5"/>
  <c r="D67" i="5"/>
  <c r="C67" i="5"/>
  <c r="B67" i="5"/>
  <c r="D66" i="5"/>
  <c r="C66" i="5"/>
  <c r="B66" i="5"/>
  <c r="D65" i="5"/>
  <c r="C65" i="5"/>
  <c r="B65" i="5"/>
  <c r="D64" i="5"/>
  <c r="C64" i="5"/>
  <c r="B64" i="5"/>
  <c r="D63" i="5"/>
  <c r="C63" i="5"/>
  <c r="B63" i="5"/>
  <c r="D62" i="5"/>
  <c r="C62" i="5"/>
  <c r="B62" i="5"/>
  <c r="D61" i="5"/>
  <c r="C61" i="5"/>
  <c r="B61" i="5"/>
  <c r="D60" i="5"/>
  <c r="C60" i="5"/>
  <c r="B60" i="5"/>
  <c r="D59" i="5"/>
  <c r="C59" i="5"/>
  <c r="B59" i="5"/>
  <c r="D58" i="5"/>
  <c r="C58" i="5"/>
  <c r="B58" i="5"/>
  <c r="D57" i="5"/>
  <c r="C57" i="5"/>
  <c r="B57" i="5"/>
  <c r="D56" i="5"/>
  <c r="C56" i="5"/>
  <c r="B56" i="5"/>
  <c r="D55" i="5"/>
  <c r="C55" i="5"/>
  <c r="B55" i="5"/>
  <c r="D54" i="5"/>
  <c r="C54" i="5"/>
  <c r="B54" i="5"/>
  <c r="D53" i="5"/>
  <c r="C53" i="5"/>
  <c r="B53" i="5"/>
  <c r="D52" i="5"/>
  <c r="C52" i="5"/>
  <c r="B52" i="5"/>
  <c r="D51" i="5"/>
  <c r="C51" i="5"/>
  <c r="B51" i="5"/>
  <c r="D50" i="5"/>
  <c r="C50" i="5"/>
  <c r="B50" i="5"/>
  <c r="D49" i="5"/>
  <c r="C49" i="5"/>
  <c r="B49" i="5"/>
  <c r="D48" i="5"/>
  <c r="C48" i="5"/>
  <c r="B48" i="5"/>
  <c r="D47" i="5"/>
  <c r="C47" i="5"/>
  <c r="B47" i="5"/>
  <c r="D46" i="5"/>
  <c r="C46" i="5"/>
  <c r="B46" i="5"/>
  <c r="D45" i="5"/>
  <c r="C45" i="5"/>
  <c r="B45" i="5"/>
  <c r="D44" i="5"/>
  <c r="C44" i="5"/>
  <c r="B44" i="5"/>
  <c r="D43" i="5"/>
  <c r="C43" i="5"/>
  <c r="B43" i="5"/>
  <c r="D42" i="5"/>
  <c r="C42" i="5"/>
  <c r="B42" i="5"/>
  <c r="D41" i="5"/>
  <c r="C41" i="5"/>
  <c r="B41" i="5"/>
  <c r="D40" i="5"/>
  <c r="C40" i="5"/>
  <c r="B40" i="5"/>
  <c r="D39" i="5"/>
  <c r="C39" i="5"/>
  <c r="B39" i="5"/>
  <c r="D38" i="5"/>
  <c r="C38" i="5"/>
  <c r="B38" i="5"/>
  <c r="D37" i="5"/>
  <c r="C37" i="5"/>
  <c r="B37" i="5"/>
  <c r="D36" i="5"/>
  <c r="C36" i="5"/>
  <c r="B36" i="5"/>
  <c r="D35" i="5"/>
  <c r="C35" i="5"/>
  <c r="B35" i="5"/>
  <c r="D34" i="5"/>
  <c r="C34" i="5"/>
  <c r="B34" i="5"/>
  <c r="D33" i="5"/>
  <c r="C33" i="5"/>
  <c r="B33" i="5"/>
  <c r="D32" i="5"/>
  <c r="C32" i="5"/>
  <c r="B32" i="5"/>
  <c r="D31" i="5"/>
  <c r="C31" i="5"/>
  <c r="B31" i="5"/>
  <c r="D30" i="5"/>
  <c r="C30" i="5"/>
  <c r="B30" i="5"/>
  <c r="D29" i="5"/>
  <c r="C29" i="5"/>
  <c r="B29" i="5"/>
  <c r="D28" i="5"/>
  <c r="C28" i="5"/>
  <c r="B28" i="5"/>
  <c r="D27" i="5"/>
  <c r="C27" i="5"/>
  <c r="B27" i="5"/>
  <c r="D26" i="5"/>
  <c r="C26" i="5"/>
  <c r="B26" i="5"/>
  <c r="D25" i="5"/>
  <c r="C25" i="5"/>
  <c r="B25" i="5"/>
  <c r="D24" i="5"/>
  <c r="C24" i="5"/>
  <c r="B24" i="5"/>
  <c r="D23" i="5"/>
  <c r="C23" i="5"/>
  <c r="B23" i="5"/>
  <c r="D22" i="5"/>
  <c r="C22" i="5"/>
  <c r="B22" i="5"/>
  <c r="D21" i="5"/>
  <c r="C21" i="5"/>
  <c r="B21" i="5"/>
  <c r="D20" i="5"/>
  <c r="C20" i="5"/>
  <c r="B20" i="5"/>
  <c r="D19" i="5"/>
  <c r="C19" i="5"/>
  <c r="B19" i="5"/>
  <c r="D18" i="5"/>
  <c r="C18" i="5"/>
  <c r="B18" i="5"/>
  <c r="D17" i="5"/>
  <c r="C17" i="5"/>
  <c r="B17" i="5"/>
  <c r="D16" i="5"/>
  <c r="C16" i="5"/>
  <c r="B16" i="5"/>
  <c r="D15" i="5"/>
  <c r="C15" i="5"/>
  <c r="B15" i="5"/>
  <c r="D14" i="5"/>
  <c r="C14" i="5"/>
  <c r="B14" i="5"/>
  <c r="D13" i="5"/>
  <c r="C13" i="5"/>
  <c r="B13" i="5"/>
  <c r="D12" i="5"/>
  <c r="C12" i="5"/>
  <c r="B12" i="5"/>
  <c r="D11" i="5"/>
  <c r="C11" i="5"/>
  <c r="B11" i="5"/>
  <c r="D10" i="5"/>
  <c r="C10" i="5"/>
  <c r="B10" i="5"/>
  <c r="D9" i="5"/>
  <c r="C9" i="5"/>
  <c r="B9" i="5"/>
  <c r="D8" i="5"/>
  <c r="C8" i="5"/>
  <c r="B8" i="5"/>
  <c r="D7" i="5"/>
  <c r="C7" i="5"/>
  <c r="B7" i="5"/>
  <c r="D6" i="5"/>
  <c r="C6" i="5"/>
  <c r="B6" i="5"/>
  <c r="D5" i="5"/>
  <c r="C5" i="5"/>
  <c r="B5" i="5"/>
  <c r="D4" i="5"/>
  <c r="C4" i="5"/>
  <c r="B4" i="5"/>
  <c r="D3" i="5"/>
  <c r="C3" i="5"/>
  <c r="B3" i="5"/>
  <c r="D2" i="5"/>
  <c r="C2" i="5"/>
  <c r="B2" i="5"/>
  <c r="B521" i="4"/>
  <c r="B520" i="4"/>
  <c r="B519" i="4"/>
  <c r="B518" i="4"/>
  <c r="B517" i="4"/>
  <c r="B516" i="4"/>
  <c r="B515" i="4"/>
  <c r="B514" i="4"/>
  <c r="B513" i="4"/>
  <c r="B512" i="4"/>
  <c r="B511" i="4"/>
  <c r="B510" i="4"/>
  <c r="B509" i="4"/>
  <c r="B508" i="4"/>
  <c r="B507" i="4"/>
  <c r="B506" i="4"/>
  <c r="B505" i="4"/>
  <c r="B504" i="4"/>
  <c r="B503" i="4"/>
  <c r="B502" i="4"/>
  <c r="B501" i="4"/>
  <c r="B500" i="4"/>
  <c r="B499" i="4"/>
  <c r="B498" i="4"/>
  <c r="B497" i="4"/>
  <c r="B496" i="4"/>
  <c r="B495" i="4"/>
  <c r="B494" i="4"/>
  <c r="B493" i="4"/>
  <c r="B492" i="4"/>
  <c r="B491" i="4"/>
  <c r="B490" i="4"/>
  <c r="B489" i="4"/>
  <c r="B488" i="4"/>
  <c r="B487" i="4"/>
  <c r="B486" i="4"/>
  <c r="B485" i="4"/>
  <c r="B484" i="4"/>
  <c r="B483" i="4"/>
  <c r="B482" i="4"/>
  <c r="B481" i="4"/>
  <c r="B480" i="4"/>
  <c r="B479" i="4"/>
  <c r="B478" i="4"/>
  <c r="B477" i="4"/>
  <c r="B476" i="4"/>
  <c r="B475" i="4"/>
  <c r="B474" i="4"/>
  <c r="B473" i="4"/>
  <c r="B472" i="4"/>
  <c r="B471" i="4"/>
  <c r="B470" i="4"/>
  <c r="B469" i="4"/>
  <c r="B468" i="4"/>
  <c r="B467" i="4"/>
  <c r="B466" i="4"/>
  <c r="B465" i="4"/>
  <c r="B464" i="4"/>
  <c r="B463" i="4"/>
  <c r="B462" i="4"/>
  <c r="B461" i="4"/>
  <c r="B460" i="4"/>
  <c r="B459" i="4"/>
  <c r="B458" i="4"/>
  <c r="B457" i="4"/>
  <c r="B456" i="4"/>
  <c r="B455" i="4"/>
  <c r="B454" i="4"/>
  <c r="B453" i="4"/>
  <c r="B452" i="4"/>
  <c r="B451" i="4"/>
  <c r="B450" i="4"/>
  <c r="B449" i="4"/>
  <c r="B448" i="4"/>
  <c r="B447" i="4"/>
  <c r="B446" i="4"/>
  <c r="B445" i="4"/>
  <c r="B444" i="4"/>
  <c r="B443" i="4"/>
  <c r="B442" i="4"/>
  <c r="B441" i="4"/>
  <c r="B440" i="4"/>
  <c r="B439" i="4"/>
  <c r="B438" i="4"/>
  <c r="B437" i="4"/>
  <c r="B436" i="4"/>
  <c r="B435" i="4"/>
  <c r="B434" i="4"/>
  <c r="B433" i="4"/>
  <c r="B432" i="4"/>
  <c r="B431" i="4"/>
  <c r="B430" i="4"/>
  <c r="B429" i="4"/>
  <c r="B428" i="4"/>
  <c r="B427" i="4"/>
  <c r="B426" i="4"/>
  <c r="B425" i="4"/>
  <c r="B424" i="4"/>
  <c r="B423" i="4"/>
  <c r="B422" i="4"/>
  <c r="B421" i="4"/>
  <c r="B420" i="4"/>
  <c r="B419" i="4"/>
  <c r="B418" i="4"/>
  <c r="B417" i="4"/>
  <c r="B416" i="4"/>
  <c r="B415" i="4"/>
  <c r="B414" i="4"/>
  <c r="B413" i="4"/>
  <c r="B412" i="4"/>
  <c r="B411" i="4"/>
  <c r="B410" i="4"/>
  <c r="B409" i="4"/>
  <c r="B408" i="4"/>
  <c r="B407" i="4"/>
  <c r="B406" i="4"/>
  <c r="B405" i="4"/>
  <c r="B404" i="4"/>
  <c r="B403" i="4"/>
  <c r="B402" i="4"/>
  <c r="B401" i="4"/>
  <c r="B400" i="4"/>
  <c r="B399" i="4"/>
  <c r="B398" i="4"/>
  <c r="B397" i="4"/>
  <c r="B396" i="4"/>
  <c r="B395" i="4"/>
  <c r="B394" i="4"/>
  <c r="B393" i="4"/>
  <c r="B392" i="4"/>
  <c r="B391" i="4"/>
  <c r="B390" i="4"/>
  <c r="B389" i="4"/>
  <c r="B388" i="4"/>
  <c r="B387" i="4"/>
  <c r="B386" i="4"/>
  <c r="B385" i="4"/>
  <c r="B384" i="4"/>
  <c r="B383" i="4"/>
  <c r="B382" i="4"/>
  <c r="B381" i="4"/>
  <c r="B380" i="4"/>
  <c r="B379" i="4"/>
  <c r="B378" i="4"/>
  <c r="B377" i="4"/>
  <c r="B376" i="4"/>
  <c r="B375" i="4"/>
  <c r="B374" i="4"/>
  <c r="B373" i="4"/>
  <c r="B372" i="4"/>
  <c r="B371" i="4"/>
  <c r="B370" i="4"/>
  <c r="B369" i="4"/>
  <c r="B368" i="4"/>
  <c r="B367" i="4"/>
  <c r="B366" i="4"/>
  <c r="B365" i="4"/>
  <c r="B364" i="4"/>
  <c r="B363" i="4"/>
  <c r="B362" i="4"/>
  <c r="B361" i="4"/>
  <c r="B360" i="4"/>
  <c r="B359" i="4"/>
  <c r="B358" i="4"/>
  <c r="B357" i="4"/>
  <c r="B356" i="4"/>
  <c r="B355" i="4"/>
  <c r="B354" i="4"/>
  <c r="B353" i="4"/>
  <c r="B352" i="4"/>
  <c r="B351" i="4"/>
  <c r="B350" i="4"/>
  <c r="B349" i="4"/>
  <c r="B348" i="4"/>
  <c r="B347" i="4"/>
  <c r="B346" i="4"/>
  <c r="B345" i="4"/>
  <c r="B344" i="4"/>
  <c r="B343" i="4"/>
  <c r="B342" i="4"/>
  <c r="B341" i="4"/>
  <c r="B340" i="4"/>
  <c r="B339" i="4"/>
  <c r="B338" i="4"/>
  <c r="B337" i="4"/>
  <c r="B336" i="4"/>
  <c r="B335" i="4"/>
  <c r="B334" i="4"/>
  <c r="B333" i="4"/>
  <c r="B332" i="4"/>
  <c r="B331" i="4"/>
  <c r="B330" i="4"/>
  <c r="B329" i="4"/>
  <c r="B328" i="4"/>
  <c r="B327" i="4"/>
  <c r="B326" i="4"/>
  <c r="B325" i="4"/>
  <c r="B324" i="4"/>
  <c r="B323" i="4"/>
  <c r="B322" i="4"/>
  <c r="B321" i="4"/>
  <c r="B320" i="4"/>
  <c r="B319" i="4"/>
  <c r="B318" i="4"/>
  <c r="B317" i="4"/>
  <c r="B316" i="4"/>
  <c r="B315" i="4"/>
  <c r="B314" i="4"/>
  <c r="B313" i="4"/>
  <c r="B312" i="4"/>
  <c r="B311" i="4"/>
  <c r="B310" i="4"/>
  <c r="B309" i="4"/>
  <c r="B308" i="4"/>
  <c r="B307" i="4"/>
  <c r="B306" i="4"/>
  <c r="B305" i="4"/>
  <c r="B304" i="4"/>
  <c r="B303" i="4"/>
  <c r="B302" i="4"/>
  <c r="B301" i="4"/>
  <c r="B300" i="4"/>
  <c r="B299" i="4"/>
  <c r="B298" i="4"/>
  <c r="B297" i="4"/>
  <c r="B296" i="4"/>
  <c r="B295" i="4"/>
  <c r="B294" i="4"/>
  <c r="B293" i="4"/>
  <c r="B292" i="4"/>
  <c r="B291" i="4"/>
  <c r="B290" i="4"/>
  <c r="B289" i="4"/>
  <c r="B288" i="4"/>
  <c r="B287" i="4"/>
  <c r="B286" i="4"/>
  <c r="B285" i="4"/>
  <c r="B284" i="4"/>
  <c r="B283" i="4"/>
  <c r="B282" i="4"/>
  <c r="B281" i="4"/>
  <c r="B280" i="4"/>
  <c r="B279" i="4"/>
  <c r="B278" i="4"/>
  <c r="B277" i="4"/>
  <c r="B276" i="4"/>
  <c r="B275" i="4"/>
  <c r="B274" i="4"/>
  <c r="B273" i="4"/>
  <c r="B272" i="4"/>
  <c r="B271" i="4"/>
  <c r="B270" i="4"/>
  <c r="B269" i="4"/>
  <c r="B268" i="4"/>
  <c r="B267" i="4"/>
  <c r="B266" i="4"/>
  <c r="B265" i="4"/>
  <c r="B264" i="4"/>
  <c r="B263" i="4"/>
  <c r="B262" i="4"/>
  <c r="B261" i="4"/>
  <c r="B260" i="4"/>
  <c r="B259" i="4"/>
  <c r="B258" i="4"/>
  <c r="B257" i="4"/>
  <c r="B256" i="4"/>
  <c r="B255" i="4"/>
  <c r="B254" i="4"/>
  <c r="B253" i="4"/>
  <c r="B252" i="4"/>
  <c r="B251" i="4"/>
  <c r="B250" i="4"/>
  <c r="B249" i="4"/>
  <c r="B248" i="4"/>
  <c r="B247" i="4"/>
  <c r="B246" i="4"/>
  <c r="B245" i="4"/>
  <c r="B244" i="4"/>
  <c r="B243" i="4"/>
  <c r="B242" i="4"/>
  <c r="B241" i="4"/>
  <c r="B240" i="4"/>
  <c r="B239" i="4"/>
  <c r="B238" i="4"/>
  <c r="B237" i="4"/>
  <c r="B236" i="4"/>
  <c r="B235" i="4"/>
  <c r="B234" i="4"/>
  <c r="B233" i="4"/>
  <c r="B232" i="4"/>
  <c r="B231" i="4"/>
  <c r="B230" i="4"/>
  <c r="B229" i="4"/>
  <c r="B228" i="4"/>
  <c r="B227" i="4"/>
  <c r="B226" i="4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5" i="4"/>
  <c r="B204" i="4"/>
  <c r="B203" i="4"/>
  <c r="B202" i="4"/>
  <c r="B201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G2" i="4"/>
  <c r="E2" i="4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G2" i="3"/>
  <c r="E2" i="3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G2" i="2"/>
  <c r="E2" i="2"/>
  <c r="M10" i="1"/>
  <c r="J10" i="1"/>
  <c r="G10" i="1"/>
  <c r="M8" i="1"/>
  <c r="J8" i="1"/>
  <c r="G8" i="1"/>
  <c r="M5" i="1"/>
  <c r="J5" i="1"/>
  <c r="M4" i="1"/>
  <c r="J4" i="1"/>
  <c r="M3" i="1"/>
  <c r="J3" i="1"/>
  <c r="S6" i="1" l="1"/>
  <c r="S7" i="1" s="1"/>
  <c r="P6" i="1"/>
  <c r="M6" i="1"/>
  <c r="G5" i="5"/>
  <c r="G16" i="5"/>
  <c r="F80" i="5"/>
  <c r="E79" i="4"/>
  <c r="F79" i="4" s="1"/>
  <c r="F14" i="5"/>
  <c r="G30" i="5"/>
  <c r="G11" i="5"/>
  <c r="F4" i="5"/>
  <c r="G593" i="5"/>
  <c r="F6" i="5"/>
  <c r="F199" i="5"/>
  <c r="G36" i="5"/>
  <c r="G40" i="5"/>
  <c r="G44" i="5"/>
  <c r="G52" i="5"/>
  <c r="G60" i="5"/>
  <c r="G68" i="5"/>
  <c r="G80" i="5"/>
  <c r="G84" i="5"/>
  <c r="G88" i="5"/>
  <c r="G100" i="5"/>
  <c r="G112" i="5"/>
  <c r="G128" i="5"/>
  <c r="G140" i="5"/>
  <c r="G143" i="5"/>
  <c r="G20" i="5"/>
  <c r="G191" i="5"/>
  <c r="G235" i="5"/>
  <c r="G391" i="5"/>
  <c r="E6" i="5"/>
  <c r="G282" i="5"/>
  <c r="F10" i="5"/>
  <c r="G17" i="5"/>
  <c r="F25" i="5"/>
  <c r="G152" i="5"/>
  <c r="E32" i="5"/>
  <c r="F120" i="5"/>
  <c r="G179" i="5"/>
  <c r="G223" i="5"/>
  <c r="G247" i="5"/>
  <c r="G6" i="5"/>
  <c r="E18" i="5"/>
  <c r="G25" i="5"/>
  <c r="G160" i="5"/>
  <c r="G164" i="5"/>
  <c r="G176" i="5"/>
  <c r="G188" i="5"/>
  <c r="G208" i="5"/>
  <c r="G220" i="5"/>
  <c r="G232" i="5"/>
  <c r="G244" i="5"/>
  <c r="G256" i="5"/>
  <c r="G268" i="5"/>
  <c r="G280" i="5"/>
  <c r="G284" i="5"/>
  <c r="G288" i="5"/>
  <c r="G296" i="5"/>
  <c r="G304" i="5"/>
  <c r="G308" i="5"/>
  <c r="G312" i="5"/>
  <c r="G320" i="5"/>
  <c r="G328" i="5"/>
  <c r="G332" i="5"/>
  <c r="G336" i="5"/>
  <c r="G344" i="5"/>
  <c r="E36" i="5"/>
  <c r="G33" i="5"/>
  <c r="G37" i="5"/>
  <c r="G41" i="5"/>
  <c r="G49" i="5"/>
  <c r="G53" i="5"/>
  <c r="G57" i="5"/>
  <c r="G65" i="5"/>
  <c r="G77" i="5"/>
  <c r="G81" i="5"/>
  <c r="G85" i="5"/>
  <c r="G97" i="5"/>
  <c r="G109" i="5"/>
  <c r="G125" i="5"/>
  <c r="G137" i="5"/>
  <c r="G271" i="5"/>
  <c r="E8" i="5"/>
  <c r="G18" i="5"/>
  <c r="E54" i="5"/>
  <c r="G149" i="5"/>
  <c r="G259" i="5"/>
  <c r="E109" i="4"/>
  <c r="F109" i="4" s="1"/>
  <c r="E121" i="4"/>
  <c r="F121" i="4" s="1"/>
  <c r="E157" i="4"/>
  <c r="F157" i="4" s="1"/>
  <c r="G7" i="5"/>
  <c r="G324" i="5"/>
  <c r="G26" i="5"/>
  <c r="F38" i="5"/>
  <c r="G161" i="5"/>
  <c r="G173" i="5"/>
  <c r="G185" i="5"/>
  <c r="G197" i="5"/>
  <c r="G205" i="5"/>
  <c r="G217" i="5"/>
  <c r="G229" i="5"/>
  <c r="G241" i="5"/>
  <c r="G253" i="5"/>
  <c r="G265" i="5"/>
  <c r="G277" i="5"/>
  <c r="G345" i="5"/>
  <c r="G349" i="5"/>
  <c r="G357" i="5"/>
  <c r="G481" i="5"/>
  <c r="G545" i="5"/>
  <c r="G569" i="5"/>
  <c r="G24" i="5"/>
  <c r="F15" i="5"/>
  <c r="F19" i="5"/>
  <c r="G38" i="5"/>
  <c r="G46" i="5"/>
  <c r="G50" i="5"/>
  <c r="G62" i="5"/>
  <c r="G74" i="5"/>
  <c r="G82" i="5"/>
  <c r="G86" i="5"/>
  <c r="G94" i="5"/>
  <c r="G106" i="5"/>
  <c r="G118" i="5"/>
  <c r="G122" i="5"/>
  <c r="G134" i="5"/>
  <c r="E60" i="5"/>
  <c r="G155" i="5"/>
  <c r="G15" i="5"/>
  <c r="F23" i="5"/>
  <c r="G142" i="5"/>
  <c r="G146" i="5"/>
  <c r="G158" i="5"/>
  <c r="E4" i="2"/>
  <c r="F4" i="2" s="1"/>
  <c r="E16" i="2"/>
  <c r="F16" i="2" s="1"/>
  <c r="E28" i="2"/>
  <c r="F28" i="2" s="1"/>
  <c r="E11" i="3"/>
  <c r="F11" i="3" s="1"/>
  <c r="E23" i="3"/>
  <c r="F23" i="3" s="1"/>
  <c r="E35" i="3"/>
  <c r="F35" i="3" s="1"/>
  <c r="E47" i="3"/>
  <c r="F47" i="3" s="1"/>
  <c r="E59" i="3"/>
  <c r="F59" i="3" s="1"/>
  <c r="E95" i="3"/>
  <c r="F95" i="3" s="1"/>
  <c r="E119" i="3"/>
  <c r="F119" i="3" s="1"/>
  <c r="E155" i="3"/>
  <c r="F155" i="3" s="1"/>
  <c r="E167" i="3"/>
  <c r="F167" i="3" s="1"/>
  <c r="E239" i="3"/>
  <c r="F239" i="3" s="1"/>
  <c r="E52" i="4"/>
  <c r="F52" i="4" s="1"/>
  <c r="G8" i="5"/>
  <c r="G19" i="5"/>
  <c r="G23" i="5"/>
  <c r="G27" i="5"/>
  <c r="G170" i="5"/>
  <c r="G182" i="5"/>
  <c r="G194" i="5"/>
  <c r="G202" i="5"/>
  <c r="G214" i="5"/>
  <c r="G226" i="5"/>
  <c r="G238" i="5"/>
  <c r="G250" i="5"/>
  <c r="G262" i="5"/>
  <c r="G274" i="5"/>
  <c r="G286" i="5"/>
  <c r="G290" i="5"/>
  <c r="G310" i="5"/>
  <c r="G314" i="5"/>
  <c r="G326" i="5"/>
  <c r="G334" i="5"/>
  <c r="G338" i="5"/>
  <c r="G346" i="5"/>
  <c r="G358" i="5"/>
  <c r="G167" i="5"/>
  <c r="G211" i="5"/>
  <c r="E5" i="2"/>
  <c r="F5" i="2" s="1"/>
  <c r="E17" i="2"/>
  <c r="F17" i="2" s="1"/>
  <c r="E29" i="2"/>
  <c r="F29" i="2" s="1"/>
  <c r="E12" i="3"/>
  <c r="F12" i="3" s="1"/>
  <c r="E24" i="3"/>
  <c r="F24" i="3" s="1"/>
  <c r="E36" i="3"/>
  <c r="F36" i="3" s="1"/>
  <c r="E48" i="3"/>
  <c r="F48" i="3" s="1"/>
  <c r="E60" i="3"/>
  <c r="F60" i="3" s="1"/>
  <c r="E132" i="3"/>
  <c r="F132" i="3" s="1"/>
  <c r="E192" i="3"/>
  <c r="F192" i="3" s="1"/>
  <c r="E228" i="3"/>
  <c r="F228" i="3" s="1"/>
  <c r="E161" i="4"/>
  <c r="F161" i="4" s="1"/>
  <c r="E185" i="4"/>
  <c r="F185" i="4" s="1"/>
  <c r="E521" i="4"/>
  <c r="F521" i="4" s="1"/>
  <c r="F5" i="5"/>
  <c r="G12" i="5"/>
  <c r="E28" i="5"/>
  <c r="G31" i="5"/>
  <c r="G43" i="5"/>
  <c r="G47" i="5"/>
  <c r="G71" i="5"/>
  <c r="G83" i="5"/>
  <c r="G87" i="5"/>
  <c r="G91" i="5"/>
  <c r="G103" i="5"/>
  <c r="G115" i="5"/>
  <c r="G131" i="5"/>
  <c r="G121" i="5"/>
  <c r="G148" i="5"/>
  <c r="G169" i="5"/>
  <c r="G190" i="5"/>
  <c r="G300" i="5"/>
  <c r="G521" i="5"/>
  <c r="E15" i="2"/>
  <c r="F15" i="2" s="1"/>
  <c r="E27" i="2"/>
  <c r="F27" i="2" s="1"/>
  <c r="E22" i="3"/>
  <c r="F22" i="3" s="1"/>
  <c r="E46" i="3"/>
  <c r="F46" i="3" s="1"/>
  <c r="E82" i="3"/>
  <c r="F82" i="3" s="1"/>
  <c r="E94" i="3"/>
  <c r="F94" i="3" s="1"/>
  <c r="E106" i="3"/>
  <c r="F106" i="3" s="1"/>
  <c r="E118" i="3"/>
  <c r="F118" i="3" s="1"/>
  <c r="E142" i="3"/>
  <c r="F142" i="3" s="1"/>
  <c r="E178" i="3"/>
  <c r="F178" i="3" s="1"/>
  <c r="E190" i="3"/>
  <c r="F190" i="3" s="1"/>
  <c r="E63" i="4"/>
  <c r="F63" i="4" s="1"/>
  <c r="E111" i="4"/>
  <c r="F111" i="4" s="1"/>
  <c r="E183" i="4"/>
  <c r="F183" i="4" s="1"/>
  <c r="G139" i="5"/>
  <c r="G184" i="5"/>
  <c r="G199" i="5"/>
  <c r="E6" i="2"/>
  <c r="F6" i="2" s="1"/>
  <c r="E18" i="2"/>
  <c r="F18" i="2" s="1"/>
  <c r="E30" i="2"/>
  <c r="F30" i="2" s="1"/>
  <c r="E13" i="3"/>
  <c r="F13" i="3" s="1"/>
  <c r="E25" i="3"/>
  <c r="F25" i="3" s="1"/>
  <c r="E37" i="3"/>
  <c r="F37" i="3" s="1"/>
  <c r="E49" i="3"/>
  <c r="F49" i="3" s="1"/>
  <c r="E61" i="3"/>
  <c r="F61" i="3" s="1"/>
  <c r="E85" i="3"/>
  <c r="F85" i="3" s="1"/>
  <c r="E97" i="3"/>
  <c r="F97" i="3" s="1"/>
  <c r="E133" i="3"/>
  <c r="F133" i="3" s="1"/>
  <c r="E217" i="3"/>
  <c r="F217" i="3" s="1"/>
  <c r="E241" i="3"/>
  <c r="F241" i="3" s="1"/>
  <c r="E253" i="3"/>
  <c r="F253" i="3" s="1"/>
  <c r="E90" i="4"/>
  <c r="F90" i="4" s="1"/>
  <c r="E510" i="4"/>
  <c r="F510" i="4" s="1"/>
  <c r="E596" i="5"/>
  <c r="G127" i="5"/>
  <c r="G178" i="5"/>
  <c r="E19" i="2"/>
  <c r="F19" i="2" s="1"/>
  <c r="E50" i="3"/>
  <c r="F50" i="3" s="1"/>
  <c r="E122" i="3"/>
  <c r="F122" i="3" s="1"/>
  <c r="E158" i="3"/>
  <c r="F158" i="3" s="1"/>
  <c r="E139" i="4"/>
  <c r="F139" i="4" s="1"/>
  <c r="E175" i="4"/>
  <c r="F175" i="4" s="1"/>
  <c r="E463" i="4"/>
  <c r="F463" i="4" s="1"/>
  <c r="F191" i="5"/>
  <c r="G9" i="5"/>
  <c r="G39" i="5"/>
  <c r="G42" i="5"/>
  <c r="G45" i="5"/>
  <c r="G48" i="5"/>
  <c r="G51" i="5"/>
  <c r="G89" i="5"/>
  <c r="G92" i="5"/>
  <c r="G95" i="5"/>
  <c r="G98" i="5"/>
  <c r="G101" i="5"/>
  <c r="G104" i="5"/>
  <c r="G107" i="5"/>
  <c r="G110" i="5"/>
  <c r="G113" i="5"/>
  <c r="G116" i="5"/>
  <c r="G119" i="5"/>
  <c r="G294" i="5"/>
  <c r="G318" i="5"/>
  <c r="G342" i="5"/>
  <c r="G383" i="5"/>
  <c r="G145" i="5"/>
  <c r="G166" i="5"/>
  <c r="G187" i="5"/>
  <c r="G22" i="5"/>
  <c r="E27" i="3"/>
  <c r="F27" i="3" s="1"/>
  <c r="E51" i="3"/>
  <c r="F51" i="3" s="1"/>
  <c r="E99" i="3"/>
  <c r="F99" i="3" s="1"/>
  <c r="E123" i="3"/>
  <c r="F123" i="3" s="1"/>
  <c r="E147" i="3"/>
  <c r="F147" i="3" s="1"/>
  <c r="E159" i="3"/>
  <c r="F159" i="3" s="1"/>
  <c r="E183" i="3"/>
  <c r="F183" i="3" s="1"/>
  <c r="E219" i="3"/>
  <c r="F219" i="3" s="1"/>
  <c r="E20" i="4"/>
  <c r="F20" i="4" s="1"/>
  <c r="E104" i="4"/>
  <c r="F104" i="4" s="1"/>
  <c r="E260" i="4"/>
  <c r="F260" i="4" s="1"/>
  <c r="E392" i="4"/>
  <c r="F392" i="4" s="1"/>
  <c r="E416" i="4"/>
  <c r="F416" i="4" s="1"/>
  <c r="E464" i="4"/>
  <c r="F464" i="4" s="1"/>
  <c r="G607" i="5"/>
  <c r="F7" i="5"/>
  <c r="F20" i="5"/>
  <c r="G28" i="5"/>
  <c r="G54" i="5"/>
  <c r="G59" i="5"/>
  <c r="G136" i="5"/>
  <c r="G157" i="5"/>
  <c r="G175" i="5"/>
  <c r="G193" i="5"/>
  <c r="G4" i="5"/>
  <c r="E14" i="3"/>
  <c r="F14" i="3" s="1"/>
  <c r="E62" i="3"/>
  <c r="F62" i="3" s="1"/>
  <c r="E76" i="3"/>
  <c r="F76" i="3" s="1"/>
  <c r="E112" i="3"/>
  <c r="F112" i="3" s="1"/>
  <c r="E148" i="3"/>
  <c r="F148" i="3" s="1"/>
  <c r="E172" i="3"/>
  <c r="F172" i="3" s="1"/>
  <c r="E196" i="3"/>
  <c r="F196" i="3" s="1"/>
  <c r="E220" i="3"/>
  <c r="F220" i="3" s="1"/>
  <c r="E129" i="4"/>
  <c r="F129" i="4" s="1"/>
  <c r="E153" i="4"/>
  <c r="F153" i="4" s="1"/>
  <c r="E237" i="4"/>
  <c r="F237" i="4" s="1"/>
  <c r="G34" i="5"/>
  <c r="G63" i="5"/>
  <c r="G66" i="5"/>
  <c r="G69" i="5"/>
  <c r="G72" i="5"/>
  <c r="G75" i="5"/>
  <c r="G78" i="5"/>
  <c r="G200" i="5"/>
  <c r="G203" i="5"/>
  <c r="G206" i="5"/>
  <c r="G209" i="5"/>
  <c r="G212" i="5"/>
  <c r="G215" i="5"/>
  <c r="G218" i="5"/>
  <c r="G221" i="5"/>
  <c r="G224" i="5"/>
  <c r="G227" i="5"/>
  <c r="G230" i="5"/>
  <c r="G233" i="5"/>
  <c r="G236" i="5"/>
  <c r="G239" i="5"/>
  <c r="G242" i="5"/>
  <c r="G245" i="5"/>
  <c r="G248" i="5"/>
  <c r="G251" i="5"/>
  <c r="G254" i="5"/>
  <c r="G257" i="5"/>
  <c r="G260" i="5"/>
  <c r="G263" i="5"/>
  <c r="G266" i="5"/>
  <c r="G269" i="5"/>
  <c r="G272" i="5"/>
  <c r="G275" i="5"/>
  <c r="G278" i="5"/>
  <c r="G281" i="5"/>
  <c r="G298" i="5"/>
  <c r="G322" i="5"/>
  <c r="G617" i="5"/>
  <c r="E9" i="2"/>
  <c r="F9" i="2" s="1"/>
  <c r="E10" i="2"/>
  <c r="F10" i="2" s="1"/>
  <c r="E22" i="2"/>
  <c r="F22" i="2" s="1"/>
  <c r="E17" i="3"/>
  <c r="F17" i="3" s="1"/>
  <c r="E41" i="3"/>
  <c r="F41" i="3" s="1"/>
  <c r="E65" i="3"/>
  <c r="F65" i="3" s="1"/>
  <c r="E101" i="3"/>
  <c r="F101" i="3" s="1"/>
  <c r="E113" i="3"/>
  <c r="F113" i="3" s="1"/>
  <c r="E137" i="3"/>
  <c r="F137" i="3" s="1"/>
  <c r="E185" i="3"/>
  <c r="F185" i="3" s="1"/>
  <c r="E197" i="3"/>
  <c r="F197" i="3" s="1"/>
  <c r="E233" i="3"/>
  <c r="F233" i="3" s="1"/>
  <c r="E269" i="3"/>
  <c r="F269" i="3" s="1"/>
  <c r="E34" i="4"/>
  <c r="F34" i="4" s="1"/>
  <c r="E154" i="4"/>
  <c r="F154" i="4" s="1"/>
  <c r="G631" i="5"/>
  <c r="E7" i="2"/>
  <c r="F7" i="2" s="1"/>
  <c r="E26" i="3"/>
  <c r="F26" i="3" s="1"/>
  <c r="E20" i="2"/>
  <c r="F20" i="2" s="1"/>
  <c r="E52" i="3"/>
  <c r="F52" i="3" s="1"/>
  <c r="E11" i="2"/>
  <c r="F11" i="2" s="1"/>
  <c r="E23" i="2"/>
  <c r="F23" i="2" s="1"/>
  <c r="E6" i="3"/>
  <c r="F6" i="3" s="1"/>
  <c r="E18" i="3"/>
  <c r="F18" i="3" s="1"/>
  <c r="E30" i="3"/>
  <c r="F30" i="3" s="1"/>
  <c r="E42" i="3"/>
  <c r="F42" i="3" s="1"/>
  <c r="E54" i="3"/>
  <c r="F54" i="3" s="1"/>
  <c r="E66" i="3"/>
  <c r="F66" i="3" s="1"/>
  <c r="E78" i="3"/>
  <c r="F78" i="3" s="1"/>
  <c r="E90" i="3"/>
  <c r="F90" i="3" s="1"/>
  <c r="E114" i="3"/>
  <c r="F114" i="3" s="1"/>
  <c r="E126" i="3"/>
  <c r="F126" i="3" s="1"/>
  <c r="E150" i="3"/>
  <c r="F150" i="3" s="1"/>
  <c r="E198" i="3"/>
  <c r="F198" i="3" s="1"/>
  <c r="E210" i="3"/>
  <c r="F210" i="3" s="1"/>
  <c r="E246" i="3"/>
  <c r="F246" i="3" s="1"/>
  <c r="E23" i="4"/>
  <c r="F23" i="4" s="1"/>
  <c r="E47" i="4"/>
  <c r="F47" i="4" s="1"/>
  <c r="E71" i="4"/>
  <c r="F71" i="4" s="1"/>
  <c r="E143" i="4"/>
  <c r="F143" i="4" s="1"/>
  <c r="G90" i="5"/>
  <c r="G93" i="5"/>
  <c r="G96" i="5"/>
  <c r="G99" i="5"/>
  <c r="G102" i="5"/>
  <c r="G105" i="5"/>
  <c r="G108" i="5"/>
  <c r="G111" i="5"/>
  <c r="G114" i="5"/>
  <c r="G117" i="5"/>
  <c r="G302" i="5"/>
  <c r="G133" i="5"/>
  <c r="G163" i="5"/>
  <c r="G14" i="5"/>
  <c r="E38" i="3"/>
  <c r="F38" i="3" s="1"/>
  <c r="E86" i="3"/>
  <c r="F86" i="3" s="1"/>
  <c r="E8" i="2"/>
  <c r="F8" i="2" s="1"/>
  <c r="E21" i="2"/>
  <c r="F21" i="2" s="1"/>
  <c r="E28" i="3"/>
  <c r="F28" i="3" s="1"/>
  <c r="E12" i="2"/>
  <c r="F12" i="2" s="1"/>
  <c r="E24" i="2"/>
  <c r="F24" i="2" s="1"/>
  <c r="E7" i="3"/>
  <c r="F7" i="3" s="1"/>
  <c r="E19" i="3"/>
  <c r="F19" i="3" s="1"/>
  <c r="E31" i="3"/>
  <c r="F31" i="3" s="1"/>
  <c r="E43" i="3"/>
  <c r="F43" i="3" s="1"/>
  <c r="E55" i="3"/>
  <c r="F55" i="3" s="1"/>
  <c r="E67" i="3"/>
  <c r="F67" i="3" s="1"/>
  <c r="E79" i="3"/>
  <c r="F79" i="3" s="1"/>
  <c r="E91" i="3"/>
  <c r="F91" i="3" s="1"/>
  <c r="E103" i="3"/>
  <c r="F103" i="3" s="1"/>
  <c r="E127" i="3"/>
  <c r="F127" i="3" s="1"/>
  <c r="E151" i="3"/>
  <c r="F151" i="3" s="1"/>
  <c r="E235" i="3"/>
  <c r="F235" i="3" s="1"/>
  <c r="E12" i="4"/>
  <c r="F12" i="4" s="1"/>
  <c r="E24" i="4"/>
  <c r="F24" i="4" s="1"/>
  <c r="E144" i="4"/>
  <c r="F144" i="4" s="1"/>
  <c r="E324" i="4"/>
  <c r="F324" i="4" s="1"/>
  <c r="G3" i="5"/>
  <c r="G10" i="5"/>
  <c r="G13" i="5"/>
  <c r="G29" i="5"/>
  <c r="G55" i="5"/>
  <c r="G58" i="5"/>
  <c r="G120" i="5"/>
  <c r="G123" i="5"/>
  <c r="G126" i="5"/>
  <c r="G129" i="5"/>
  <c r="G132" i="5"/>
  <c r="G135" i="5"/>
  <c r="G138" i="5"/>
  <c r="G141" i="5"/>
  <c r="G144" i="5"/>
  <c r="G147" i="5"/>
  <c r="G150" i="5"/>
  <c r="G153" i="5"/>
  <c r="G156" i="5"/>
  <c r="G159" i="5"/>
  <c r="G162" i="5"/>
  <c r="G165" i="5"/>
  <c r="G168" i="5"/>
  <c r="G171" i="5"/>
  <c r="G174" i="5"/>
  <c r="G177" i="5"/>
  <c r="G180" i="5"/>
  <c r="G183" i="5"/>
  <c r="G186" i="5"/>
  <c r="G189" i="5"/>
  <c r="G192" i="5"/>
  <c r="G195" i="5"/>
  <c r="G198" i="5"/>
  <c r="G292" i="5"/>
  <c r="G316" i="5"/>
  <c r="G340" i="5"/>
  <c r="G350" i="5"/>
  <c r="G361" i="5"/>
  <c r="G124" i="5"/>
  <c r="G151" i="5"/>
  <c r="G181" i="5"/>
  <c r="E13" i="2"/>
  <c r="F13" i="2" s="1"/>
  <c r="E8" i="3"/>
  <c r="F8" i="3" s="1"/>
  <c r="E32" i="3"/>
  <c r="F32" i="3" s="1"/>
  <c r="E56" i="3"/>
  <c r="F56" i="3" s="1"/>
  <c r="E68" i="3"/>
  <c r="F68" i="3" s="1"/>
  <c r="E80" i="3"/>
  <c r="F80" i="3" s="1"/>
  <c r="E92" i="3"/>
  <c r="F92" i="3" s="1"/>
  <c r="E128" i="3"/>
  <c r="F128" i="3" s="1"/>
  <c r="E188" i="3"/>
  <c r="F188" i="3" s="1"/>
  <c r="E224" i="3"/>
  <c r="F224" i="3" s="1"/>
  <c r="E260" i="3"/>
  <c r="F260" i="3" s="1"/>
  <c r="G21" i="5"/>
  <c r="G32" i="5"/>
  <c r="G35" i="5"/>
  <c r="G61" i="5"/>
  <c r="G64" i="5"/>
  <c r="G67" i="5"/>
  <c r="G70" i="5"/>
  <c r="G73" i="5"/>
  <c r="G76" i="5"/>
  <c r="G79" i="5"/>
  <c r="G201" i="5"/>
  <c r="G204" i="5"/>
  <c r="G207" i="5"/>
  <c r="G210" i="5"/>
  <c r="G213" i="5"/>
  <c r="G216" i="5"/>
  <c r="G219" i="5"/>
  <c r="G222" i="5"/>
  <c r="G225" i="5"/>
  <c r="G228" i="5"/>
  <c r="G231" i="5"/>
  <c r="G234" i="5"/>
  <c r="G237" i="5"/>
  <c r="G240" i="5"/>
  <c r="G243" i="5"/>
  <c r="G246" i="5"/>
  <c r="G249" i="5"/>
  <c r="G252" i="5"/>
  <c r="G255" i="5"/>
  <c r="G258" i="5"/>
  <c r="G261" i="5"/>
  <c r="G264" i="5"/>
  <c r="G267" i="5"/>
  <c r="G270" i="5"/>
  <c r="G273" i="5"/>
  <c r="G276" i="5"/>
  <c r="G279" i="5"/>
  <c r="G306" i="5"/>
  <c r="G330" i="5"/>
  <c r="G56" i="5"/>
  <c r="G130" i="5"/>
  <c r="G154" i="5"/>
  <c r="G172" i="5"/>
  <c r="G196" i="5"/>
  <c r="E25" i="2"/>
  <c r="F25" i="2" s="1"/>
  <c r="E20" i="3"/>
  <c r="F20" i="3" s="1"/>
  <c r="E44" i="3"/>
  <c r="F44" i="3" s="1"/>
  <c r="E14" i="2"/>
  <c r="F14" i="2" s="1"/>
  <c r="E26" i="2"/>
  <c r="F26" i="2" s="1"/>
  <c r="E9" i="3"/>
  <c r="F9" i="3" s="1"/>
  <c r="E21" i="3"/>
  <c r="F21" i="3" s="1"/>
  <c r="E33" i="3"/>
  <c r="F33" i="3" s="1"/>
  <c r="E45" i="3"/>
  <c r="F45" i="3" s="1"/>
  <c r="E57" i="3"/>
  <c r="F57" i="3" s="1"/>
  <c r="E69" i="3"/>
  <c r="F69" i="3" s="1"/>
  <c r="E81" i="3"/>
  <c r="F81" i="3" s="1"/>
  <c r="E141" i="3"/>
  <c r="F141" i="3" s="1"/>
  <c r="E153" i="3"/>
  <c r="F153" i="3" s="1"/>
  <c r="E165" i="3"/>
  <c r="F165" i="3" s="1"/>
  <c r="E213" i="3"/>
  <c r="F213" i="3" s="1"/>
  <c r="E225" i="3"/>
  <c r="F225" i="3" s="1"/>
  <c r="E14" i="4"/>
  <c r="F14" i="4" s="1"/>
  <c r="E122" i="4"/>
  <c r="F122" i="4" s="1"/>
  <c r="F8" i="5"/>
  <c r="E88" i="5"/>
  <c r="F607" i="5"/>
  <c r="E283" i="3"/>
  <c r="F283" i="3" s="1"/>
  <c r="E60" i="4"/>
  <c r="F60" i="4" s="1"/>
  <c r="C4" i="3" a="1"/>
  <c r="C269" i="3" s="1"/>
  <c r="N9" i="1"/>
  <c r="E70" i="3"/>
  <c r="F70" i="3" s="1"/>
  <c r="E75" i="3"/>
  <c r="F75" i="3" s="1"/>
  <c r="E96" i="3"/>
  <c r="F96" i="3" s="1"/>
  <c r="E107" i="3"/>
  <c r="F107" i="3" s="1"/>
  <c r="E124" i="3"/>
  <c r="F124" i="3" s="1"/>
  <c r="E154" i="3"/>
  <c r="F154" i="3" s="1"/>
  <c r="E160" i="3"/>
  <c r="F160" i="3" s="1"/>
  <c r="E166" i="3"/>
  <c r="F166" i="3" s="1"/>
  <c r="E171" i="3"/>
  <c r="F171" i="3" s="1"/>
  <c r="E177" i="3"/>
  <c r="F177" i="3" s="1"/>
  <c r="E184" i="3"/>
  <c r="F184" i="3" s="1"/>
  <c r="E211" i="3"/>
  <c r="F211" i="3" s="1"/>
  <c r="E218" i="3"/>
  <c r="F218" i="3" s="1"/>
  <c r="E238" i="3"/>
  <c r="F238" i="3" s="1"/>
  <c r="E281" i="3"/>
  <c r="F281" i="3" s="1"/>
  <c r="E21" i="4"/>
  <c r="F21" i="4" s="1"/>
  <c r="E31" i="4"/>
  <c r="F31" i="4" s="1"/>
  <c r="E120" i="4"/>
  <c r="F120" i="4" s="1"/>
  <c r="E194" i="4"/>
  <c r="F194" i="4" s="1"/>
  <c r="E131" i="3"/>
  <c r="F131" i="3" s="1"/>
  <c r="E136" i="3"/>
  <c r="F136" i="3" s="1"/>
  <c r="E191" i="3"/>
  <c r="F191" i="3" s="1"/>
  <c r="E204" i="3"/>
  <c r="F204" i="3" s="1"/>
  <c r="E212" i="3"/>
  <c r="F212" i="3" s="1"/>
  <c r="E282" i="3"/>
  <c r="F282" i="3" s="1"/>
  <c r="E22" i="4"/>
  <c r="F22" i="4" s="1"/>
  <c r="E32" i="4"/>
  <c r="F32" i="4" s="1"/>
  <c r="E81" i="4"/>
  <c r="F81" i="4" s="1"/>
  <c r="E163" i="4"/>
  <c r="F163" i="4" s="1"/>
  <c r="E71" i="3"/>
  <c r="F71" i="3" s="1"/>
  <c r="E161" i="3"/>
  <c r="F161" i="3" s="1"/>
  <c r="E205" i="3"/>
  <c r="F205" i="3" s="1"/>
  <c r="E214" i="3"/>
  <c r="F214" i="3" s="1"/>
  <c r="E240" i="3"/>
  <c r="F240" i="3" s="1"/>
  <c r="E254" i="3"/>
  <c r="F254" i="3" s="1"/>
  <c r="E263" i="3"/>
  <c r="F263" i="3" s="1"/>
  <c r="E270" i="3"/>
  <c r="F270" i="3" s="1"/>
  <c r="E276" i="3"/>
  <c r="F276" i="3" s="1"/>
  <c r="E5" i="4"/>
  <c r="F5" i="4" s="1"/>
  <c r="C4" i="4" a="1"/>
  <c r="E265" i="3"/>
  <c r="F265" i="3" s="1"/>
  <c r="E226" i="3"/>
  <c r="F226" i="3" s="1"/>
  <c r="E143" i="3"/>
  <c r="F143" i="3" s="1"/>
  <c r="E280" i="3"/>
  <c r="F280" i="3" s="1"/>
  <c r="E257" i="3"/>
  <c r="F257" i="3" s="1"/>
  <c r="E252" i="3"/>
  <c r="F252" i="3" s="1"/>
  <c r="E274" i="3"/>
  <c r="F274" i="3" s="1"/>
  <c r="E222" i="3"/>
  <c r="F222" i="3" s="1"/>
  <c r="E130" i="3"/>
  <c r="F130" i="3" s="1"/>
  <c r="E262" i="3"/>
  <c r="F262" i="3" s="1"/>
  <c r="E169" i="3"/>
  <c r="F169" i="3" s="1"/>
  <c r="E139" i="3"/>
  <c r="F139" i="3" s="1"/>
  <c r="E261" i="3"/>
  <c r="F261" i="3" s="1"/>
  <c r="E231" i="3"/>
  <c r="F231" i="3" s="1"/>
  <c r="E121" i="3"/>
  <c r="F121" i="3" s="1"/>
  <c r="E111" i="3"/>
  <c r="F111" i="3" s="1"/>
  <c r="E4" i="3"/>
  <c r="F4" i="3" s="1"/>
  <c r="E186" i="3"/>
  <c r="F186" i="3" s="1"/>
  <c r="C4" i="2" a="1"/>
  <c r="E179" i="3"/>
  <c r="F179" i="3" s="1"/>
  <c r="E247" i="3"/>
  <c r="F247" i="3" s="1"/>
  <c r="E87" i="3"/>
  <c r="F87" i="3" s="1"/>
  <c r="E93" i="3"/>
  <c r="F93" i="3" s="1"/>
  <c r="E144" i="3"/>
  <c r="F144" i="3" s="1"/>
  <c r="E156" i="3"/>
  <c r="F156" i="3" s="1"/>
  <c r="E162" i="3"/>
  <c r="F162" i="3" s="1"/>
  <c r="E168" i="3"/>
  <c r="F168" i="3" s="1"/>
  <c r="E187" i="3"/>
  <c r="F187" i="3" s="1"/>
  <c r="E200" i="3"/>
  <c r="F200" i="3" s="1"/>
  <c r="E227" i="3"/>
  <c r="F227" i="3" s="1"/>
  <c r="E271" i="3"/>
  <c r="F271" i="3" s="1"/>
  <c r="E284" i="3"/>
  <c r="F284" i="3" s="1"/>
  <c r="E45" i="4"/>
  <c r="F45" i="4" s="1"/>
  <c r="E54" i="4"/>
  <c r="F54" i="4" s="1"/>
  <c r="E85" i="4"/>
  <c r="F85" i="4" s="1"/>
  <c r="E134" i="4"/>
  <c r="F134" i="4" s="1"/>
  <c r="E302" i="4"/>
  <c r="F302" i="4" s="1"/>
  <c r="E314" i="4"/>
  <c r="F314" i="4" s="1"/>
  <c r="E453" i="4"/>
  <c r="F453" i="4" s="1"/>
  <c r="E98" i="3"/>
  <c r="F98" i="3" s="1"/>
  <c r="E10" i="3"/>
  <c r="F10" i="3" s="1"/>
  <c r="E29" i="3"/>
  <c r="F29" i="3" s="1"/>
  <c r="E39" i="3"/>
  <c r="F39" i="3" s="1"/>
  <c r="E53" i="3"/>
  <c r="F53" i="3" s="1"/>
  <c r="E63" i="3"/>
  <c r="F63" i="3" s="1"/>
  <c r="E115" i="3"/>
  <c r="F115" i="3" s="1"/>
  <c r="E180" i="3"/>
  <c r="F180" i="3" s="1"/>
  <c r="E193" i="3"/>
  <c r="F193" i="3" s="1"/>
  <c r="E207" i="3"/>
  <c r="F207" i="3" s="1"/>
  <c r="E215" i="3"/>
  <c r="F215" i="3" s="1"/>
  <c r="E221" i="3"/>
  <c r="F221" i="3" s="1"/>
  <c r="E242" i="3"/>
  <c r="F242" i="3" s="1"/>
  <c r="E264" i="3"/>
  <c r="F264" i="3" s="1"/>
  <c r="E278" i="3"/>
  <c r="F278" i="3" s="1"/>
  <c r="E516" i="4"/>
  <c r="F516" i="4" s="1"/>
  <c r="E480" i="4"/>
  <c r="F480" i="4" s="1"/>
  <c r="E444" i="4"/>
  <c r="F444" i="4" s="1"/>
  <c r="E418" i="4"/>
  <c r="F418" i="4" s="1"/>
  <c r="E412" i="4"/>
  <c r="F412" i="4" s="1"/>
  <c r="E462" i="4"/>
  <c r="F462" i="4" s="1"/>
  <c r="E474" i="4"/>
  <c r="F474" i="4" s="1"/>
  <c r="E406" i="4"/>
  <c r="F406" i="4" s="1"/>
  <c r="E382" i="4"/>
  <c r="F382" i="4" s="1"/>
  <c r="E304" i="4"/>
  <c r="F304" i="4" s="1"/>
  <c r="E258" i="4"/>
  <c r="F258" i="4" s="1"/>
  <c r="E208" i="4"/>
  <c r="F208" i="4" s="1"/>
  <c r="E188" i="4"/>
  <c r="F188" i="4" s="1"/>
  <c r="E174" i="4"/>
  <c r="F174" i="4" s="1"/>
  <c r="E165" i="4"/>
  <c r="F165" i="4" s="1"/>
  <c r="E156" i="4"/>
  <c r="F156" i="4" s="1"/>
  <c r="E151" i="4"/>
  <c r="F151" i="4" s="1"/>
  <c r="E128" i="4"/>
  <c r="F128" i="4" s="1"/>
  <c r="E114" i="4"/>
  <c r="F114" i="4" s="1"/>
  <c r="E105" i="4"/>
  <c r="F105" i="4" s="1"/>
  <c r="E96" i="4"/>
  <c r="F96" i="4" s="1"/>
  <c r="E91" i="4"/>
  <c r="F91" i="4" s="1"/>
  <c r="E82" i="4"/>
  <c r="F82" i="4" s="1"/>
  <c r="E73" i="4"/>
  <c r="F73" i="4" s="1"/>
  <c r="E41" i="4"/>
  <c r="F41" i="4" s="1"/>
  <c r="E310" i="4"/>
  <c r="F310" i="4" s="1"/>
  <c r="E264" i="4"/>
  <c r="F264" i="4" s="1"/>
  <c r="E160" i="4"/>
  <c r="F160" i="4" s="1"/>
  <c r="E77" i="4"/>
  <c r="F77" i="4" s="1"/>
  <c r="E504" i="4"/>
  <c r="F504" i="4" s="1"/>
  <c r="E436" i="4"/>
  <c r="F436" i="4" s="1"/>
  <c r="E394" i="4"/>
  <c r="F394" i="4" s="1"/>
  <c r="E284" i="4"/>
  <c r="F284" i="4" s="1"/>
  <c r="E112" i="4"/>
  <c r="F112" i="4" s="1"/>
  <c r="E4" i="4"/>
  <c r="F4" i="4" s="1"/>
  <c r="E486" i="4"/>
  <c r="F486" i="4" s="1"/>
  <c r="E368" i="4"/>
  <c r="F368" i="4" s="1"/>
  <c r="E360" i="4"/>
  <c r="F360" i="4" s="1"/>
  <c r="E282" i="4"/>
  <c r="F282" i="4" s="1"/>
  <c r="E246" i="4"/>
  <c r="F246" i="4" s="1"/>
  <c r="E218" i="4"/>
  <c r="F218" i="4" s="1"/>
  <c r="E191" i="4"/>
  <c r="F191" i="4" s="1"/>
  <c r="E376" i="4"/>
  <c r="F376" i="4" s="1"/>
  <c r="E119" i="4"/>
  <c r="F119" i="4" s="1"/>
  <c r="E173" i="4"/>
  <c r="F173" i="4" s="1"/>
  <c r="E48" i="4"/>
  <c r="F48" i="4" s="1"/>
  <c r="E13" i="4"/>
  <c r="F13" i="4" s="1"/>
  <c r="E432" i="4"/>
  <c r="F432" i="4" s="1"/>
  <c r="E414" i="4"/>
  <c r="F414" i="4" s="1"/>
  <c r="E398" i="4"/>
  <c r="F398" i="4" s="1"/>
  <c r="E364" i="4"/>
  <c r="F364" i="4" s="1"/>
  <c r="E184" i="4"/>
  <c r="F184" i="4" s="1"/>
  <c r="E80" i="4"/>
  <c r="F80" i="4" s="1"/>
  <c r="E64" i="4"/>
  <c r="F64" i="4" s="1"/>
  <c r="E37" i="4"/>
  <c r="F37" i="4" s="1"/>
  <c r="E206" i="4"/>
  <c r="F206" i="4" s="1"/>
  <c r="E193" i="4"/>
  <c r="F193" i="4" s="1"/>
  <c r="E402" i="4"/>
  <c r="F402" i="4" s="1"/>
  <c r="E378" i="4"/>
  <c r="F378" i="4" s="1"/>
  <c r="E352" i="4"/>
  <c r="F352" i="4" s="1"/>
  <c r="E344" i="4"/>
  <c r="F344" i="4" s="1"/>
  <c r="E110" i="4"/>
  <c r="F110" i="4" s="1"/>
  <c r="E35" i="4"/>
  <c r="F35" i="4" s="1"/>
  <c r="E420" i="4"/>
  <c r="F420" i="4" s="1"/>
  <c r="E410" i="4"/>
  <c r="F410" i="4" s="1"/>
  <c r="E400" i="4"/>
  <c r="F400" i="4" s="1"/>
  <c r="E320" i="4"/>
  <c r="F320" i="4" s="1"/>
  <c r="E108" i="4"/>
  <c r="F108" i="4" s="1"/>
  <c r="E26" i="4"/>
  <c r="F26" i="4" s="1"/>
  <c r="E380" i="4"/>
  <c r="F380" i="4" s="1"/>
  <c r="E348" i="4"/>
  <c r="F348" i="4" s="1"/>
  <c r="E308" i="4"/>
  <c r="F308" i="4" s="1"/>
  <c r="E288" i="4"/>
  <c r="F288" i="4" s="1"/>
  <c r="E216" i="4"/>
  <c r="F216" i="4" s="1"/>
  <c r="E166" i="4"/>
  <c r="F166" i="4" s="1"/>
  <c r="E159" i="4"/>
  <c r="F159" i="4" s="1"/>
  <c r="E138" i="4"/>
  <c r="F138" i="4" s="1"/>
  <c r="E62" i="4"/>
  <c r="F62" i="4" s="1"/>
  <c r="E438" i="4"/>
  <c r="F438" i="4" s="1"/>
  <c r="E408" i="4"/>
  <c r="F408" i="4" s="1"/>
  <c r="E388" i="4"/>
  <c r="F388" i="4" s="1"/>
  <c r="E338" i="4"/>
  <c r="F338" i="4" s="1"/>
  <c r="E125" i="4"/>
  <c r="F125" i="4" s="1"/>
  <c r="E113" i="4"/>
  <c r="F113" i="4" s="1"/>
  <c r="E43" i="4"/>
  <c r="F43" i="4" s="1"/>
  <c r="E234" i="4"/>
  <c r="F234" i="4" s="1"/>
  <c r="E179" i="4"/>
  <c r="F179" i="4" s="1"/>
  <c r="E130" i="4"/>
  <c r="F130" i="4" s="1"/>
  <c r="E101" i="4"/>
  <c r="F101" i="4" s="1"/>
  <c r="E67" i="4"/>
  <c r="F67" i="4" s="1"/>
  <c r="E61" i="4"/>
  <c r="F61" i="4" s="1"/>
  <c r="E55" i="4"/>
  <c r="F55" i="4" s="1"/>
  <c r="E346" i="4"/>
  <c r="F346" i="4" s="1"/>
  <c r="E326" i="4"/>
  <c r="F326" i="4" s="1"/>
  <c r="E118" i="4"/>
  <c r="F118" i="4" s="1"/>
  <c r="E93" i="4"/>
  <c r="F93" i="4" s="1"/>
  <c r="E18" i="4"/>
  <c r="F18" i="4" s="1"/>
  <c r="E456" i="4"/>
  <c r="F456" i="4" s="1"/>
  <c r="E176" i="4"/>
  <c r="F176" i="4" s="1"/>
  <c r="E162" i="4"/>
  <c r="F162" i="4" s="1"/>
  <c r="E147" i="4"/>
  <c r="F147" i="4" s="1"/>
  <c r="E46" i="4"/>
  <c r="F46" i="4" s="1"/>
  <c r="E28" i="4"/>
  <c r="F28" i="4" s="1"/>
  <c r="E170" i="4"/>
  <c r="F170" i="4" s="1"/>
  <c r="E133" i="4"/>
  <c r="F133" i="4" s="1"/>
  <c r="E51" i="4"/>
  <c r="F51" i="4" s="1"/>
  <c r="E141" i="4"/>
  <c r="F141" i="4" s="1"/>
  <c r="E124" i="4"/>
  <c r="F124" i="4" s="1"/>
  <c r="E92" i="4"/>
  <c r="F92" i="4" s="1"/>
  <c r="E27" i="4"/>
  <c r="F27" i="4" s="1"/>
  <c r="E99" i="4"/>
  <c r="F99" i="4" s="1"/>
  <c r="E84" i="4"/>
  <c r="F84" i="4" s="1"/>
  <c r="E66" i="4"/>
  <c r="F66" i="4" s="1"/>
  <c r="E50" i="4"/>
  <c r="F50" i="4" s="1"/>
  <c r="E262" i="4"/>
  <c r="F262" i="4" s="1"/>
  <c r="E228" i="4"/>
  <c r="F228" i="4" s="1"/>
  <c r="E186" i="4"/>
  <c r="F186" i="4" s="1"/>
  <c r="E168" i="4"/>
  <c r="F168" i="4" s="1"/>
  <c r="E140" i="4"/>
  <c r="F140" i="4" s="1"/>
  <c r="E9" i="4"/>
  <c r="F9" i="4" s="1"/>
  <c r="E57" i="4"/>
  <c r="F57" i="4" s="1"/>
  <c r="E33" i="4"/>
  <c r="F33" i="4" s="1"/>
  <c r="E182" i="4"/>
  <c r="F182" i="4" s="1"/>
  <c r="E103" i="4"/>
  <c r="F103" i="4" s="1"/>
  <c r="E87" i="4"/>
  <c r="F87" i="4" s="1"/>
  <c r="E70" i="4"/>
  <c r="F70" i="4" s="1"/>
  <c r="E38" i="4"/>
  <c r="F38" i="4" s="1"/>
  <c r="E6" i="4"/>
  <c r="F6" i="4" s="1"/>
  <c r="E15" i="4"/>
  <c r="F15" i="4" s="1"/>
  <c r="E65" i="4"/>
  <c r="F65" i="4" s="1"/>
  <c r="E135" i="4"/>
  <c r="F135" i="4" s="1"/>
  <c r="E372" i="4"/>
  <c r="F372" i="4" s="1"/>
  <c r="M7" i="1"/>
  <c r="E173" i="3"/>
  <c r="F173" i="3" s="1"/>
  <c r="E199" i="3"/>
  <c r="F199" i="3" s="1"/>
  <c r="E206" i="3"/>
  <c r="F206" i="3" s="1"/>
  <c r="E255" i="3"/>
  <c r="F255" i="3" s="1"/>
  <c r="G6" i="1"/>
  <c r="G7" i="1" s="1"/>
  <c r="E58" i="3"/>
  <c r="F58" i="3" s="1"/>
  <c r="E72" i="3"/>
  <c r="F72" i="3" s="1"/>
  <c r="E109" i="3"/>
  <c r="F109" i="3" s="1"/>
  <c r="E174" i="3"/>
  <c r="F174" i="3" s="1"/>
  <c r="E234" i="3"/>
  <c r="F234" i="3" s="1"/>
  <c r="M9" i="1"/>
  <c r="E83" i="3"/>
  <c r="F83" i="3" s="1"/>
  <c r="E88" i="3"/>
  <c r="F88" i="3" s="1"/>
  <c r="E110" i="3"/>
  <c r="F110" i="3" s="1"/>
  <c r="E116" i="3"/>
  <c r="F116" i="3" s="1"/>
  <c r="E145" i="3"/>
  <c r="F145" i="3" s="1"/>
  <c r="E163" i="3"/>
  <c r="F163" i="3" s="1"/>
  <c r="E181" i="3"/>
  <c r="F181" i="3" s="1"/>
  <c r="E201" i="3"/>
  <c r="F201" i="3" s="1"/>
  <c r="E208" i="3"/>
  <c r="F208" i="3" s="1"/>
  <c r="E249" i="3"/>
  <c r="F249" i="3" s="1"/>
  <c r="E258" i="3"/>
  <c r="F258" i="3" s="1"/>
  <c r="E272" i="3"/>
  <c r="F272" i="3" s="1"/>
  <c r="E56" i="4"/>
  <c r="F56" i="4" s="1"/>
  <c r="E97" i="4"/>
  <c r="F97" i="4" s="1"/>
  <c r="E146" i="4"/>
  <c r="F146" i="4" s="1"/>
  <c r="E190" i="4"/>
  <c r="F190" i="4" s="1"/>
  <c r="E222" i="4"/>
  <c r="F222" i="4" s="1"/>
  <c r="E362" i="4"/>
  <c r="F362" i="4" s="1"/>
  <c r="E108" i="3"/>
  <c r="F108" i="3" s="1"/>
  <c r="E5" i="3"/>
  <c r="F5" i="3" s="1"/>
  <c r="E15" i="3"/>
  <c r="F15" i="3" s="1"/>
  <c r="E34" i="3"/>
  <c r="F34" i="3" s="1"/>
  <c r="E77" i="3"/>
  <c r="F77" i="3" s="1"/>
  <c r="E104" i="3"/>
  <c r="F104" i="3" s="1"/>
  <c r="E138" i="3"/>
  <c r="F138" i="3" s="1"/>
  <c r="E248" i="3"/>
  <c r="F248" i="3" s="1"/>
  <c r="J6" i="1"/>
  <c r="J9" i="1" s="1"/>
  <c r="E105" i="3"/>
  <c r="F105" i="3" s="1"/>
  <c r="E157" i="3"/>
  <c r="F157" i="3" s="1"/>
  <c r="E175" i="3"/>
  <c r="F175" i="3" s="1"/>
  <c r="E182" i="3"/>
  <c r="F182" i="3" s="1"/>
  <c r="E194" i="3"/>
  <c r="F194" i="3" s="1"/>
  <c r="E202" i="3"/>
  <c r="F202" i="3" s="1"/>
  <c r="E7" i="4"/>
  <c r="F7" i="4" s="1"/>
  <c r="E39" i="4"/>
  <c r="F39" i="4" s="1"/>
  <c r="E78" i="4"/>
  <c r="F78" i="4" s="1"/>
  <c r="E88" i="4"/>
  <c r="F88" i="4" s="1"/>
  <c r="E126" i="4"/>
  <c r="F126" i="4" s="1"/>
  <c r="E136" i="4"/>
  <c r="F136" i="4" s="1"/>
  <c r="E212" i="4"/>
  <c r="F212" i="4" s="1"/>
  <c r="E16" i="3"/>
  <c r="F16" i="3" s="1"/>
  <c r="E40" i="3"/>
  <c r="F40" i="3" s="1"/>
  <c r="E64" i="3"/>
  <c r="F64" i="3" s="1"/>
  <c r="E73" i="3"/>
  <c r="F73" i="3" s="1"/>
  <c r="E100" i="3"/>
  <c r="F100" i="3" s="1"/>
  <c r="E117" i="3"/>
  <c r="F117" i="3" s="1"/>
  <c r="E140" i="3"/>
  <c r="F140" i="3" s="1"/>
  <c r="E146" i="3"/>
  <c r="F146" i="3" s="1"/>
  <c r="E152" i="3"/>
  <c r="F152" i="3" s="1"/>
  <c r="E164" i="3"/>
  <c r="F164" i="3" s="1"/>
  <c r="E170" i="3"/>
  <c r="F170" i="3" s="1"/>
  <c r="E176" i="3"/>
  <c r="F176" i="3" s="1"/>
  <c r="E209" i="3"/>
  <c r="F209" i="3" s="1"/>
  <c r="E216" i="3"/>
  <c r="F216" i="3" s="1"/>
  <c r="E223" i="3"/>
  <c r="F223" i="3" s="1"/>
  <c r="E229" i="3"/>
  <c r="F229" i="3" s="1"/>
  <c r="E236" i="3"/>
  <c r="F236" i="3" s="1"/>
  <c r="E259" i="3"/>
  <c r="F259" i="3" s="1"/>
  <c r="E266" i="3"/>
  <c r="F266" i="3" s="1"/>
  <c r="E117" i="4"/>
  <c r="F117" i="4" s="1"/>
  <c r="E127" i="4"/>
  <c r="F127" i="4" s="1"/>
  <c r="E148" i="4"/>
  <c r="F148" i="4" s="1"/>
  <c r="E270" i="4"/>
  <c r="F270" i="4" s="1"/>
  <c r="E294" i="4"/>
  <c r="F294" i="4" s="1"/>
  <c r="E306" i="4"/>
  <c r="F306" i="4" s="1"/>
  <c r="E74" i="3"/>
  <c r="F74" i="3" s="1"/>
  <c r="E84" i="3"/>
  <c r="F84" i="3" s="1"/>
  <c r="E89" i="3"/>
  <c r="F89" i="3" s="1"/>
  <c r="E129" i="3"/>
  <c r="F129" i="3" s="1"/>
  <c r="E135" i="3"/>
  <c r="F135" i="3" s="1"/>
  <c r="E203" i="3"/>
  <c r="F203" i="3" s="1"/>
  <c r="E230" i="3"/>
  <c r="F230" i="3" s="1"/>
  <c r="E244" i="3"/>
  <c r="F244" i="3" s="1"/>
  <c r="E251" i="3"/>
  <c r="F251" i="3" s="1"/>
  <c r="E273" i="3"/>
  <c r="F273" i="3" s="1"/>
  <c r="E29" i="4"/>
  <c r="F29" i="4" s="1"/>
  <c r="E171" i="4"/>
  <c r="F171" i="4" s="1"/>
  <c r="E203" i="4"/>
  <c r="F203" i="4" s="1"/>
  <c r="E248" i="4"/>
  <c r="F248" i="4" s="1"/>
  <c r="E102" i="3"/>
  <c r="F102" i="3" s="1"/>
  <c r="E53" i="4"/>
  <c r="F53" i="4" s="1"/>
  <c r="E95" i="4"/>
  <c r="F95" i="4" s="1"/>
  <c r="E192" i="4"/>
  <c r="F192" i="4" s="1"/>
  <c r="E202" i="4"/>
  <c r="F202" i="4" s="1"/>
  <c r="E213" i="4"/>
  <c r="F213" i="4" s="1"/>
  <c r="E16" i="4"/>
  <c r="F16" i="4" s="1"/>
  <c r="E25" i="4"/>
  <c r="F25" i="4" s="1"/>
  <c r="E49" i="4"/>
  <c r="F49" i="4" s="1"/>
  <c r="E106" i="4"/>
  <c r="F106" i="4" s="1"/>
  <c r="E196" i="4"/>
  <c r="F196" i="4" s="1"/>
  <c r="E239" i="4"/>
  <c r="F239" i="4" s="1"/>
  <c r="E342" i="4"/>
  <c r="F342" i="4" s="1"/>
  <c r="E189" i="3"/>
  <c r="F189" i="3" s="1"/>
  <c r="E237" i="3"/>
  <c r="F237" i="3" s="1"/>
  <c r="E243" i="3"/>
  <c r="F243" i="3" s="1"/>
  <c r="E267" i="3"/>
  <c r="F267" i="3" s="1"/>
  <c r="E279" i="3"/>
  <c r="F279" i="3" s="1"/>
  <c r="E74" i="4"/>
  <c r="F74" i="4" s="1"/>
  <c r="E149" i="4"/>
  <c r="F149" i="4" s="1"/>
  <c r="E219" i="4"/>
  <c r="F219" i="4" s="1"/>
  <c r="E252" i="4"/>
  <c r="F252" i="4" s="1"/>
  <c r="E274" i="4"/>
  <c r="F274" i="4" s="1"/>
  <c r="E17" i="4"/>
  <c r="F17" i="4" s="1"/>
  <c r="E58" i="4"/>
  <c r="F58" i="4" s="1"/>
  <c r="E115" i="4"/>
  <c r="F115" i="4" s="1"/>
  <c r="E132" i="4"/>
  <c r="F132" i="4" s="1"/>
  <c r="E178" i="4"/>
  <c r="F178" i="4" s="1"/>
  <c r="E253" i="4"/>
  <c r="F253" i="4" s="1"/>
  <c r="E275" i="4"/>
  <c r="F275" i="4" s="1"/>
  <c r="E286" i="4"/>
  <c r="F286" i="4" s="1"/>
  <c r="E298" i="4"/>
  <c r="F298" i="4" s="1"/>
  <c r="E232" i="3"/>
  <c r="F232" i="3" s="1"/>
  <c r="E256" i="3"/>
  <c r="F256" i="3" s="1"/>
  <c r="E268" i="3"/>
  <c r="F268" i="3" s="1"/>
  <c r="E10" i="4"/>
  <c r="F10" i="4" s="1"/>
  <c r="E76" i="4"/>
  <c r="F76" i="4" s="1"/>
  <c r="E100" i="4"/>
  <c r="F100" i="4" s="1"/>
  <c r="E116" i="4"/>
  <c r="F116" i="4" s="1"/>
  <c r="E210" i="4"/>
  <c r="F210" i="4" s="1"/>
  <c r="E242" i="4"/>
  <c r="F242" i="4" s="1"/>
  <c r="E254" i="4"/>
  <c r="F254" i="4" s="1"/>
  <c r="E311" i="4"/>
  <c r="F311" i="4" s="1"/>
  <c r="E120" i="3"/>
  <c r="F120" i="3" s="1"/>
  <c r="E125" i="3"/>
  <c r="F125" i="3" s="1"/>
  <c r="E149" i="3"/>
  <c r="F149" i="3" s="1"/>
  <c r="E195" i="3"/>
  <c r="F195" i="3" s="1"/>
  <c r="E250" i="3"/>
  <c r="F250" i="3" s="1"/>
  <c r="E19" i="4"/>
  <c r="F19" i="4" s="1"/>
  <c r="E36" i="4"/>
  <c r="F36" i="4" s="1"/>
  <c r="E44" i="4"/>
  <c r="F44" i="4" s="1"/>
  <c r="E200" i="4"/>
  <c r="F200" i="4" s="1"/>
  <c r="E231" i="4"/>
  <c r="F231" i="4" s="1"/>
  <c r="E312" i="4"/>
  <c r="F312" i="4" s="1"/>
  <c r="E277" i="3"/>
  <c r="F277" i="3" s="1"/>
  <c r="E11" i="4"/>
  <c r="F11" i="4" s="1"/>
  <c r="E40" i="4"/>
  <c r="F40" i="4" s="1"/>
  <c r="E72" i="4"/>
  <c r="F72" i="4" s="1"/>
  <c r="E86" i="4"/>
  <c r="F86" i="4" s="1"/>
  <c r="E98" i="4"/>
  <c r="F98" i="4" s="1"/>
  <c r="E155" i="4"/>
  <c r="F155" i="4" s="1"/>
  <c r="E169" i="4"/>
  <c r="F169" i="4" s="1"/>
  <c r="E221" i="4"/>
  <c r="F221" i="4" s="1"/>
  <c r="E230" i="4"/>
  <c r="F230" i="4" s="1"/>
  <c r="E251" i="4"/>
  <c r="F251" i="4" s="1"/>
  <c r="E333" i="4"/>
  <c r="F333" i="4" s="1"/>
  <c r="E353" i="4"/>
  <c r="F353" i="4" s="1"/>
  <c r="E374" i="4"/>
  <c r="F374" i="4" s="1"/>
  <c r="E454" i="4"/>
  <c r="F454" i="4" s="1"/>
  <c r="E356" i="4"/>
  <c r="F356" i="4" s="1"/>
  <c r="E366" i="4"/>
  <c r="F366" i="4" s="1"/>
  <c r="E386" i="4"/>
  <c r="F386" i="4" s="1"/>
  <c r="E426" i="4"/>
  <c r="F426" i="4" s="1"/>
  <c r="E42" i="4"/>
  <c r="F42" i="4" s="1"/>
  <c r="E158" i="4"/>
  <c r="F158" i="4" s="1"/>
  <c r="E172" i="4"/>
  <c r="F172" i="4" s="1"/>
  <c r="E187" i="4"/>
  <c r="F187" i="4" s="1"/>
  <c r="E205" i="4"/>
  <c r="F205" i="4" s="1"/>
  <c r="E214" i="4"/>
  <c r="F214" i="4" s="1"/>
  <c r="E244" i="4"/>
  <c r="F244" i="4" s="1"/>
  <c r="E317" i="4"/>
  <c r="F317" i="4" s="1"/>
  <c r="E337" i="4"/>
  <c r="F337" i="4" s="1"/>
  <c r="E387" i="4"/>
  <c r="F387" i="4" s="1"/>
  <c r="E396" i="4"/>
  <c r="F396" i="4" s="1"/>
  <c r="E513" i="4"/>
  <c r="F513" i="4" s="1"/>
  <c r="E94" i="4"/>
  <c r="F94" i="4" s="1"/>
  <c r="E150" i="4"/>
  <c r="F150" i="4" s="1"/>
  <c r="E245" i="4"/>
  <c r="F245" i="4" s="1"/>
  <c r="E256" i="4"/>
  <c r="F256" i="4" s="1"/>
  <c r="E266" i="4"/>
  <c r="F266" i="4" s="1"/>
  <c r="E131" i="4"/>
  <c r="F131" i="4" s="1"/>
  <c r="E180" i="4"/>
  <c r="F180" i="4" s="1"/>
  <c r="E225" i="4"/>
  <c r="F225" i="4" s="1"/>
  <c r="E278" i="4"/>
  <c r="F278" i="4" s="1"/>
  <c r="E328" i="4"/>
  <c r="F328" i="4" s="1"/>
  <c r="E492" i="4"/>
  <c r="F492" i="4" s="1"/>
  <c r="E245" i="3"/>
  <c r="F245" i="3" s="1"/>
  <c r="E275" i="3"/>
  <c r="F275" i="3" s="1"/>
  <c r="E8" i="4"/>
  <c r="F8" i="4" s="1"/>
  <c r="E69" i="4"/>
  <c r="F69" i="4" s="1"/>
  <c r="E83" i="4"/>
  <c r="F83" i="4" s="1"/>
  <c r="E102" i="4"/>
  <c r="F102" i="4" s="1"/>
  <c r="E152" i="4"/>
  <c r="F152" i="4" s="1"/>
  <c r="E181" i="4"/>
  <c r="F181" i="4" s="1"/>
  <c r="E189" i="4"/>
  <c r="F189" i="4" s="1"/>
  <c r="E198" i="4"/>
  <c r="F198" i="4" s="1"/>
  <c r="E207" i="4"/>
  <c r="F207" i="4" s="1"/>
  <c r="E226" i="4"/>
  <c r="F226" i="4" s="1"/>
  <c r="E267" i="4"/>
  <c r="F267" i="4" s="1"/>
  <c r="E134" i="3"/>
  <c r="F134" i="3" s="1"/>
  <c r="E145" i="4"/>
  <c r="F145" i="4" s="1"/>
  <c r="E217" i="4"/>
  <c r="F217" i="4" s="1"/>
  <c r="E280" i="4"/>
  <c r="F280" i="4" s="1"/>
  <c r="E289" i="4"/>
  <c r="F289" i="4" s="1"/>
  <c r="E330" i="4"/>
  <c r="F330" i="4" s="1"/>
  <c r="E461" i="4"/>
  <c r="F461" i="4" s="1"/>
  <c r="E321" i="4"/>
  <c r="F321" i="4" s="1"/>
  <c r="E430" i="4"/>
  <c r="F430" i="4" s="1"/>
  <c r="E495" i="4"/>
  <c r="F495" i="4" s="1"/>
  <c r="E30" i="4"/>
  <c r="F30" i="4" s="1"/>
  <c r="E89" i="4"/>
  <c r="F89" i="4" s="1"/>
  <c r="E137" i="4"/>
  <c r="F137" i="4" s="1"/>
  <c r="E229" i="4"/>
  <c r="F229" i="4" s="1"/>
  <c r="E238" i="4"/>
  <c r="F238" i="4" s="1"/>
  <c r="E247" i="4"/>
  <c r="F247" i="4" s="1"/>
  <c r="E292" i="4"/>
  <c r="F292" i="4" s="1"/>
  <c r="E318" i="4"/>
  <c r="F318" i="4" s="1"/>
  <c r="E370" i="4"/>
  <c r="F370" i="4" s="1"/>
  <c r="E429" i="4"/>
  <c r="F429" i="4" s="1"/>
  <c r="E467" i="4"/>
  <c r="F467" i="4" s="1"/>
  <c r="E177" i="4"/>
  <c r="F177" i="4" s="1"/>
  <c r="E240" i="4"/>
  <c r="F240" i="4" s="1"/>
  <c r="E259" i="4"/>
  <c r="F259" i="4" s="1"/>
  <c r="E276" i="4"/>
  <c r="F276" i="4" s="1"/>
  <c r="E293" i="4"/>
  <c r="F293" i="4" s="1"/>
  <c r="E354" i="4"/>
  <c r="F354" i="4" s="1"/>
  <c r="E107" i="4"/>
  <c r="F107" i="4" s="1"/>
  <c r="E123" i="4"/>
  <c r="F123" i="4" s="1"/>
  <c r="E167" i="4"/>
  <c r="F167" i="4" s="1"/>
  <c r="E201" i="4"/>
  <c r="F201" i="4" s="1"/>
  <c r="E268" i="4"/>
  <c r="F268" i="4" s="1"/>
  <c r="E322" i="4"/>
  <c r="F322" i="4" s="1"/>
  <c r="E331" i="4"/>
  <c r="F331" i="4" s="1"/>
  <c r="E340" i="4"/>
  <c r="F340" i="4" s="1"/>
  <c r="E347" i="4"/>
  <c r="F347" i="4" s="1"/>
  <c r="E357" i="4"/>
  <c r="F357" i="4" s="1"/>
  <c r="E381" i="4"/>
  <c r="F381" i="4" s="1"/>
  <c r="E424" i="4"/>
  <c r="F424" i="4" s="1"/>
  <c r="E442" i="4"/>
  <c r="F442" i="4" s="1"/>
  <c r="E452" i="4"/>
  <c r="F452" i="4" s="1"/>
  <c r="E471" i="4"/>
  <c r="F471" i="4" s="1"/>
  <c r="E503" i="4"/>
  <c r="F503" i="4" s="1"/>
  <c r="E75" i="4"/>
  <c r="F75" i="4" s="1"/>
  <c r="E195" i="4"/>
  <c r="F195" i="4" s="1"/>
  <c r="E243" i="4"/>
  <c r="F243" i="4" s="1"/>
  <c r="E261" i="4"/>
  <c r="F261" i="4" s="1"/>
  <c r="E269" i="4"/>
  <c r="F269" i="4" s="1"/>
  <c r="E279" i="4"/>
  <c r="F279" i="4" s="1"/>
  <c r="E297" i="4"/>
  <c r="F297" i="4" s="1"/>
  <c r="E305" i="4"/>
  <c r="F305" i="4" s="1"/>
  <c r="E313" i="4"/>
  <c r="F313" i="4" s="1"/>
  <c r="E358" i="4"/>
  <c r="F358" i="4" s="1"/>
  <c r="E365" i="4"/>
  <c r="F365" i="4" s="1"/>
  <c r="E399" i="4"/>
  <c r="F399" i="4" s="1"/>
  <c r="E407" i="4"/>
  <c r="F407" i="4" s="1"/>
  <c r="E443" i="4"/>
  <c r="F443" i="4" s="1"/>
  <c r="E472" i="4"/>
  <c r="F472" i="4" s="1"/>
  <c r="E227" i="4"/>
  <c r="F227" i="4" s="1"/>
  <c r="E235" i="4"/>
  <c r="F235" i="4" s="1"/>
  <c r="E272" i="4"/>
  <c r="F272" i="4" s="1"/>
  <c r="E290" i="4"/>
  <c r="F290" i="4" s="1"/>
  <c r="E307" i="4"/>
  <c r="F307" i="4" s="1"/>
  <c r="E316" i="4"/>
  <c r="F316" i="4" s="1"/>
  <c r="E325" i="4"/>
  <c r="F325" i="4" s="1"/>
  <c r="E334" i="4"/>
  <c r="F334" i="4" s="1"/>
  <c r="E393" i="4"/>
  <c r="F393" i="4" s="1"/>
  <c r="E417" i="4"/>
  <c r="F417" i="4" s="1"/>
  <c r="E496" i="4"/>
  <c r="F496" i="4" s="1"/>
  <c r="E164" i="4"/>
  <c r="F164" i="4" s="1"/>
  <c r="E197" i="4"/>
  <c r="F197" i="4" s="1"/>
  <c r="E204" i="4"/>
  <c r="F204" i="4" s="1"/>
  <c r="E211" i="4"/>
  <c r="F211" i="4" s="1"/>
  <c r="E236" i="4"/>
  <c r="F236" i="4" s="1"/>
  <c r="E273" i="4"/>
  <c r="F273" i="4" s="1"/>
  <c r="E299" i="4"/>
  <c r="F299" i="4" s="1"/>
  <c r="E351" i="4"/>
  <c r="F351" i="4" s="1"/>
  <c r="E497" i="4"/>
  <c r="F497" i="4" s="1"/>
  <c r="F58" i="5"/>
  <c r="F69" i="5"/>
  <c r="F217" i="5"/>
  <c r="F106" i="5"/>
  <c r="F170" i="5"/>
  <c r="E220" i="4"/>
  <c r="F220" i="4" s="1"/>
  <c r="E291" i="4"/>
  <c r="F291" i="4" s="1"/>
  <c r="E300" i="4"/>
  <c r="F300" i="4" s="1"/>
  <c r="E315" i="4"/>
  <c r="F315" i="4" s="1"/>
  <c r="E332" i="4"/>
  <c r="F332" i="4" s="1"/>
  <c r="E401" i="4"/>
  <c r="F401" i="4" s="1"/>
  <c r="E445" i="4"/>
  <c r="F445" i="4" s="1"/>
  <c r="E514" i="4"/>
  <c r="F514" i="4" s="1"/>
  <c r="E2" i="5"/>
  <c r="E633" i="5"/>
  <c r="E631" i="5"/>
  <c r="E629" i="5"/>
  <c r="E627" i="5"/>
  <c r="E625" i="5"/>
  <c r="E623" i="5"/>
  <c r="E621" i="5"/>
  <c r="E619" i="5"/>
  <c r="E617" i="5"/>
  <c r="E615" i="5"/>
  <c r="E613" i="5"/>
  <c r="E611" i="5"/>
  <c r="E609" i="5"/>
  <c r="E607" i="5"/>
  <c r="E605" i="5"/>
  <c r="E603" i="5"/>
  <c r="E601" i="5"/>
  <c r="E599" i="5"/>
  <c r="E597" i="5"/>
  <c r="E595" i="5"/>
  <c r="E593" i="5"/>
  <c r="E591" i="5"/>
  <c r="E589" i="5"/>
  <c r="E587" i="5"/>
  <c r="E585" i="5"/>
  <c r="E583" i="5"/>
  <c r="E581" i="5"/>
  <c r="E579" i="5"/>
  <c r="E577" i="5"/>
  <c r="E575" i="5"/>
  <c r="E573" i="5"/>
  <c r="E571" i="5"/>
  <c r="E569" i="5"/>
  <c r="E567" i="5"/>
  <c r="E565" i="5"/>
  <c r="E563" i="5"/>
  <c r="E561" i="5"/>
  <c r="E559" i="5"/>
  <c r="E557" i="5"/>
  <c r="E555" i="5"/>
  <c r="E553" i="5"/>
  <c r="E551" i="5"/>
  <c r="E549" i="5"/>
  <c r="E547" i="5"/>
  <c r="E545" i="5"/>
  <c r="E543" i="5"/>
  <c r="E541" i="5"/>
  <c r="E539" i="5"/>
  <c r="E537" i="5"/>
  <c r="E535" i="5"/>
  <c r="E533" i="5"/>
  <c r="E531" i="5"/>
  <c r="E529" i="5"/>
  <c r="E527" i="5"/>
  <c r="E525" i="5"/>
  <c r="E523" i="5"/>
  <c r="E521" i="5"/>
  <c r="E519" i="5"/>
  <c r="E517" i="5"/>
  <c r="E515" i="5"/>
  <c r="E513" i="5"/>
  <c r="E511" i="5"/>
  <c r="E509" i="5"/>
  <c r="E507" i="5"/>
  <c r="E505" i="5"/>
  <c r="E503" i="5"/>
  <c r="E632" i="5"/>
  <c r="E630" i="5"/>
  <c r="E622" i="5"/>
  <c r="E614" i="5"/>
  <c r="E606" i="5"/>
  <c r="E598" i="5"/>
  <c r="E590" i="5"/>
  <c r="E582" i="5"/>
  <c r="E574" i="5"/>
  <c r="E566" i="5"/>
  <c r="E558" i="5"/>
  <c r="E550" i="5"/>
  <c r="E542" i="5"/>
  <c r="E534" i="5"/>
  <c r="E526" i="5"/>
  <c r="E518" i="5"/>
  <c r="E510" i="5"/>
  <c r="E496" i="5"/>
  <c r="E483" i="5"/>
  <c r="E472" i="5"/>
  <c r="E498" i="5"/>
  <c r="E485" i="5"/>
  <c r="E474" i="5"/>
  <c r="E500" i="5"/>
  <c r="E487" i="5"/>
  <c r="E476" i="5"/>
  <c r="E463" i="5"/>
  <c r="E461" i="5"/>
  <c r="E459" i="5"/>
  <c r="E457" i="5"/>
  <c r="E455" i="5"/>
  <c r="E453" i="5"/>
  <c r="E451" i="5"/>
  <c r="E449" i="5"/>
  <c r="E447" i="5"/>
  <c r="E445" i="5"/>
  <c r="E443" i="5"/>
  <c r="E441" i="5"/>
  <c r="E439" i="5"/>
  <c r="E437" i="5"/>
  <c r="E435" i="5"/>
  <c r="E433" i="5"/>
  <c r="E431" i="5"/>
  <c r="E429" i="5"/>
  <c r="E427" i="5"/>
  <c r="E425" i="5"/>
  <c r="E423" i="5"/>
  <c r="E421" i="5"/>
  <c r="E419" i="5"/>
  <c r="E417" i="5"/>
  <c r="E415" i="5"/>
  <c r="E413" i="5"/>
  <c r="E411" i="5"/>
  <c r="E409" i="5"/>
  <c r="E407" i="5"/>
  <c r="E405" i="5"/>
  <c r="E403" i="5"/>
  <c r="E401" i="5"/>
  <c r="E399" i="5"/>
  <c r="E397" i="5"/>
  <c r="E395" i="5"/>
  <c r="E393" i="5"/>
  <c r="E391" i="5"/>
  <c r="E389" i="5"/>
  <c r="E387" i="5"/>
  <c r="E385" i="5"/>
  <c r="E383" i="5"/>
  <c r="E381" i="5"/>
  <c r="E379" i="5"/>
  <c r="E377" i="5"/>
  <c r="E375" i="5"/>
  <c r="E373" i="5"/>
  <c r="E371" i="5"/>
  <c r="E369" i="5"/>
  <c r="E367" i="5"/>
  <c r="E365" i="5"/>
  <c r="E363" i="5"/>
  <c r="E361" i="5"/>
  <c r="E359" i="5"/>
  <c r="E357" i="5"/>
  <c r="E355" i="5"/>
  <c r="E353" i="5"/>
  <c r="E351" i="5"/>
  <c r="E349" i="5"/>
  <c r="E347" i="5"/>
  <c r="E345" i="5"/>
  <c r="E624" i="5"/>
  <c r="E616" i="5"/>
  <c r="E608" i="5"/>
  <c r="E600" i="5"/>
  <c r="E592" i="5"/>
  <c r="E584" i="5"/>
  <c r="E576" i="5"/>
  <c r="E568" i="5"/>
  <c r="E560" i="5"/>
  <c r="E552" i="5"/>
  <c r="E544" i="5"/>
  <c r="E536" i="5"/>
  <c r="E528" i="5"/>
  <c r="E520" i="5"/>
  <c r="E512" i="5"/>
  <c r="E502" i="5"/>
  <c r="E489" i="5"/>
  <c r="E478" i="5"/>
  <c r="E465" i="5"/>
  <c r="E491" i="5"/>
  <c r="E480" i="5"/>
  <c r="E467" i="5"/>
  <c r="E504" i="5"/>
  <c r="E493" i="5"/>
  <c r="E482" i="5"/>
  <c r="E469" i="5"/>
  <c r="E626" i="5"/>
  <c r="E618" i="5"/>
  <c r="E610" i="5"/>
  <c r="E602" i="5"/>
  <c r="E594" i="5"/>
  <c r="E586" i="5"/>
  <c r="E578" i="5"/>
  <c r="E570" i="5"/>
  <c r="E562" i="5"/>
  <c r="E554" i="5"/>
  <c r="E546" i="5"/>
  <c r="E538" i="5"/>
  <c r="E530" i="5"/>
  <c r="E522" i="5"/>
  <c r="E514" i="5"/>
  <c r="E495" i="5"/>
  <c r="E484" i="5"/>
  <c r="E471" i="5"/>
  <c r="E494" i="5"/>
  <c r="E481" i="5"/>
  <c r="E470" i="5"/>
  <c r="E497" i="5"/>
  <c r="E388" i="5"/>
  <c r="E380" i="5"/>
  <c r="E350" i="5"/>
  <c r="E506" i="5"/>
  <c r="E475" i="5"/>
  <c r="E370" i="5"/>
  <c r="E352" i="5"/>
  <c r="E612" i="5"/>
  <c r="E588" i="5"/>
  <c r="E564" i="5"/>
  <c r="E540" i="5"/>
  <c r="E516" i="5"/>
  <c r="E490" i="5"/>
  <c r="E468" i="5"/>
  <c r="E462" i="5"/>
  <c r="E456" i="5"/>
  <c r="E450" i="5"/>
  <c r="E444" i="5"/>
  <c r="E438" i="5"/>
  <c r="E432" i="5"/>
  <c r="E426" i="5"/>
  <c r="E420" i="5"/>
  <c r="E414" i="5"/>
  <c r="E408" i="5"/>
  <c r="E402" i="5"/>
  <c r="E396" i="5"/>
  <c r="E390" i="5"/>
  <c r="E382" i="5"/>
  <c r="E372" i="5"/>
  <c r="E356" i="5"/>
  <c r="E343" i="5"/>
  <c r="E341" i="5"/>
  <c r="E339" i="5"/>
  <c r="E337" i="5"/>
  <c r="E335" i="5"/>
  <c r="E333" i="5"/>
  <c r="E331" i="5"/>
  <c r="E329" i="5"/>
  <c r="E327" i="5"/>
  <c r="E325" i="5"/>
  <c r="E323" i="5"/>
  <c r="E321" i="5"/>
  <c r="E319" i="5"/>
  <c r="E317" i="5"/>
  <c r="E315" i="5"/>
  <c r="E313" i="5"/>
  <c r="E311" i="5"/>
  <c r="E309" i="5"/>
  <c r="E307" i="5"/>
  <c r="E305" i="5"/>
  <c r="E303" i="5"/>
  <c r="E301" i="5"/>
  <c r="E299" i="5"/>
  <c r="E297" i="5"/>
  <c r="E295" i="5"/>
  <c r="E293" i="5"/>
  <c r="E291" i="5"/>
  <c r="E289" i="5"/>
  <c r="E287" i="5"/>
  <c r="E285" i="5"/>
  <c r="E283" i="5"/>
  <c r="E281" i="5"/>
  <c r="E279" i="5"/>
  <c r="E277" i="5"/>
  <c r="E275" i="5"/>
  <c r="E273" i="5"/>
  <c r="E271" i="5"/>
  <c r="E269" i="5"/>
  <c r="E267" i="5"/>
  <c r="E265" i="5"/>
  <c r="E263" i="5"/>
  <c r="E261" i="5"/>
  <c r="E259" i="5"/>
  <c r="E257" i="5"/>
  <c r="E255" i="5"/>
  <c r="E253" i="5"/>
  <c r="E251" i="5"/>
  <c r="E249" i="5"/>
  <c r="E247" i="5"/>
  <c r="E245" i="5"/>
  <c r="E243" i="5"/>
  <c r="E241" i="5"/>
  <c r="E239" i="5"/>
  <c r="E237" i="5"/>
  <c r="E235" i="5"/>
  <c r="E233" i="5"/>
  <c r="E231" i="5"/>
  <c r="E229" i="5"/>
  <c r="E227" i="5"/>
  <c r="E225" i="5"/>
  <c r="E223" i="5"/>
  <c r="E221" i="5"/>
  <c r="E219" i="5"/>
  <c r="E217" i="5"/>
  <c r="E215" i="5"/>
  <c r="E213" i="5"/>
  <c r="E211" i="5"/>
  <c r="E209" i="5"/>
  <c r="E358" i="5"/>
  <c r="E499" i="5"/>
  <c r="E486" i="5"/>
  <c r="E477" i="5"/>
  <c r="E374" i="5"/>
  <c r="E360" i="5"/>
  <c r="E628" i="5"/>
  <c r="E604" i="5"/>
  <c r="E580" i="5"/>
  <c r="E556" i="5"/>
  <c r="E532" i="5"/>
  <c r="E508" i="5"/>
  <c r="E492" i="5"/>
  <c r="E464" i="5"/>
  <c r="E458" i="5"/>
  <c r="E452" i="5"/>
  <c r="E446" i="5"/>
  <c r="E440" i="5"/>
  <c r="E434" i="5"/>
  <c r="E428" i="5"/>
  <c r="E422" i="5"/>
  <c r="E416" i="5"/>
  <c r="E410" i="5"/>
  <c r="E404" i="5"/>
  <c r="E398" i="5"/>
  <c r="E392" i="5"/>
  <c r="E384" i="5"/>
  <c r="E362" i="5"/>
  <c r="E376" i="5"/>
  <c r="E364" i="5"/>
  <c r="E501" i="5"/>
  <c r="E386" i="5"/>
  <c r="E378" i="5"/>
  <c r="E366" i="5"/>
  <c r="E344" i="5"/>
  <c r="E342" i="5"/>
  <c r="E340" i="5"/>
  <c r="E338" i="5"/>
  <c r="E336" i="5"/>
  <c r="E334" i="5"/>
  <c r="E332" i="5"/>
  <c r="E330" i="5"/>
  <c r="E328" i="5"/>
  <c r="E326" i="5"/>
  <c r="E324" i="5"/>
  <c r="E322" i="5"/>
  <c r="E320" i="5"/>
  <c r="E318" i="5"/>
  <c r="E316" i="5"/>
  <c r="E314" i="5"/>
  <c r="E312" i="5"/>
  <c r="E310" i="5"/>
  <c r="E308" i="5"/>
  <c r="E306" i="5"/>
  <c r="E304" i="5"/>
  <c r="E302" i="5"/>
  <c r="E300" i="5"/>
  <c r="E298" i="5"/>
  <c r="E296" i="5"/>
  <c r="E294" i="5"/>
  <c r="E292" i="5"/>
  <c r="E290" i="5"/>
  <c r="E288" i="5"/>
  <c r="E286" i="5"/>
  <c r="E284" i="5"/>
  <c r="E282" i="5"/>
  <c r="E280" i="5"/>
  <c r="E278" i="5"/>
  <c r="E276" i="5"/>
  <c r="E274" i="5"/>
  <c r="E272" i="5"/>
  <c r="E270" i="5"/>
  <c r="E268" i="5"/>
  <c r="E266" i="5"/>
  <c r="E264" i="5"/>
  <c r="E262" i="5"/>
  <c r="E260" i="5"/>
  <c r="E258" i="5"/>
  <c r="E256" i="5"/>
  <c r="E254" i="5"/>
  <c r="E252" i="5"/>
  <c r="E250" i="5"/>
  <c r="E248" i="5"/>
  <c r="E246" i="5"/>
  <c r="E244" i="5"/>
  <c r="E620" i="5"/>
  <c r="E368" i="5"/>
  <c r="E348" i="5"/>
  <c r="E442" i="5"/>
  <c r="E242" i="5"/>
  <c r="E218" i="5"/>
  <c r="E400" i="5"/>
  <c r="E220" i="5"/>
  <c r="E207" i="5"/>
  <c r="E205" i="5"/>
  <c r="E203" i="5"/>
  <c r="E201" i="5"/>
  <c r="E199" i="5"/>
  <c r="E197" i="5"/>
  <c r="E195" i="5"/>
  <c r="E193" i="5"/>
  <c r="E191" i="5"/>
  <c r="E189" i="5"/>
  <c r="E187" i="5"/>
  <c r="E185" i="5"/>
  <c r="E183" i="5"/>
  <c r="E181" i="5"/>
  <c r="E179" i="5"/>
  <c r="E177" i="5"/>
  <c r="E175" i="5"/>
  <c r="E173" i="5"/>
  <c r="E171" i="5"/>
  <c r="E169" i="5"/>
  <c r="E167" i="5"/>
  <c r="E165" i="5"/>
  <c r="E163" i="5"/>
  <c r="E161" i="5"/>
  <c r="E159" i="5"/>
  <c r="E157" i="5"/>
  <c r="E155" i="5"/>
  <c r="E153" i="5"/>
  <c r="E151" i="5"/>
  <c r="E149" i="5"/>
  <c r="E147" i="5"/>
  <c r="E145" i="5"/>
  <c r="E143" i="5"/>
  <c r="E141" i="5"/>
  <c r="E139" i="5"/>
  <c r="E137" i="5"/>
  <c r="E135" i="5"/>
  <c r="E133" i="5"/>
  <c r="E131" i="5"/>
  <c r="E129" i="5"/>
  <c r="E127" i="5"/>
  <c r="E125" i="5"/>
  <c r="E123" i="5"/>
  <c r="E121" i="5"/>
  <c r="E119" i="5"/>
  <c r="E117" i="5"/>
  <c r="E115" i="5"/>
  <c r="E113" i="5"/>
  <c r="E111" i="5"/>
  <c r="E109" i="5"/>
  <c r="E107" i="5"/>
  <c r="E105" i="5"/>
  <c r="E103" i="5"/>
  <c r="E101" i="5"/>
  <c r="E99" i="5"/>
  <c r="E97" i="5"/>
  <c r="E95" i="5"/>
  <c r="E93" i="5"/>
  <c r="E91" i="5"/>
  <c r="E89" i="5"/>
  <c r="E87" i="5"/>
  <c r="E85" i="5"/>
  <c r="E83" i="5"/>
  <c r="E81" i="5"/>
  <c r="E79" i="5"/>
  <c r="E548" i="5"/>
  <c r="E430" i="5"/>
  <c r="E479" i="5"/>
  <c r="E460" i="5"/>
  <c r="E346" i="5"/>
  <c r="E224" i="5"/>
  <c r="E418" i="5"/>
  <c r="E226" i="5"/>
  <c r="E524" i="5"/>
  <c r="E448" i="5"/>
  <c r="E406" i="5"/>
  <c r="E230" i="5"/>
  <c r="E436" i="5"/>
  <c r="E232" i="5"/>
  <c r="E208" i="5"/>
  <c r="E206" i="5"/>
  <c r="E204" i="5"/>
  <c r="E202" i="5"/>
  <c r="E200" i="5"/>
  <c r="E198" i="5"/>
  <c r="E196" i="5"/>
  <c r="E194" i="5"/>
  <c r="E192" i="5"/>
  <c r="E190" i="5"/>
  <c r="E188" i="5"/>
  <c r="E186" i="5"/>
  <c r="E184" i="5"/>
  <c r="E182" i="5"/>
  <c r="E180" i="5"/>
  <c r="E178" i="5"/>
  <c r="E176" i="5"/>
  <c r="E174" i="5"/>
  <c r="E172" i="5"/>
  <c r="E170" i="5"/>
  <c r="E168" i="5"/>
  <c r="E166" i="5"/>
  <c r="E164" i="5"/>
  <c r="E162" i="5"/>
  <c r="E160" i="5"/>
  <c r="E158" i="5"/>
  <c r="E156" i="5"/>
  <c r="E154" i="5"/>
  <c r="E152" i="5"/>
  <c r="E150" i="5"/>
  <c r="E148" i="5"/>
  <c r="E146" i="5"/>
  <c r="E144" i="5"/>
  <c r="E142" i="5"/>
  <c r="E140" i="5"/>
  <c r="E138" i="5"/>
  <c r="E136" i="5"/>
  <c r="E134" i="5"/>
  <c r="E132" i="5"/>
  <c r="E130" i="5"/>
  <c r="E128" i="5"/>
  <c r="E126" i="5"/>
  <c r="E124" i="5"/>
  <c r="E122" i="5"/>
  <c r="E120" i="5"/>
  <c r="E118" i="5"/>
  <c r="E116" i="5"/>
  <c r="E572" i="5"/>
  <c r="E412" i="5"/>
  <c r="E454" i="5"/>
  <c r="E222" i="5"/>
  <c r="E473" i="5"/>
  <c r="E212" i="5"/>
  <c r="E106" i="5"/>
  <c r="E82" i="5"/>
  <c r="E488" i="5"/>
  <c r="E394" i="5"/>
  <c r="E214" i="5"/>
  <c r="E108" i="5"/>
  <c r="E84" i="5"/>
  <c r="E110" i="5"/>
  <c r="E86" i="5"/>
  <c r="E234" i="5"/>
  <c r="E216" i="5"/>
  <c r="E112" i="5"/>
  <c r="E114" i="5"/>
  <c r="E90" i="5"/>
  <c r="E77" i="5"/>
  <c r="E75" i="5"/>
  <c r="E73" i="5"/>
  <c r="E71" i="5"/>
  <c r="E69" i="5"/>
  <c r="E67" i="5"/>
  <c r="E65" i="5"/>
  <c r="E63" i="5"/>
  <c r="E61" i="5"/>
  <c r="E59" i="5"/>
  <c r="E57" i="5"/>
  <c r="E55" i="5"/>
  <c r="E53" i="5"/>
  <c r="E51" i="5"/>
  <c r="E49" i="5"/>
  <c r="E47" i="5"/>
  <c r="E45" i="5"/>
  <c r="E43" i="5"/>
  <c r="E41" i="5"/>
  <c r="E39" i="5"/>
  <c r="E37" i="5"/>
  <c r="E35" i="5"/>
  <c r="E33" i="5"/>
  <c r="E31" i="5"/>
  <c r="E29" i="5"/>
  <c r="E27" i="5"/>
  <c r="E25" i="5"/>
  <c r="E23" i="5"/>
  <c r="E21" i="5"/>
  <c r="E19" i="5"/>
  <c r="E17" i="5"/>
  <c r="E15" i="5"/>
  <c r="E13" i="5"/>
  <c r="E11" i="5"/>
  <c r="E9" i="5"/>
  <c r="E7" i="5"/>
  <c r="E5" i="5"/>
  <c r="E236" i="5"/>
  <c r="E424" i="5"/>
  <c r="E228" i="5"/>
  <c r="E94" i="5"/>
  <c r="E354" i="5"/>
  <c r="E98" i="5"/>
  <c r="E466" i="5"/>
  <c r="E210" i="5"/>
  <c r="E102" i="5"/>
  <c r="E100" i="5"/>
  <c r="E64" i="5"/>
  <c r="E40" i="5"/>
  <c r="E16" i="5"/>
  <c r="E92" i="5"/>
  <c r="E66" i="5"/>
  <c r="E42" i="5"/>
  <c r="E68" i="5"/>
  <c r="E44" i="5"/>
  <c r="E20" i="5"/>
  <c r="E70" i="5"/>
  <c r="E46" i="5"/>
  <c r="E22" i="5"/>
  <c r="E72" i="5"/>
  <c r="E48" i="5"/>
  <c r="E24" i="5"/>
  <c r="E104" i="5"/>
  <c r="E74" i="5"/>
  <c r="E50" i="5"/>
  <c r="E26" i="5"/>
  <c r="E238" i="5"/>
  <c r="E96" i="5"/>
  <c r="E76" i="5"/>
  <c r="E52" i="5"/>
  <c r="E240" i="5"/>
  <c r="E80" i="5"/>
  <c r="E58" i="5"/>
  <c r="E34" i="5"/>
  <c r="E62" i="5"/>
  <c r="E38" i="5"/>
  <c r="E14" i="5"/>
  <c r="F11" i="5"/>
  <c r="E56" i="5"/>
  <c r="E78" i="5"/>
  <c r="E446" i="4"/>
  <c r="F446" i="4" s="1"/>
  <c r="E475" i="4"/>
  <c r="F475" i="4" s="1"/>
  <c r="F2" i="5"/>
  <c r="F631" i="5"/>
  <c r="F632" i="5"/>
  <c r="F630" i="5"/>
  <c r="F628" i="5"/>
  <c r="F626" i="5"/>
  <c r="F624" i="5"/>
  <c r="F622" i="5"/>
  <c r="F620" i="5"/>
  <c r="F618" i="5"/>
  <c r="F616" i="5"/>
  <c r="F614" i="5"/>
  <c r="F612" i="5"/>
  <c r="F610" i="5"/>
  <c r="F608" i="5"/>
  <c r="F606" i="5"/>
  <c r="F604" i="5"/>
  <c r="F602" i="5"/>
  <c r="F600" i="5"/>
  <c r="F598" i="5"/>
  <c r="F596" i="5"/>
  <c r="F594" i="5"/>
  <c r="F592" i="5"/>
  <c r="F590" i="5"/>
  <c r="F588" i="5"/>
  <c r="F586" i="5"/>
  <c r="F584" i="5"/>
  <c r="F582" i="5"/>
  <c r="F580" i="5"/>
  <c r="F578" i="5"/>
  <c r="F576" i="5"/>
  <c r="F574" i="5"/>
  <c r="F572" i="5"/>
  <c r="F570" i="5"/>
  <c r="F568" i="5"/>
  <c r="F566" i="5"/>
  <c r="F564" i="5"/>
  <c r="F562" i="5"/>
  <c r="F560" i="5"/>
  <c r="F558" i="5"/>
  <c r="F556" i="5"/>
  <c r="F554" i="5"/>
  <c r="F552" i="5"/>
  <c r="F550" i="5"/>
  <c r="F548" i="5"/>
  <c r="F546" i="5"/>
  <c r="F544" i="5"/>
  <c r="F542" i="5"/>
  <c r="F540" i="5"/>
  <c r="F538" i="5"/>
  <c r="F536" i="5"/>
  <c r="F534" i="5"/>
  <c r="F532" i="5"/>
  <c r="F530" i="5"/>
  <c r="F528" i="5"/>
  <c r="F526" i="5"/>
  <c r="F524" i="5"/>
  <c r="F522" i="5"/>
  <c r="F520" i="5"/>
  <c r="F518" i="5"/>
  <c r="F516" i="5"/>
  <c r="F514" i="5"/>
  <c r="F512" i="5"/>
  <c r="F510" i="5"/>
  <c r="F508" i="5"/>
  <c r="F505" i="5"/>
  <c r="F498" i="5"/>
  <c r="F485" i="5"/>
  <c r="F474" i="5"/>
  <c r="F500" i="5"/>
  <c r="F487" i="5"/>
  <c r="F476" i="5"/>
  <c r="F463" i="5"/>
  <c r="F461" i="5"/>
  <c r="F459" i="5"/>
  <c r="F457" i="5"/>
  <c r="F455" i="5"/>
  <c r="F453" i="5"/>
  <c r="F451" i="5"/>
  <c r="F449" i="5"/>
  <c r="F447" i="5"/>
  <c r="F445" i="5"/>
  <c r="F443" i="5"/>
  <c r="F441" i="5"/>
  <c r="F439" i="5"/>
  <c r="F437" i="5"/>
  <c r="F435" i="5"/>
  <c r="F433" i="5"/>
  <c r="F431" i="5"/>
  <c r="F429" i="5"/>
  <c r="F427" i="5"/>
  <c r="F425" i="5"/>
  <c r="F423" i="5"/>
  <c r="F421" i="5"/>
  <c r="F419" i="5"/>
  <c r="F417" i="5"/>
  <c r="F415" i="5"/>
  <c r="F413" i="5"/>
  <c r="F411" i="5"/>
  <c r="F409" i="5"/>
  <c r="F407" i="5"/>
  <c r="F405" i="5"/>
  <c r="F403" i="5"/>
  <c r="F401" i="5"/>
  <c r="F399" i="5"/>
  <c r="F397" i="5"/>
  <c r="F395" i="5"/>
  <c r="F393" i="5"/>
  <c r="F391" i="5"/>
  <c r="F389" i="5"/>
  <c r="F387" i="5"/>
  <c r="F385" i="5"/>
  <c r="F383" i="5"/>
  <c r="F381" i="5"/>
  <c r="F379" i="5"/>
  <c r="F377" i="5"/>
  <c r="F375" i="5"/>
  <c r="F373" i="5"/>
  <c r="F371" i="5"/>
  <c r="F369" i="5"/>
  <c r="F367" i="5"/>
  <c r="F365" i="5"/>
  <c r="F627" i="5"/>
  <c r="F619" i="5"/>
  <c r="F611" i="5"/>
  <c r="F603" i="5"/>
  <c r="F595" i="5"/>
  <c r="F587" i="5"/>
  <c r="F579" i="5"/>
  <c r="F571" i="5"/>
  <c r="F563" i="5"/>
  <c r="F555" i="5"/>
  <c r="F547" i="5"/>
  <c r="F539" i="5"/>
  <c r="F531" i="5"/>
  <c r="F523" i="5"/>
  <c r="F515" i="5"/>
  <c r="F507" i="5"/>
  <c r="F502" i="5"/>
  <c r="F489" i="5"/>
  <c r="F478" i="5"/>
  <c r="F465" i="5"/>
  <c r="F491" i="5"/>
  <c r="F480" i="5"/>
  <c r="F467" i="5"/>
  <c r="F504" i="5"/>
  <c r="F493" i="5"/>
  <c r="F482" i="5"/>
  <c r="F469" i="5"/>
  <c r="F629" i="5"/>
  <c r="F621" i="5"/>
  <c r="F613" i="5"/>
  <c r="F605" i="5"/>
  <c r="F597" i="5"/>
  <c r="F589" i="5"/>
  <c r="F581" i="5"/>
  <c r="F573" i="5"/>
  <c r="F565" i="5"/>
  <c r="F557" i="5"/>
  <c r="F549" i="5"/>
  <c r="F541" i="5"/>
  <c r="F533" i="5"/>
  <c r="F525" i="5"/>
  <c r="F517" i="5"/>
  <c r="F509" i="5"/>
  <c r="F495" i="5"/>
  <c r="F484" i="5"/>
  <c r="F471" i="5"/>
  <c r="F506" i="5"/>
  <c r="F497" i="5"/>
  <c r="F486" i="5"/>
  <c r="F473" i="5"/>
  <c r="F625" i="5"/>
  <c r="F617" i="5"/>
  <c r="F609" i="5"/>
  <c r="F601" i="5"/>
  <c r="F593" i="5"/>
  <c r="F585" i="5"/>
  <c r="F577" i="5"/>
  <c r="F569" i="5"/>
  <c r="F561" i="5"/>
  <c r="F553" i="5"/>
  <c r="F545" i="5"/>
  <c r="F537" i="5"/>
  <c r="F529" i="5"/>
  <c r="F521" i="5"/>
  <c r="F513" i="5"/>
  <c r="F496" i="5"/>
  <c r="F483" i="5"/>
  <c r="F472" i="5"/>
  <c r="F623" i="5"/>
  <c r="F599" i="5"/>
  <c r="F575" i="5"/>
  <c r="F551" i="5"/>
  <c r="F527" i="5"/>
  <c r="F503" i="5"/>
  <c r="F475" i="5"/>
  <c r="F370" i="5"/>
  <c r="F363" i="5"/>
  <c r="F352" i="5"/>
  <c r="F490" i="5"/>
  <c r="F468" i="5"/>
  <c r="F462" i="5"/>
  <c r="F456" i="5"/>
  <c r="F450" i="5"/>
  <c r="F444" i="5"/>
  <c r="F438" i="5"/>
  <c r="F432" i="5"/>
  <c r="F426" i="5"/>
  <c r="F420" i="5"/>
  <c r="F414" i="5"/>
  <c r="F408" i="5"/>
  <c r="F402" i="5"/>
  <c r="F396" i="5"/>
  <c r="F354" i="5"/>
  <c r="F390" i="5"/>
  <c r="F382" i="5"/>
  <c r="F372" i="5"/>
  <c r="F358" i="5"/>
  <c r="F345" i="5"/>
  <c r="F615" i="5"/>
  <c r="F591" i="5"/>
  <c r="F567" i="5"/>
  <c r="F543" i="5"/>
  <c r="F519" i="5"/>
  <c r="F499" i="5"/>
  <c r="F477" i="5"/>
  <c r="F374" i="5"/>
  <c r="F360" i="5"/>
  <c r="F492" i="5"/>
  <c r="F464" i="5"/>
  <c r="F458" i="5"/>
  <c r="F452" i="5"/>
  <c r="F446" i="5"/>
  <c r="F440" i="5"/>
  <c r="F434" i="5"/>
  <c r="F428" i="5"/>
  <c r="F422" i="5"/>
  <c r="F416" i="5"/>
  <c r="F410" i="5"/>
  <c r="F404" i="5"/>
  <c r="F398" i="5"/>
  <c r="F392" i="5"/>
  <c r="F384" i="5"/>
  <c r="F362" i="5"/>
  <c r="F349" i="5"/>
  <c r="F470" i="5"/>
  <c r="F376" i="5"/>
  <c r="F364" i="5"/>
  <c r="F351" i="5"/>
  <c r="F479" i="5"/>
  <c r="F353" i="5"/>
  <c r="F488" i="5"/>
  <c r="F466" i="5"/>
  <c r="F460" i="5"/>
  <c r="F454" i="5"/>
  <c r="F448" i="5"/>
  <c r="F442" i="5"/>
  <c r="F436" i="5"/>
  <c r="F430" i="5"/>
  <c r="F424" i="5"/>
  <c r="F418" i="5"/>
  <c r="F412" i="5"/>
  <c r="F406" i="5"/>
  <c r="F400" i="5"/>
  <c r="F394" i="5"/>
  <c r="F357" i="5"/>
  <c r="F346" i="5"/>
  <c r="F481" i="5"/>
  <c r="F388" i="5"/>
  <c r="F380" i="5"/>
  <c r="F361" i="5"/>
  <c r="F350" i="5"/>
  <c r="F378" i="5"/>
  <c r="F344" i="5"/>
  <c r="F336" i="5"/>
  <c r="F328" i="5"/>
  <c r="F320" i="5"/>
  <c r="F312" i="5"/>
  <c r="F304" i="5"/>
  <c r="F296" i="5"/>
  <c r="F288" i="5"/>
  <c r="F273" i="5"/>
  <c r="F261" i="5"/>
  <c r="F249" i="5"/>
  <c r="F231" i="5"/>
  <c r="F220" i="5"/>
  <c r="F583" i="5"/>
  <c r="F359" i="5"/>
  <c r="F356" i="5"/>
  <c r="F341" i="5"/>
  <c r="F333" i="5"/>
  <c r="F325" i="5"/>
  <c r="F317" i="5"/>
  <c r="F309" i="5"/>
  <c r="F301" i="5"/>
  <c r="F293" i="5"/>
  <c r="F285" i="5"/>
  <c r="F280" i="5"/>
  <c r="F268" i="5"/>
  <c r="F256" i="5"/>
  <c r="F244" i="5"/>
  <c r="F233" i="5"/>
  <c r="F222" i="5"/>
  <c r="F209" i="5"/>
  <c r="F366" i="5"/>
  <c r="F494" i="5"/>
  <c r="F338" i="5"/>
  <c r="F330" i="5"/>
  <c r="F322" i="5"/>
  <c r="F314" i="5"/>
  <c r="F306" i="5"/>
  <c r="F298" i="5"/>
  <c r="F290" i="5"/>
  <c r="F282" i="5"/>
  <c r="F270" i="5"/>
  <c r="F258" i="5"/>
  <c r="F246" i="5"/>
  <c r="F237" i="5"/>
  <c r="F226" i="5"/>
  <c r="F559" i="5"/>
  <c r="F343" i="5"/>
  <c r="F335" i="5"/>
  <c r="F327" i="5"/>
  <c r="F319" i="5"/>
  <c r="F311" i="5"/>
  <c r="F303" i="5"/>
  <c r="F295" i="5"/>
  <c r="F287" i="5"/>
  <c r="F277" i="5"/>
  <c r="F265" i="5"/>
  <c r="F253" i="5"/>
  <c r="F239" i="5"/>
  <c r="F228" i="5"/>
  <c r="F215" i="5"/>
  <c r="F501" i="5"/>
  <c r="F355" i="5"/>
  <c r="F348" i="5"/>
  <c r="F340" i="5"/>
  <c r="F332" i="5"/>
  <c r="F324" i="5"/>
  <c r="F316" i="5"/>
  <c r="F308" i="5"/>
  <c r="F300" i="5"/>
  <c r="F292" i="5"/>
  <c r="F284" i="5"/>
  <c r="F279" i="5"/>
  <c r="F267" i="5"/>
  <c r="F255" i="5"/>
  <c r="F243" i="5"/>
  <c r="F232" i="5"/>
  <c r="F219" i="5"/>
  <c r="F208" i="5"/>
  <c r="F206" i="5"/>
  <c r="F204" i="5"/>
  <c r="F202" i="5"/>
  <c r="F200" i="5"/>
  <c r="F198" i="5"/>
  <c r="F196" i="5"/>
  <c r="F194" i="5"/>
  <c r="F192" i="5"/>
  <c r="F190" i="5"/>
  <c r="F188" i="5"/>
  <c r="F186" i="5"/>
  <c r="F184" i="5"/>
  <c r="F182" i="5"/>
  <c r="F180" i="5"/>
  <c r="F178" i="5"/>
  <c r="F176" i="5"/>
  <c r="F174" i="5"/>
  <c r="F535" i="5"/>
  <c r="F368" i="5"/>
  <c r="F337" i="5"/>
  <c r="F329" i="5"/>
  <c r="F321" i="5"/>
  <c r="F313" i="5"/>
  <c r="F305" i="5"/>
  <c r="F297" i="5"/>
  <c r="F289" i="5"/>
  <c r="F274" i="5"/>
  <c r="F262" i="5"/>
  <c r="F250" i="5"/>
  <c r="F234" i="5"/>
  <c r="F221" i="5"/>
  <c r="F210" i="5"/>
  <c r="F278" i="5"/>
  <c r="F266" i="5"/>
  <c r="F254" i="5"/>
  <c r="F269" i="5"/>
  <c r="F227" i="5"/>
  <c r="F247" i="5"/>
  <c r="F214" i="5"/>
  <c r="F165" i="5"/>
  <c r="F153" i="5"/>
  <c r="F141" i="5"/>
  <c r="F129" i="5"/>
  <c r="F117" i="5"/>
  <c r="F108" i="5"/>
  <c r="F95" i="5"/>
  <c r="F84" i="5"/>
  <c r="F263" i="5"/>
  <c r="F252" i="5"/>
  <c r="F229" i="5"/>
  <c r="F224" i="5"/>
  <c r="F172" i="5"/>
  <c r="F160" i="5"/>
  <c r="F148" i="5"/>
  <c r="F136" i="5"/>
  <c r="F124" i="5"/>
  <c r="F110" i="5"/>
  <c r="F97" i="5"/>
  <c r="F86" i="5"/>
  <c r="F271" i="5"/>
  <c r="F260" i="5"/>
  <c r="F216" i="5"/>
  <c r="F201" i="5"/>
  <c r="F193" i="5"/>
  <c r="F185" i="5"/>
  <c r="F177" i="5"/>
  <c r="F167" i="5"/>
  <c r="F155" i="5"/>
  <c r="F143" i="5"/>
  <c r="F131" i="5"/>
  <c r="F119" i="5"/>
  <c r="F112" i="5"/>
  <c r="F99" i="5"/>
  <c r="F88" i="5"/>
  <c r="F511" i="5"/>
  <c r="F386" i="5"/>
  <c r="F339" i="5"/>
  <c r="F323" i="5"/>
  <c r="F307" i="5"/>
  <c r="F291" i="5"/>
  <c r="F276" i="5"/>
  <c r="F241" i="5"/>
  <c r="F162" i="5"/>
  <c r="F150" i="5"/>
  <c r="F138" i="5"/>
  <c r="F126" i="5"/>
  <c r="F114" i="5"/>
  <c r="F342" i="5"/>
  <c r="F326" i="5"/>
  <c r="F310" i="5"/>
  <c r="F294" i="5"/>
  <c r="F257" i="5"/>
  <c r="F236" i="5"/>
  <c r="F218" i="5"/>
  <c r="F169" i="5"/>
  <c r="F157" i="5"/>
  <c r="F145" i="5"/>
  <c r="F133" i="5"/>
  <c r="F121" i="5"/>
  <c r="F103" i="5"/>
  <c r="F92" i="5"/>
  <c r="F79" i="5"/>
  <c r="F211" i="5"/>
  <c r="F203" i="5"/>
  <c r="F195" i="5"/>
  <c r="F187" i="5"/>
  <c r="F179" i="5"/>
  <c r="F164" i="5"/>
  <c r="F152" i="5"/>
  <c r="F140" i="5"/>
  <c r="F128" i="5"/>
  <c r="F116" i="5"/>
  <c r="F281" i="5"/>
  <c r="F251" i="5"/>
  <c r="F238" i="5"/>
  <c r="F223" i="5"/>
  <c r="F213" i="5"/>
  <c r="F171" i="5"/>
  <c r="F159" i="5"/>
  <c r="F147" i="5"/>
  <c r="F135" i="5"/>
  <c r="F123" i="5"/>
  <c r="F107" i="5"/>
  <c r="F96" i="5"/>
  <c r="F83" i="5"/>
  <c r="F347" i="5"/>
  <c r="F275" i="5"/>
  <c r="F264" i="5"/>
  <c r="F240" i="5"/>
  <c r="F230" i="5"/>
  <c r="F225" i="5"/>
  <c r="F205" i="5"/>
  <c r="F197" i="5"/>
  <c r="F189" i="5"/>
  <c r="F181" i="5"/>
  <c r="F173" i="5"/>
  <c r="F161" i="5"/>
  <c r="F149" i="5"/>
  <c r="F137" i="5"/>
  <c r="F125" i="5"/>
  <c r="F111" i="5"/>
  <c r="F100" i="5"/>
  <c r="F87" i="5"/>
  <c r="F334" i="5"/>
  <c r="F318" i="5"/>
  <c r="F302" i="5"/>
  <c r="F286" i="5"/>
  <c r="F242" i="5"/>
  <c r="F235" i="5"/>
  <c r="F163" i="5"/>
  <c r="F151" i="5"/>
  <c r="F139" i="5"/>
  <c r="F127" i="5"/>
  <c r="F115" i="5"/>
  <c r="F104" i="5"/>
  <c r="F91" i="5"/>
  <c r="F283" i="5"/>
  <c r="F245" i="5"/>
  <c r="F105" i="5"/>
  <c r="F77" i="5"/>
  <c r="F66" i="5"/>
  <c r="F53" i="5"/>
  <c r="F42" i="5"/>
  <c r="F29" i="5"/>
  <c r="F18" i="5"/>
  <c r="F207" i="5"/>
  <c r="F175" i="5"/>
  <c r="F158" i="5"/>
  <c r="F144" i="5"/>
  <c r="F130" i="5"/>
  <c r="F113" i="5"/>
  <c r="F68" i="5"/>
  <c r="F55" i="5"/>
  <c r="F44" i="5"/>
  <c r="F31" i="5"/>
  <c r="F259" i="5"/>
  <c r="F102" i="5"/>
  <c r="F70" i="5"/>
  <c r="F57" i="5"/>
  <c r="F46" i="5"/>
  <c r="F33" i="5"/>
  <c r="F22" i="5"/>
  <c r="F9" i="5"/>
  <c r="F299" i="5"/>
  <c r="F94" i="5"/>
  <c r="F89" i="5"/>
  <c r="F81" i="5"/>
  <c r="F72" i="5"/>
  <c r="F59" i="5"/>
  <c r="F48" i="5"/>
  <c r="F35" i="5"/>
  <c r="F24" i="5"/>
  <c r="F212" i="5"/>
  <c r="F183" i="5"/>
  <c r="F166" i="5"/>
  <c r="F146" i="5"/>
  <c r="F132" i="5"/>
  <c r="F118" i="5"/>
  <c r="F74" i="5"/>
  <c r="F61" i="5"/>
  <c r="F50" i="5"/>
  <c r="F37" i="5"/>
  <c r="F26" i="5"/>
  <c r="F13" i="5"/>
  <c r="F76" i="5"/>
  <c r="F63" i="5"/>
  <c r="F52" i="5"/>
  <c r="F39" i="5"/>
  <c r="F28" i="5"/>
  <c r="F315" i="5"/>
  <c r="F109" i="5"/>
  <c r="F78" i="5"/>
  <c r="F65" i="5"/>
  <c r="F54" i="5"/>
  <c r="F41" i="5"/>
  <c r="F331" i="5"/>
  <c r="F272" i="5"/>
  <c r="F98" i="5"/>
  <c r="F85" i="5"/>
  <c r="F71" i="5"/>
  <c r="F60" i="5"/>
  <c r="F47" i="5"/>
  <c r="F36" i="5"/>
  <c r="F248" i="5"/>
  <c r="F75" i="5"/>
  <c r="F64" i="5"/>
  <c r="F51" i="5"/>
  <c r="F40" i="5"/>
  <c r="F27" i="5"/>
  <c r="F16" i="5"/>
  <c r="F21" i="5"/>
  <c r="F34" i="5"/>
  <c r="F45" i="5"/>
  <c r="F56" i="5"/>
  <c r="F67" i="5"/>
  <c r="F156" i="5"/>
  <c r="F101" i="5"/>
  <c r="F168" i="5"/>
  <c r="F73" i="5"/>
  <c r="F142" i="5"/>
  <c r="F32" i="5"/>
  <c r="F43" i="5"/>
  <c r="F62" i="5"/>
  <c r="F90" i="5"/>
  <c r="F154" i="5"/>
  <c r="E68" i="4"/>
  <c r="F68" i="4" s="1"/>
  <c r="E215" i="4"/>
  <c r="F215" i="4" s="1"/>
  <c r="E223" i="4"/>
  <c r="F223" i="4" s="1"/>
  <c r="E232" i="4"/>
  <c r="F232" i="4" s="1"/>
  <c r="E249" i="4"/>
  <c r="F249" i="4" s="1"/>
  <c r="E295" i="4"/>
  <c r="F295" i="4" s="1"/>
  <c r="E335" i="4"/>
  <c r="F335" i="4" s="1"/>
  <c r="E350" i="4"/>
  <c r="F350" i="4" s="1"/>
  <c r="E359" i="4"/>
  <c r="F359" i="4" s="1"/>
  <c r="E389" i="4"/>
  <c r="F389" i="4" s="1"/>
  <c r="E405" i="4"/>
  <c r="F405" i="4" s="1"/>
  <c r="E413" i="4"/>
  <c r="F413" i="4" s="1"/>
  <c r="E422" i="4"/>
  <c r="F422" i="4" s="1"/>
  <c r="E439" i="4"/>
  <c r="F439" i="4" s="1"/>
  <c r="E449" i="4"/>
  <c r="F449" i="4" s="1"/>
  <c r="E459" i="4"/>
  <c r="F459" i="4" s="1"/>
  <c r="E488" i="4"/>
  <c r="F488" i="4" s="1"/>
  <c r="E508" i="4"/>
  <c r="F508" i="4" s="1"/>
  <c r="E12" i="5"/>
  <c r="F17" i="5"/>
  <c r="E30" i="5"/>
  <c r="F93" i="5"/>
  <c r="F122" i="5"/>
  <c r="E59" i="4"/>
  <c r="F59" i="4" s="1"/>
  <c r="E142" i="4"/>
  <c r="F142" i="4" s="1"/>
  <c r="E224" i="4"/>
  <c r="F224" i="4" s="1"/>
  <c r="E241" i="4"/>
  <c r="F241" i="4" s="1"/>
  <c r="E250" i="4"/>
  <c r="F250" i="4" s="1"/>
  <c r="E265" i="4"/>
  <c r="F265" i="4" s="1"/>
  <c r="E287" i="4"/>
  <c r="F287" i="4" s="1"/>
  <c r="E296" i="4"/>
  <c r="F296" i="4" s="1"/>
  <c r="E336" i="4"/>
  <c r="F336" i="4" s="1"/>
  <c r="E390" i="4"/>
  <c r="F390" i="4" s="1"/>
  <c r="E423" i="4"/>
  <c r="F423" i="4" s="1"/>
  <c r="E450" i="4"/>
  <c r="F450" i="4" s="1"/>
  <c r="E470" i="4"/>
  <c r="F470" i="4" s="1"/>
  <c r="E479" i="4"/>
  <c r="F479" i="4" s="1"/>
  <c r="E499" i="4"/>
  <c r="F499" i="4" s="1"/>
  <c r="E518" i="4"/>
  <c r="F518" i="4" s="1"/>
  <c r="E10" i="5"/>
  <c r="F12" i="5"/>
  <c r="F30" i="5"/>
  <c r="F49" i="5"/>
  <c r="F82" i="5"/>
  <c r="F134" i="5"/>
  <c r="E199" i="4"/>
  <c r="F199" i="4" s="1"/>
  <c r="E233" i="4"/>
  <c r="F233" i="4" s="1"/>
  <c r="E271" i="4"/>
  <c r="F271" i="4" s="1"/>
  <c r="E285" i="4"/>
  <c r="F285" i="4" s="1"/>
  <c r="E323" i="4"/>
  <c r="F323" i="4" s="1"/>
  <c r="E339" i="4"/>
  <c r="F339" i="4" s="1"/>
  <c r="E369" i="4"/>
  <c r="F369" i="4" s="1"/>
  <c r="E468" i="4"/>
  <c r="F468" i="4" s="1"/>
  <c r="E478" i="4"/>
  <c r="F478" i="4" s="1"/>
  <c r="E506" i="4"/>
  <c r="F506" i="4" s="1"/>
  <c r="E481" i="4"/>
  <c r="F481" i="4" s="1"/>
  <c r="E489" i="4"/>
  <c r="F489" i="4" s="1"/>
  <c r="E498" i="4"/>
  <c r="F498" i="4" s="1"/>
  <c r="E507" i="4"/>
  <c r="F507" i="4" s="1"/>
  <c r="E255" i="4"/>
  <c r="F255" i="4" s="1"/>
  <c r="E281" i="4"/>
  <c r="F281" i="4" s="1"/>
  <c r="E301" i="4"/>
  <c r="F301" i="4" s="1"/>
  <c r="E327" i="4"/>
  <c r="F327" i="4" s="1"/>
  <c r="E341" i="4"/>
  <c r="F341" i="4" s="1"/>
  <c r="E375" i="4"/>
  <c r="F375" i="4" s="1"/>
  <c r="E395" i="4"/>
  <c r="F395" i="4" s="1"/>
  <c r="E425" i="4"/>
  <c r="F425" i="4" s="1"/>
  <c r="E440" i="4"/>
  <c r="F440" i="4" s="1"/>
  <c r="E457" i="4"/>
  <c r="F457" i="4" s="1"/>
  <c r="E500" i="4"/>
  <c r="F500" i="4" s="1"/>
  <c r="E517" i="4"/>
  <c r="F517" i="4" s="1"/>
  <c r="E263" i="4"/>
  <c r="F263" i="4" s="1"/>
  <c r="E283" i="4"/>
  <c r="F283" i="4" s="1"/>
  <c r="E309" i="4"/>
  <c r="F309" i="4" s="1"/>
  <c r="E363" i="4"/>
  <c r="F363" i="4" s="1"/>
  <c r="E383" i="4"/>
  <c r="F383" i="4" s="1"/>
  <c r="E404" i="4"/>
  <c r="F404" i="4" s="1"/>
  <c r="E411" i="4"/>
  <c r="F411" i="4" s="1"/>
  <c r="E435" i="4"/>
  <c r="F435" i="4" s="1"/>
  <c r="E460" i="4"/>
  <c r="F460" i="4" s="1"/>
  <c r="E209" i="4"/>
  <c r="F209" i="4" s="1"/>
  <c r="E257" i="4"/>
  <c r="F257" i="4" s="1"/>
  <c r="E277" i="4"/>
  <c r="F277" i="4" s="1"/>
  <c r="E303" i="4"/>
  <c r="F303" i="4" s="1"/>
  <c r="E329" i="4"/>
  <c r="F329" i="4" s="1"/>
  <c r="E377" i="4"/>
  <c r="F377" i="4" s="1"/>
  <c r="E384" i="4"/>
  <c r="F384" i="4" s="1"/>
  <c r="E419" i="4"/>
  <c r="F419" i="4" s="1"/>
  <c r="E477" i="4"/>
  <c r="F477" i="4" s="1"/>
  <c r="E485" i="4"/>
  <c r="F485" i="4" s="1"/>
  <c r="E493" i="4"/>
  <c r="F493" i="4" s="1"/>
  <c r="E511" i="4"/>
  <c r="F511" i="4" s="1"/>
  <c r="E319" i="4"/>
  <c r="F319" i="4" s="1"/>
  <c r="E345" i="4"/>
  <c r="F345" i="4" s="1"/>
  <c r="E371" i="4"/>
  <c r="F371" i="4" s="1"/>
  <c r="E433" i="4"/>
  <c r="F433" i="4" s="1"/>
  <c r="E482" i="4"/>
  <c r="F482" i="4" s="1"/>
  <c r="E490" i="4"/>
  <c r="F490" i="4" s="1"/>
  <c r="E515" i="4"/>
  <c r="F515" i="4" s="1"/>
  <c r="E343" i="4"/>
  <c r="F343" i="4" s="1"/>
  <c r="E349" i="4"/>
  <c r="F349" i="4" s="1"/>
  <c r="E355" i="4"/>
  <c r="F355" i="4" s="1"/>
  <c r="E361" i="4"/>
  <c r="F361" i="4" s="1"/>
  <c r="E367" i="4"/>
  <c r="F367" i="4" s="1"/>
  <c r="E373" i="4"/>
  <c r="F373" i="4" s="1"/>
  <c r="E379" i="4"/>
  <c r="F379" i="4" s="1"/>
  <c r="E385" i="4"/>
  <c r="F385" i="4" s="1"/>
  <c r="E391" i="4"/>
  <c r="F391" i="4" s="1"/>
  <c r="E397" i="4"/>
  <c r="F397" i="4" s="1"/>
  <c r="E403" i="4"/>
  <c r="F403" i="4" s="1"/>
  <c r="E409" i="4"/>
  <c r="F409" i="4" s="1"/>
  <c r="E415" i="4"/>
  <c r="F415" i="4" s="1"/>
  <c r="E421" i="4"/>
  <c r="F421" i="4" s="1"/>
  <c r="E428" i="4"/>
  <c r="F428" i="4" s="1"/>
  <c r="E441" i="4"/>
  <c r="F441" i="4" s="1"/>
  <c r="E448" i="4"/>
  <c r="F448" i="4" s="1"/>
  <c r="E455" i="4"/>
  <c r="F455" i="4" s="1"/>
  <c r="E469" i="4"/>
  <c r="F469" i="4" s="1"/>
  <c r="E484" i="4"/>
  <c r="F484" i="4" s="1"/>
  <c r="E491" i="4"/>
  <c r="F491" i="4" s="1"/>
  <c r="E505" i="4"/>
  <c r="F505" i="4" s="1"/>
  <c r="E520" i="4"/>
  <c r="F520" i="4" s="1"/>
  <c r="G352" i="5"/>
  <c r="G363" i="5"/>
  <c r="G370" i="5"/>
  <c r="G375" i="5"/>
  <c r="G503" i="5"/>
  <c r="G527" i="5"/>
  <c r="G551" i="5"/>
  <c r="G575" i="5"/>
  <c r="G599" i="5"/>
  <c r="G623" i="5"/>
  <c r="G348" i="5"/>
  <c r="G359" i="5"/>
  <c r="G368" i="5"/>
  <c r="G373" i="5"/>
  <c r="G355" i="5"/>
  <c r="G366" i="5"/>
  <c r="G371" i="5"/>
  <c r="G381" i="5"/>
  <c r="G389" i="5"/>
  <c r="G501" i="5"/>
  <c r="G511" i="5"/>
  <c r="G535" i="5"/>
  <c r="G559" i="5"/>
  <c r="G583" i="5"/>
  <c r="E437" i="4"/>
  <c r="F437" i="4" s="1"/>
  <c r="E458" i="4"/>
  <c r="F458" i="4" s="1"/>
  <c r="E465" i="4"/>
  <c r="F465" i="4" s="1"/>
  <c r="E494" i="4"/>
  <c r="F494" i="4" s="1"/>
  <c r="E501" i="4"/>
  <c r="F501" i="4" s="1"/>
  <c r="G633" i="5"/>
  <c r="G630" i="5"/>
  <c r="G628" i="5"/>
  <c r="G626" i="5"/>
  <c r="G624" i="5"/>
  <c r="G622" i="5"/>
  <c r="G620" i="5"/>
  <c r="G618" i="5"/>
  <c r="G616" i="5"/>
  <c r="G614" i="5"/>
  <c r="G612" i="5"/>
  <c r="G610" i="5"/>
  <c r="G608" i="5"/>
  <c r="G606" i="5"/>
  <c r="G604" i="5"/>
  <c r="G602" i="5"/>
  <c r="G600" i="5"/>
  <c r="G598" i="5"/>
  <c r="G596" i="5"/>
  <c r="G594" i="5"/>
  <c r="G592" i="5"/>
  <c r="G590" i="5"/>
  <c r="G588" i="5"/>
  <c r="G586" i="5"/>
  <c r="G584" i="5"/>
  <c r="G582" i="5"/>
  <c r="G580" i="5"/>
  <c r="G578" i="5"/>
  <c r="G576" i="5"/>
  <c r="G574" i="5"/>
  <c r="G572" i="5"/>
  <c r="G570" i="5"/>
  <c r="G568" i="5"/>
  <c r="G566" i="5"/>
  <c r="G564" i="5"/>
  <c r="G562" i="5"/>
  <c r="G560" i="5"/>
  <c r="G558" i="5"/>
  <c r="G556" i="5"/>
  <c r="G554" i="5"/>
  <c r="G552" i="5"/>
  <c r="G550" i="5"/>
  <c r="G548" i="5"/>
  <c r="G546" i="5"/>
  <c r="G544" i="5"/>
  <c r="G542" i="5"/>
  <c r="G540" i="5"/>
  <c r="G538" i="5"/>
  <c r="G536" i="5"/>
  <c r="G534" i="5"/>
  <c r="G532" i="5"/>
  <c r="G530" i="5"/>
  <c r="G528" i="5"/>
  <c r="G526" i="5"/>
  <c r="G524" i="5"/>
  <c r="G522" i="5"/>
  <c r="G520" i="5"/>
  <c r="G518" i="5"/>
  <c r="G516" i="5"/>
  <c r="G514" i="5"/>
  <c r="G512" i="5"/>
  <c r="G510" i="5"/>
  <c r="G508" i="5"/>
  <c r="G506" i="5"/>
  <c r="G504" i="5"/>
  <c r="G502" i="5"/>
  <c r="G500" i="5"/>
  <c r="G498" i="5"/>
  <c r="G496" i="5"/>
  <c r="G494" i="5"/>
  <c r="G492" i="5"/>
  <c r="G490" i="5"/>
  <c r="G488" i="5"/>
  <c r="G486" i="5"/>
  <c r="G484" i="5"/>
  <c r="G482" i="5"/>
  <c r="G480" i="5"/>
  <c r="G478" i="5"/>
  <c r="G476" i="5"/>
  <c r="G474" i="5"/>
  <c r="G472" i="5"/>
  <c r="G470" i="5"/>
  <c r="G468" i="5"/>
  <c r="G466" i="5"/>
  <c r="G464" i="5"/>
  <c r="G2" i="5"/>
  <c r="G487" i="5"/>
  <c r="G463" i="5"/>
  <c r="G461" i="5"/>
  <c r="G459" i="5"/>
  <c r="G457" i="5"/>
  <c r="G455" i="5"/>
  <c r="G453" i="5"/>
  <c r="G451" i="5"/>
  <c r="G449" i="5"/>
  <c r="G447" i="5"/>
  <c r="G445" i="5"/>
  <c r="G443" i="5"/>
  <c r="G441" i="5"/>
  <c r="G439" i="5"/>
  <c r="G437" i="5"/>
  <c r="G435" i="5"/>
  <c r="G433" i="5"/>
  <c r="G431" i="5"/>
  <c r="G429" i="5"/>
  <c r="G427" i="5"/>
  <c r="G425" i="5"/>
  <c r="G423" i="5"/>
  <c r="G421" i="5"/>
  <c r="G419" i="5"/>
  <c r="G417" i="5"/>
  <c r="G415" i="5"/>
  <c r="G413" i="5"/>
  <c r="G411" i="5"/>
  <c r="G409" i="5"/>
  <c r="G407" i="5"/>
  <c r="G405" i="5"/>
  <c r="G403" i="5"/>
  <c r="G401" i="5"/>
  <c r="G399" i="5"/>
  <c r="G397" i="5"/>
  <c r="G395" i="5"/>
  <c r="G393" i="5"/>
  <c r="G627" i="5"/>
  <c r="G619" i="5"/>
  <c r="G611" i="5"/>
  <c r="G603" i="5"/>
  <c r="G595" i="5"/>
  <c r="G587" i="5"/>
  <c r="G579" i="5"/>
  <c r="G571" i="5"/>
  <c r="G563" i="5"/>
  <c r="G555" i="5"/>
  <c r="G547" i="5"/>
  <c r="G539" i="5"/>
  <c r="G531" i="5"/>
  <c r="G523" i="5"/>
  <c r="G515" i="5"/>
  <c r="G507" i="5"/>
  <c r="G489" i="5"/>
  <c r="G465" i="5"/>
  <c r="G491" i="5"/>
  <c r="G467" i="5"/>
  <c r="G493" i="5"/>
  <c r="G469" i="5"/>
  <c r="G629" i="5"/>
  <c r="G621" i="5"/>
  <c r="G613" i="5"/>
  <c r="G605" i="5"/>
  <c r="G597" i="5"/>
  <c r="G589" i="5"/>
  <c r="G581" i="5"/>
  <c r="G573" i="5"/>
  <c r="G565" i="5"/>
  <c r="G557" i="5"/>
  <c r="G549" i="5"/>
  <c r="G541" i="5"/>
  <c r="G533" i="5"/>
  <c r="G525" i="5"/>
  <c r="G517" i="5"/>
  <c r="G509" i="5"/>
  <c r="G495" i="5"/>
  <c r="G471" i="5"/>
  <c r="G497" i="5"/>
  <c r="G473" i="5"/>
  <c r="G499" i="5"/>
  <c r="G475" i="5"/>
  <c r="G462" i="5"/>
  <c r="G460" i="5"/>
  <c r="G458" i="5"/>
  <c r="G456" i="5"/>
  <c r="G454" i="5"/>
  <c r="G452" i="5"/>
  <c r="G450" i="5"/>
  <c r="G448" i="5"/>
  <c r="G446" i="5"/>
  <c r="G444" i="5"/>
  <c r="G442" i="5"/>
  <c r="G440" i="5"/>
  <c r="G438" i="5"/>
  <c r="G436" i="5"/>
  <c r="G434" i="5"/>
  <c r="G432" i="5"/>
  <c r="G430" i="5"/>
  <c r="G428" i="5"/>
  <c r="G426" i="5"/>
  <c r="G424" i="5"/>
  <c r="G422" i="5"/>
  <c r="G420" i="5"/>
  <c r="G418" i="5"/>
  <c r="G416" i="5"/>
  <c r="G414" i="5"/>
  <c r="G412" i="5"/>
  <c r="G410" i="5"/>
  <c r="G408" i="5"/>
  <c r="G406" i="5"/>
  <c r="G404" i="5"/>
  <c r="G402" i="5"/>
  <c r="G400" i="5"/>
  <c r="G398" i="5"/>
  <c r="G396" i="5"/>
  <c r="G394" i="5"/>
  <c r="G392" i="5"/>
  <c r="G390" i="5"/>
  <c r="G388" i="5"/>
  <c r="G386" i="5"/>
  <c r="G384" i="5"/>
  <c r="G382" i="5"/>
  <c r="G380" i="5"/>
  <c r="G378" i="5"/>
  <c r="G505" i="5"/>
  <c r="G485" i="5"/>
  <c r="G353" i="5"/>
  <c r="G479" i="5"/>
  <c r="E431" i="4"/>
  <c r="F431" i="4" s="1"/>
  <c r="E451" i="4"/>
  <c r="F451" i="4" s="1"/>
  <c r="E466" i="4"/>
  <c r="F466" i="4" s="1"/>
  <c r="E473" i="4"/>
  <c r="F473" i="4" s="1"/>
  <c r="E487" i="4"/>
  <c r="F487" i="4" s="1"/>
  <c r="E502" i="4"/>
  <c r="F502" i="4" s="1"/>
  <c r="E509" i="4"/>
  <c r="F509" i="4" s="1"/>
  <c r="G351" i="5"/>
  <c r="G364" i="5"/>
  <c r="G369" i="5"/>
  <c r="G376" i="5"/>
  <c r="G362" i="5"/>
  <c r="G379" i="5"/>
  <c r="G387" i="5"/>
  <c r="G529" i="5"/>
  <c r="G553" i="5"/>
  <c r="G577" i="5"/>
  <c r="G601" i="5"/>
  <c r="G625" i="5"/>
  <c r="G347" i="5"/>
  <c r="G360" i="5"/>
  <c r="G367" i="5"/>
  <c r="G374" i="5"/>
  <c r="G477" i="5"/>
  <c r="G483" i="5"/>
  <c r="G519" i="5"/>
  <c r="G543" i="5"/>
  <c r="G567" i="5"/>
  <c r="G591" i="5"/>
  <c r="G615" i="5"/>
  <c r="G283" i="5"/>
  <c r="G285" i="5"/>
  <c r="G287" i="5"/>
  <c r="G289" i="5"/>
  <c r="G291" i="5"/>
  <c r="G293" i="5"/>
  <c r="G295" i="5"/>
  <c r="G297" i="5"/>
  <c r="G299" i="5"/>
  <c r="G301" i="5"/>
  <c r="G303" i="5"/>
  <c r="G305" i="5"/>
  <c r="G307" i="5"/>
  <c r="G309" i="5"/>
  <c r="G311" i="5"/>
  <c r="G313" i="5"/>
  <c r="G315" i="5"/>
  <c r="G317" i="5"/>
  <c r="G319" i="5"/>
  <c r="G321" i="5"/>
  <c r="G323" i="5"/>
  <c r="G325" i="5"/>
  <c r="G327" i="5"/>
  <c r="G329" i="5"/>
  <c r="G331" i="5"/>
  <c r="G333" i="5"/>
  <c r="G335" i="5"/>
  <c r="G337" i="5"/>
  <c r="G339" i="5"/>
  <c r="G341" i="5"/>
  <c r="G343" i="5"/>
  <c r="G356" i="5"/>
  <c r="G365" i="5"/>
  <c r="G372" i="5"/>
  <c r="G377" i="5"/>
  <c r="G385" i="5"/>
  <c r="E427" i="4"/>
  <c r="F427" i="4" s="1"/>
  <c r="E434" i="4"/>
  <c r="F434" i="4" s="1"/>
  <c r="E447" i="4"/>
  <c r="F447" i="4" s="1"/>
  <c r="E476" i="4"/>
  <c r="F476" i="4" s="1"/>
  <c r="E483" i="4"/>
  <c r="F483" i="4" s="1"/>
  <c r="E512" i="4"/>
  <c r="F512" i="4" s="1"/>
  <c r="E519" i="4"/>
  <c r="F519" i="4" s="1"/>
  <c r="G354" i="5"/>
  <c r="G513" i="5"/>
  <c r="G537" i="5"/>
  <c r="G561" i="5"/>
  <c r="G585" i="5"/>
  <c r="G609" i="5"/>
  <c r="E4" i="5"/>
  <c r="G632" i="5"/>
  <c r="E3" i="5"/>
  <c r="F3" i="5"/>
  <c r="F633" i="5"/>
  <c r="S8" i="1" l="1"/>
  <c r="P7" i="1"/>
  <c r="P8" i="1"/>
  <c r="C75" i="3"/>
  <c r="C148" i="3"/>
  <c r="C239" i="3"/>
  <c r="C39" i="3"/>
  <c r="C147" i="3"/>
  <c r="C270" i="3"/>
  <c r="C45" i="3"/>
  <c r="C103" i="3"/>
  <c r="C104" i="3"/>
  <c r="C205" i="3"/>
  <c r="C224" i="3"/>
  <c r="C72" i="3"/>
  <c r="C228" i="3"/>
  <c r="C236" i="3"/>
  <c r="C55" i="3"/>
  <c r="C112" i="3"/>
  <c r="C216" i="3"/>
  <c r="C280" i="3"/>
  <c r="C275" i="3"/>
  <c r="C137" i="3"/>
  <c r="C227" i="3"/>
  <c r="C281" i="3"/>
  <c r="C273" i="3"/>
  <c r="C88" i="3"/>
  <c r="C253" i="3"/>
  <c r="C116" i="3"/>
  <c r="C284" i="3"/>
  <c r="C184" i="3"/>
  <c r="C38" i="3"/>
  <c r="C14" i="3"/>
  <c r="C68" i="3"/>
  <c r="C231" i="3"/>
  <c r="C61" i="3"/>
  <c r="C271" i="3"/>
  <c r="C56" i="3"/>
  <c r="C162" i="3"/>
  <c r="C118" i="3"/>
  <c r="C175" i="3"/>
  <c r="C58" i="3"/>
  <c r="C220" i="3"/>
  <c r="C85" i="3"/>
  <c r="C250" i="3"/>
  <c r="C126" i="3"/>
  <c r="C5" i="3"/>
  <c r="C149" i="3"/>
  <c r="C170" i="3"/>
  <c r="C102" i="3"/>
  <c r="C268" i="3"/>
  <c r="C129" i="3"/>
  <c r="C9" i="3"/>
  <c r="C241" i="3"/>
  <c r="C78" i="3"/>
  <c r="C54" i="3"/>
  <c r="C81" i="3"/>
  <c r="C246" i="3"/>
  <c r="C114" i="3"/>
  <c r="C13" i="3"/>
  <c r="C121" i="3"/>
  <c r="C176" i="3"/>
  <c r="C171" i="3"/>
  <c r="C203" i="3"/>
  <c r="C71" i="3"/>
  <c r="C235" i="3"/>
  <c r="C98" i="3"/>
  <c r="C264" i="3"/>
  <c r="C139" i="3"/>
  <c r="C17" i="3"/>
  <c r="C161" i="3"/>
  <c r="C182" i="3"/>
  <c r="C115" i="3"/>
  <c r="C283" i="3"/>
  <c r="C142" i="3"/>
  <c r="C252" i="3"/>
  <c r="C285" i="3"/>
  <c r="C130" i="3"/>
  <c r="C93" i="3"/>
  <c r="C94" i="3"/>
  <c r="C260" i="3"/>
  <c r="C166" i="3"/>
  <c r="C92" i="3"/>
  <c r="C189" i="3"/>
  <c r="C190" i="3"/>
  <c r="C214" i="3"/>
  <c r="C217" i="3"/>
  <c r="C84" i="3"/>
  <c r="C249" i="3"/>
  <c r="C111" i="3"/>
  <c r="C279" i="3"/>
  <c r="C152" i="3"/>
  <c r="C29" i="3"/>
  <c r="C173" i="3"/>
  <c r="C194" i="3"/>
  <c r="C128" i="3"/>
  <c r="C127" i="3"/>
  <c r="C155" i="3"/>
  <c r="C35" i="3"/>
  <c r="C66" i="3"/>
  <c r="C169" i="3"/>
  <c r="C119" i="3"/>
  <c r="C107" i="3"/>
  <c r="C274" i="3"/>
  <c r="C238" i="3"/>
  <c r="C27" i="3"/>
  <c r="C247" i="3"/>
  <c r="C204" i="3"/>
  <c r="C258" i="3"/>
  <c r="C261" i="3"/>
  <c r="C97" i="3"/>
  <c r="C263" i="3"/>
  <c r="C124" i="3"/>
  <c r="C8" i="3"/>
  <c r="C165" i="3"/>
  <c r="C41" i="3"/>
  <c r="C185" i="3"/>
  <c r="C206" i="3"/>
  <c r="C22" i="3"/>
  <c r="C141" i="3"/>
  <c r="C11" i="3"/>
  <c r="C168" i="3"/>
  <c r="C74" i="3"/>
  <c r="C144" i="3"/>
  <c r="C213" i="3"/>
  <c r="C158" i="3"/>
  <c r="C120" i="3"/>
  <c r="C67" i="3"/>
  <c r="C282" i="3"/>
  <c r="C40" i="3"/>
  <c r="C18" i="3"/>
  <c r="C234" i="3"/>
  <c r="C4" i="3"/>
  <c r="C31" i="3"/>
  <c r="C110" i="3"/>
  <c r="C277" i="3"/>
  <c r="C138" i="3"/>
  <c r="C21" i="3"/>
  <c r="C179" i="3"/>
  <c r="C53" i="3"/>
  <c r="C197" i="3"/>
  <c r="C218" i="3"/>
  <c r="C195" i="3"/>
  <c r="C154" i="3"/>
  <c r="C24" i="3"/>
  <c r="C183" i="3"/>
  <c r="C87" i="3"/>
  <c r="C200" i="3"/>
  <c r="C26" i="3"/>
  <c r="C187" i="3"/>
  <c r="C133" i="3"/>
  <c r="C145" i="3"/>
  <c r="C12" i="3"/>
  <c r="C80" i="3"/>
  <c r="C44" i="3"/>
  <c r="C248" i="3"/>
  <c r="C30" i="3"/>
  <c r="C70" i="3"/>
  <c r="C123" i="3"/>
  <c r="C52" i="3"/>
  <c r="C151" i="3"/>
  <c r="C34" i="3"/>
  <c r="C193" i="3"/>
  <c r="C65" i="3"/>
  <c r="C209" i="3"/>
  <c r="C230" i="3"/>
  <c r="C10" i="3"/>
  <c r="C167" i="3"/>
  <c r="C37" i="3"/>
  <c r="C198" i="3"/>
  <c r="C140" i="3"/>
  <c r="C243" i="3"/>
  <c r="C79" i="3"/>
  <c r="C215" i="3"/>
  <c r="C146" i="3"/>
  <c r="C229" i="3"/>
  <c r="C64" i="3"/>
  <c r="C106" i="3"/>
  <c r="C57" i="3"/>
  <c r="C262" i="3"/>
  <c r="C43" i="3"/>
  <c r="C122" i="3"/>
  <c r="C136" i="3"/>
  <c r="C7" i="3"/>
  <c r="C164" i="3"/>
  <c r="C47" i="3"/>
  <c r="C208" i="3"/>
  <c r="C77" i="3"/>
  <c r="C221" i="3"/>
  <c r="C242" i="3"/>
  <c r="C23" i="3"/>
  <c r="C181" i="3"/>
  <c r="C50" i="3"/>
  <c r="C212" i="3"/>
  <c r="C180" i="3"/>
  <c r="C272" i="3"/>
  <c r="C105" i="3"/>
  <c r="C259" i="3"/>
  <c r="C159" i="3"/>
  <c r="C16" i="3"/>
  <c r="C91" i="3"/>
  <c r="C132" i="3"/>
  <c r="C83" i="3"/>
  <c r="C276" i="3"/>
  <c r="C69" i="3"/>
  <c r="C219" i="3"/>
  <c r="C150" i="3"/>
  <c r="C20" i="3"/>
  <c r="C178" i="3"/>
  <c r="C60" i="3"/>
  <c r="C223" i="3"/>
  <c r="C89" i="3"/>
  <c r="C233" i="3"/>
  <c r="C254" i="3"/>
  <c r="C36" i="3"/>
  <c r="C196" i="3"/>
  <c r="C63" i="3"/>
  <c r="C226" i="3"/>
  <c r="C210" i="3"/>
  <c r="C48" i="3"/>
  <c r="C131" i="3"/>
  <c r="C15" i="3"/>
  <c r="C174" i="3"/>
  <c r="C95" i="3"/>
  <c r="C117" i="3"/>
  <c r="C172" i="3"/>
  <c r="C96" i="3"/>
  <c r="C25" i="3"/>
  <c r="C82" i="3"/>
  <c r="C6" i="3"/>
  <c r="C163" i="3"/>
  <c r="C33" i="3"/>
  <c r="C192" i="3"/>
  <c r="C73" i="3"/>
  <c r="C237" i="3"/>
  <c r="C101" i="3"/>
  <c r="C245" i="3"/>
  <c r="C266" i="3"/>
  <c r="C49" i="3"/>
  <c r="C211" i="3"/>
  <c r="C76" i="3"/>
  <c r="C240" i="3"/>
  <c r="C267" i="3"/>
  <c r="C100" i="3"/>
  <c r="C157" i="3"/>
  <c r="C28" i="3"/>
  <c r="C188" i="3"/>
  <c r="C160" i="3"/>
  <c r="C156" i="3"/>
  <c r="C201" i="3"/>
  <c r="C109" i="3"/>
  <c r="C143" i="3"/>
  <c r="C108" i="3"/>
  <c r="C19" i="3"/>
  <c r="C177" i="3"/>
  <c r="C46" i="3"/>
  <c r="C207" i="3"/>
  <c r="C86" i="3"/>
  <c r="C251" i="3"/>
  <c r="C113" i="3"/>
  <c r="C257" i="3"/>
  <c r="C278" i="3"/>
  <c r="C62" i="3"/>
  <c r="C225" i="3"/>
  <c r="C90" i="3"/>
  <c r="C255" i="3"/>
  <c r="C51" i="3"/>
  <c r="C153" i="3"/>
  <c r="C186" i="3"/>
  <c r="C42" i="3"/>
  <c r="C202" i="3"/>
  <c r="C232" i="3"/>
  <c r="C199" i="3"/>
  <c r="C244" i="3"/>
  <c r="C135" i="3"/>
  <c r="C256" i="3"/>
  <c r="C134" i="3"/>
  <c r="C32" i="3"/>
  <c r="C191" i="3"/>
  <c r="C59" i="3"/>
  <c r="C222" i="3"/>
  <c r="C99" i="3"/>
  <c r="C265" i="3"/>
  <c r="C125" i="3"/>
  <c r="C22" i="2"/>
  <c r="C10" i="2"/>
  <c r="C21" i="2"/>
  <c r="C9" i="2"/>
  <c r="C20" i="2"/>
  <c r="C8" i="2"/>
  <c r="C6" i="2"/>
  <c r="C4" i="2"/>
  <c r="C14" i="2"/>
  <c r="C31" i="2"/>
  <c r="C19" i="2"/>
  <c r="C7" i="2"/>
  <c r="C30" i="2"/>
  <c r="C15" i="2"/>
  <c r="C18" i="2"/>
  <c r="C28" i="2"/>
  <c r="C29" i="2"/>
  <c r="C17" i="2"/>
  <c r="C5" i="2"/>
  <c r="C16" i="2"/>
  <c r="C27" i="2"/>
  <c r="C26" i="2"/>
  <c r="C11" i="2"/>
  <c r="C23" i="2"/>
  <c r="C25" i="2"/>
  <c r="C13" i="2"/>
  <c r="C24" i="2"/>
  <c r="C12" i="2"/>
  <c r="J4" i="5"/>
  <c r="H9" i="1"/>
  <c r="K9" i="1"/>
  <c r="J2" i="5"/>
  <c r="J3" i="5"/>
  <c r="C518" i="4"/>
  <c r="C506" i="4"/>
  <c r="C494" i="4"/>
  <c r="C482" i="4"/>
  <c r="C470" i="4"/>
  <c r="C458" i="4"/>
  <c r="C446" i="4"/>
  <c r="C434" i="4"/>
  <c r="C422" i="4"/>
  <c r="C410" i="4"/>
  <c r="C398" i="4"/>
  <c r="C386" i="4"/>
  <c r="C374" i="4"/>
  <c r="C362" i="4"/>
  <c r="C350" i="4"/>
  <c r="C338" i="4"/>
  <c r="C326" i="4"/>
  <c r="C314" i="4"/>
  <c r="C302" i="4"/>
  <c r="C290" i="4"/>
  <c r="C278" i="4"/>
  <c r="C266" i="4"/>
  <c r="C254" i="4"/>
  <c r="C242" i="4"/>
  <c r="C230" i="4"/>
  <c r="C218" i="4"/>
  <c r="C206" i="4"/>
  <c r="C194" i="4"/>
  <c r="C182" i="4"/>
  <c r="C170" i="4"/>
  <c r="C158" i="4"/>
  <c r="C146" i="4"/>
  <c r="C134" i="4"/>
  <c r="C122" i="4"/>
  <c r="C110" i="4"/>
  <c r="C98" i="4"/>
  <c r="C86" i="4"/>
  <c r="C74" i="4"/>
  <c r="C62" i="4"/>
  <c r="C50" i="4"/>
  <c r="C38" i="4"/>
  <c r="C26" i="4"/>
  <c r="C14" i="4"/>
  <c r="C515" i="4"/>
  <c r="C502" i="4"/>
  <c r="C489" i="4"/>
  <c r="C476" i="4"/>
  <c r="C463" i="4"/>
  <c r="C450" i="4"/>
  <c r="C437" i="4"/>
  <c r="C424" i="4"/>
  <c r="C411" i="4"/>
  <c r="C397" i="4"/>
  <c r="C384" i="4"/>
  <c r="C371" i="4"/>
  <c r="C358" i="4"/>
  <c r="C345" i="4"/>
  <c r="C332" i="4"/>
  <c r="C319" i="4"/>
  <c r="C306" i="4"/>
  <c r="C293" i="4"/>
  <c r="C280" i="4"/>
  <c r="C267" i="4"/>
  <c r="C253" i="4"/>
  <c r="C240" i="4"/>
  <c r="C227" i="4"/>
  <c r="C214" i="4"/>
  <c r="C201" i="4"/>
  <c r="C188" i="4"/>
  <c r="C175" i="4"/>
  <c r="C162" i="4"/>
  <c r="C149" i="4"/>
  <c r="C136" i="4"/>
  <c r="C123" i="4"/>
  <c r="C109" i="4"/>
  <c r="C96" i="4"/>
  <c r="C83" i="4"/>
  <c r="C70" i="4"/>
  <c r="C57" i="4"/>
  <c r="C44" i="4"/>
  <c r="C31" i="4"/>
  <c r="C18" i="4"/>
  <c r="C5" i="4"/>
  <c r="C510" i="4"/>
  <c r="C497" i="4"/>
  <c r="C484" i="4"/>
  <c r="C471" i="4"/>
  <c r="C457" i="4"/>
  <c r="C444" i="4"/>
  <c r="C431" i="4"/>
  <c r="C418" i="4"/>
  <c r="C405" i="4"/>
  <c r="C392" i="4"/>
  <c r="C379" i="4"/>
  <c r="C366" i="4"/>
  <c r="C353" i="4"/>
  <c r="C340" i="4"/>
  <c r="C327" i="4"/>
  <c r="C313" i="4"/>
  <c r="C300" i="4"/>
  <c r="C287" i="4"/>
  <c r="C274" i="4"/>
  <c r="C261" i="4"/>
  <c r="C248" i="4"/>
  <c r="C235" i="4"/>
  <c r="C222" i="4"/>
  <c r="C209" i="4"/>
  <c r="C196" i="4"/>
  <c r="C183" i="4"/>
  <c r="C169" i="4"/>
  <c r="C156" i="4"/>
  <c r="C143" i="4"/>
  <c r="C130" i="4"/>
  <c r="C117" i="4"/>
  <c r="C521" i="4"/>
  <c r="C505" i="4"/>
  <c r="C490" i="4"/>
  <c r="C474" i="4"/>
  <c r="C459" i="4"/>
  <c r="C442" i="4"/>
  <c r="C427" i="4"/>
  <c r="C412" i="4"/>
  <c r="C395" i="4"/>
  <c r="C380" i="4"/>
  <c r="C364" i="4"/>
  <c r="C348" i="4"/>
  <c r="C333" i="4"/>
  <c r="C317" i="4"/>
  <c r="C301" i="4"/>
  <c r="C285" i="4"/>
  <c r="C270" i="4"/>
  <c r="C255" i="4"/>
  <c r="C238" i="4"/>
  <c r="C223" i="4"/>
  <c r="C207" i="4"/>
  <c r="C191" i="4"/>
  <c r="C176" i="4"/>
  <c r="C160" i="4"/>
  <c r="C144" i="4"/>
  <c r="C128" i="4"/>
  <c r="C113" i="4"/>
  <c r="C99" i="4"/>
  <c r="C84" i="4"/>
  <c r="C69" i="4"/>
  <c r="C55" i="4"/>
  <c r="C41" i="4"/>
  <c r="C27" i="4"/>
  <c r="C12" i="4"/>
  <c r="C513" i="4"/>
  <c r="C498" i="4"/>
  <c r="C481" i="4"/>
  <c r="C466" i="4"/>
  <c r="C451" i="4"/>
  <c r="C435" i="4"/>
  <c r="C419" i="4"/>
  <c r="C403" i="4"/>
  <c r="C388" i="4"/>
  <c r="C372" i="4"/>
  <c r="C356" i="4"/>
  <c r="C341" i="4"/>
  <c r="C324" i="4"/>
  <c r="C309" i="4"/>
  <c r="C294" i="4"/>
  <c r="C277" i="4"/>
  <c r="C262" i="4"/>
  <c r="C246" i="4"/>
  <c r="C231" i="4"/>
  <c r="C215" i="4"/>
  <c r="C199" i="4"/>
  <c r="C184" i="4"/>
  <c r="C167" i="4"/>
  <c r="C152" i="4"/>
  <c r="C137" i="4"/>
  <c r="C120" i="4"/>
  <c r="C105" i="4"/>
  <c r="C91" i="4"/>
  <c r="C77" i="4"/>
  <c r="C63" i="4"/>
  <c r="C48" i="4"/>
  <c r="C34" i="4"/>
  <c r="C20" i="4"/>
  <c r="C6" i="4"/>
  <c r="C520" i="4"/>
  <c r="C501" i="4"/>
  <c r="C483" i="4"/>
  <c r="C464" i="4"/>
  <c r="C445" i="4"/>
  <c r="C426" i="4"/>
  <c r="C407" i="4"/>
  <c r="C389" i="4"/>
  <c r="C369" i="4"/>
  <c r="C351" i="4"/>
  <c r="C331" i="4"/>
  <c r="C312" i="4"/>
  <c r="C295" i="4"/>
  <c r="C275" i="4"/>
  <c r="C257" i="4"/>
  <c r="C237" i="4"/>
  <c r="C219" i="4"/>
  <c r="C200" i="4"/>
  <c r="C180" i="4"/>
  <c r="C163" i="4"/>
  <c r="C142" i="4"/>
  <c r="C125" i="4"/>
  <c r="C106" i="4"/>
  <c r="C89" i="4"/>
  <c r="C72" i="4"/>
  <c r="C54" i="4"/>
  <c r="C37" i="4"/>
  <c r="C21" i="4"/>
  <c r="C4" i="4"/>
  <c r="C519" i="4"/>
  <c r="C500" i="4"/>
  <c r="C480" i="4"/>
  <c r="C462" i="4"/>
  <c r="C443" i="4"/>
  <c r="C425" i="4"/>
  <c r="C406" i="4"/>
  <c r="C387" i="4"/>
  <c r="C368" i="4"/>
  <c r="C349" i="4"/>
  <c r="C330" i="4"/>
  <c r="C311" i="4"/>
  <c r="C292" i="4"/>
  <c r="C273" i="4"/>
  <c r="C256" i="4"/>
  <c r="C236" i="4"/>
  <c r="C217" i="4"/>
  <c r="C198" i="4"/>
  <c r="C179" i="4"/>
  <c r="C161" i="4"/>
  <c r="C141" i="4"/>
  <c r="C124" i="4"/>
  <c r="C104" i="4"/>
  <c r="C88" i="4"/>
  <c r="C71" i="4"/>
  <c r="C53" i="4"/>
  <c r="C36" i="4"/>
  <c r="C19" i="4"/>
  <c r="C517" i="4"/>
  <c r="C499" i="4"/>
  <c r="C479" i="4"/>
  <c r="C461" i="4"/>
  <c r="C441" i="4"/>
  <c r="C423" i="4"/>
  <c r="C404" i="4"/>
  <c r="C385" i="4"/>
  <c r="C367" i="4"/>
  <c r="C347" i="4"/>
  <c r="C329" i="4"/>
  <c r="C310" i="4"/>
  <c r="C291" i="4"/>
  <c r="C272" i="4"/>
  <c r="C252" i="4"/>
  <c r="C234" i="4"/>
  <c r="C216" i="4"/>
  <c r="C197" i="4"/>
  <c r="C178" i="4"/>
  <c r="C514" i="4"/>
  <c r="C495" i="4"/>
  <c r="C477" i="4"/>
  <c r="C456" i="4"/>
  <c r="C439" i="4"/>
  <c r="C420" i="4"/>
  <c r="C401" i="4"/>
  <c r="C382" i="4"/>
  <c r="C363" i="4"/>
  <c r="C344" i="4"/>
  <c r="C325" i="4"/>
  <c r="C307" i="4"/>
  <c r="C288" i="4"/>
  <c r="C269" i="4"/>
  <c r="C250" i="4"/>
  <c r="C232" i="4"/>
  <c r="C212" i="4"/>
  <c r="C193" i="4"/>
  <c r="C174" i="4"/>
  <c r="C155" i="4"/>
  <c r="C138" i="4"/>
  <c r="C118" i="4"/>
  <c r="C101" i="4"/>
  <c r="C82" i="4"/>
  <c r="C66" i="4"/>
  <c r="C49" i="4"/>
  <c r="C32" i="4"/>
  <c r="C15" i="4"/>
  <c r="C508" i="4"/>
  <c r="C488" i="4"/>
  <c r="C469" i="4"/>
  <c r="C452" i="4"/>
  <c r="C432" i="4"/>
  <c r="C414" i="4"/>
  <c r="C394" i="4"/>
  <c r="C376" i="4"/>
  <c r="C357" i="4"/>
  <c r="C337" i="4"/>
  <c r="C320" i="4"/>
  <c r="C299" i="4"/>
  <c r="C282" i="4"/>
  <c r="C263" i="4"/>
  <c r="C244" i="4"/>
  <c r="C225" i="4"/>
  <c r="C205" i="4"/>
  <c r="C187" i="4"/>
  <c r="C168" i="4"/>
  <c r="C150" i="4"/>
  <c r="C131" i="4"/>
  <c r="C112" i="4"/>
  <c r="C94" i="4"/>
  <c r="C78" i="4"/>
  <c r="C60" i="4"/>
  <c r="C43" i="4"/>
  <c r="C25" i="4"/>
  <c r="C9" i="4"/>
  <c r="C491" i="4"/>
  <c r="C455" i="4"/>
  <c r="C428" i="4"/>
  <c r="C393" i="4"/>
  <c r="C360" i="4"/>
  <c r="C328" i="4"/>
  <c r="C297" i="4"/>
  <c r="C264" i="4"/>
  <c r="C229" i="4"/>
  <c r="C202" i="4"/>
  <c r="C166" i="4"/>
  <c r="C139" i="4"/>
  <c r="C111" i="4"/>
  <c r="C85" i="4"/>
  <c r="C59" i="4"/>
  <c r="C33" i="4"/>
  <c r="C8" i="4"/>
  <c r="C522" i="4"/>
  <c r="C487" i="4"/>
  <c r="C454" i="4"/>
  <c r="C421" i="4"/>
  <c r="C391" i="4"/>
  <c r="C359" i="4"/>
  <c r="C323" i="4"/>
  <c r="C296" i="4"/>
  <c r="C260" i="4"/>
  <c r="C228" i="4"/>
  <c r="C195" i="4"/>
  <c r="C165" i="4"/>
  <c r="C135" i="4"/>
  <c r="C108" i="4"/>
  <c r="C81" i="4"/>
  <c r="C58" i="4"/>
  <c r="C30" i="4"/>
  <c r="C7" i="4"/>
  <c r="C516" i="4"/>
  <c r="C486" i="4"/>
  <c r="C453" i="4"/>
  <c r="C417" i="4"/>
  <c r="C390" i="4"/>
  <c r="C355" i="4"/>
  <c r="C322" i="4"/>
  <c r="C289" i="4"/>
  <c r="C259" i="4"/>
  <c r="C226" i="4"/>
  <c r="C192" i="4"/>
  <c r="C164" i="4"/>
  <c r="C133" i="4"/>
  <c r="C107" i="4"/>
  <c r="C80" i="4"/>
  <c r="C56" i="4"/>
  <c r="C29" i="4"/>
  <c r="C512" i="4"/>
  <c r="C485" i="4"/>
  <c r="C449" i="4"/>
  <c r="C416" i="4"/>
  <c r="C383" i="4"/>
  <c r="C354" i="4"/>
  <c r="C321" i="4"/>
  <c r="C286" i="4"/>
  <c r="C258" i="4"/>
  <c r="C224" i="4"/>
  <c r="C190" i="4"/>
  <c r="C159" i="4"/>
  <c r="C132" i="4"/>
  <c r="C103" i="4"/>
  <c r="C79" i="4"/>
  <c r="C52" i="4"/>
  <c r="C28" i="4"/>
  <c r="C511" i="4"/>
  <c r="C478" i="4"/>
  <c r="C448" i="4"/>
  <c r="C415" i="4"/>
  <c r="C381" i="4"/>
  <c r="C352" i="4"/>
  <c r="C318" i="4"/>
  <c r="C284" i="4"/>
  <c r="C251" i="4"/>
  <c r="C221" i="4"/>
  <c r="C189" i="4"/>
  <c r="C157" i="4"/>
  <c r="C129" i="4"/>
  <c r="C102" i="4"/>
  <c r="C76" i="4"/>
  <c r="C51" i="4"/>
  <c r="C24" i="4"/>
  <c r="C496" i="4"/>
  <c r="C467" i="4"/>
  <c r="C433" i="4"/>
  <c r="C400" i="4"/>
  <c r="C370" i="4"/>
  <c r="C336" i="4"/>
  <c r="C304" i="4"/>
  <c r="C271" i="4"/>
  <c r="C241" i="4"/>
  <c r="C208" i="4"/>
  <c r="C173" i="4"/>
  <c r="C147" i="4"/>
  <c r="C116" i="4"/>
  <c r="C92" i="4"/>
  <c r="C65" i="4"/>
  <c r="C40" i="4"/>
  <c r="C13" i="4"/>
  <c r="C493" i="4"/>
  <c r="C430" i="4"/>
  <c r="C365" i="4"/>
  <c r="C303" i="4"/>
  <c r="C239" i="4"/>
  <c r="C172" i="4"/>
  <c r="C115" i="4"/>
  <c r="C64" i="4"/>
  <c r="C11" i="4"/>
  <c r="C492" i="4"/>
  <c r="C429" i="4"/>
  <c r="C361" i="4"/>
  <c r="C298" i="4"/>
  <c r="C233" i="4"/>
  <c r="C171" i="4"/>
  <c r="C114" i="4"/>
  <c r="C61" i="4"/>
  <c r="C10" i="4"/>
  <c r="C475" i="4"/>
  <c r="C413" i="4"/>
  <c r="C346" i="4"/>
  <c r="C283" i="4"/>
  <c r="C220" i="4"/>
  <c r="C154" i="4"/>
  <c r="C100" i="4"/>
  <c r="C47" i="4"/>
  <c r="C316" i="4"/>
  <c r="C473" i="4"/>
  <c r="C409" i="4"/>
  <c r="C343" i="4"/>
  <c r="C281" i="4"/>
  <c r="C213" i="4"/>
  <c r="C153" i="4"/>
  <c r="C97" i="4"/>
  <c r="C46" i="4"/>
  <c r="C399" i="4"/>
  <c r="C204" i="4"/>
  <c r="C90" i="4"/>
  <c r="C447" i="4"/>
  <c r="C127" i="4"/>
  <c r="C23" i="4"/>
  <c r="C177" i="4"/>
  <c r="C16" i="4"/>
  <c r="C472" i="4"/>
  <c r="C408" i="4"/>
  <c r="C342" i="4"/>
  <c r="C279" i="4"/>
  <c r="C211" i="4"/>
  <c r="C151" i="4"/>
  <c r="C95" i="4"/>
  <c r="C45" i="4"/>
  <c r="C335" i="4"/>
  <c r="C468" i="4"/>
  <c r="C402" i="4"/>
  <c r="C339" i="4"/>
  <c r="C276" i="4"/>
  <c r="C210" i="4"/>
  <c r="C148" i="4"/>
  <c r="C93" i="4"/>
  <c r="C42" i="4"/>
  <c r="C465" i="4"/>
  <c r="C268" i="4"/>
  <c r="C145" i="4"/>
  <c r="C39" i="4"/>
  <c r="C75" i="4"/>
  <c r="C436" i="4"/>
  <c r="C373" i="4"/>
  <c r="C243" i="4"/>
  <c r="C67" i="4"/>
  <c r="C460" i="4"/>
  <c r="C396" i="4"/>
  <c r="C334" i="4"/>
  <c r="C265" i="4"/>
  <c r="C203" i="4"/>
  <c r="C140" i="4"/>
  <c r="C87" i="4"/>
  <c r="C35" i="4"/>
  <c r="C249" i="4"/>
  <c r="C503" i="4"/>
  <c r="C119" i="4"/>
  <c r="C509" i="4"/>
  <c r="C378" i="4"/>
  <c r="C186" i="4"/>
  <c r="C507" i="4"/>
  <c r="C440" i="4"/>
  <c r="C377" i="4"/>
  <c r="C315" i="4"/>
  <c r="C247" i="4"/>
  <c r="C185" i="4"/>
  <c r="C126" i="4"/>
  <c r="C73" i="4"/>
  <c r="C22" i="4"/>
  <c r="C504" i="4"/>
  <c r="C438" i="4"/>
  <c r="C375" i="4"/>
  <c r="C308" i="4"/>
  <c r="C245" i="4"/>
  <c r="C181" i="4"/>
  <c r="C121" i="4"/>
  <c r="C68" i="4"/>
  <c r="C17" i="4"/>
  <c r="C305" i="4"/>
  <c r="G9" i="1"/>
  <c r="J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<sst xmlns="http://schemas.openxmlformats.org/spreadsheetml/2006/main" count="719" uniqueCount="669">
  <si>
    <t>class</t>
  </si>
  <si>
    <t>NOCom</t>
  </si>
  <si>
    <t>NCLOC</t>
  </si>
  <si>
    <t>DCP</t>
  </si>
  <si>
    <t>./src/main/java/org/jfree/chart/annotations/AbstractAnnotation.java</t>
  </si>
  <si>
    <t>./src/main/java/org/jfree/chart/annotations/AbstractXYAnnotation.java</t>
  </si>
  <si>
    <t>Médiane m:</t>
  </si>
  <si>
    <t>./src/main/java/org/jfree/chart/annotations/Annotation.java</t>
  </si>
  <si>
    <t>Quartile supérieur u:</t>
  </si>
  <si>
    <t>./src/main/java/org/jfree/chart/annotations/CategoryAnnotation.java</t>
  </si>
  <si>
    <t>Quartile inférieur l:</t>
  </si>
  <si>
    <t>./src/main/java/org/jfree/chart/annotations/CategoryLineAnnotation.java</t>
  </si>
  <si>
    <t>Longeur d:</t>
  </si>
  <si>
    <t>./src/main/java/org/jfree/chart/annotations/CategoryPointerAnnotation.java</t>
  </si>
  <si>
    <t>Limite supérieure s:</t>
  </si>
  <si>
    <t>./src/main/java/org/jfree/chart/annotations/CategoryTextAnnotation.java</t>
  </si>
  <si>
    <t>Min:</t>
  </si>
  <si>
    <t>./src/main/java/org/jfree/chart/annotations/TextAnnotation.java</t>
  </si>
  <si>
    <t>Limite inférieure i:</t>
  </si>
  <si>
    <t>./src/main/java/org/jfree/chart/annotations/XYAnnotation.java</t>
  </si>
  <si>
    <t>Max:</t>
  </si>
  <si>
    <t>./src/main/java/org/jfree/chart/annotations/XYAnnotationBoundsInfo.java</t>
  </si>
  <si>
    <t>./src/main/java/org/jfree/chart/annotations/XYBoxAnnotation.java</t>
  </si>
  <si>
    <t>./src/main/java/org/jfree/chart/annotations/XYDataImageAnnotation.java</t>
  </si>
  <si>
    <t>./src/main/java/org/jfree/chart/annotations/XYDrawableAnnotation.java</t>
  </si>
  <si>
    <t>Droites de régressions:</t>
  </si>
  <si>
    <t>./src/main/java/org/jfree/chart/annotations/XYImageAnnotation.java</t>
  </si>
  <si>
    <t>./src/main/java/org/jfree/chart/annotations/XYLineAnnotation.java</t>
  </si>
  <si>
    <t>./src/main/java/org/jfree/chart/annotations/XYPointerAnnotation.java</t>
  </si>
  <si>
    <t>./src/main/java/org/jfree/chart/annotations/XYPolygonAnnotation.java</t>
  </si>
  <si>
    <t>./src/main/java/org/jfree/chart/annotations/XYShapeAnnotation.java</t>
  </si>
  <si>
    <t>./src/main/java/org/jfree/chart/annotations/XYTextAnnotation.java</t>
  </si>
  <si>
    <t>./src/main/java/org/jfree/chart/annotations/XYTitleAnnotation.java</t>
  </si>
  <si>
    <t>./src/main/java/org/jfree/chart/api/HorizontalAlignment.java</t>
  </si>
  <si>
    <t>./src/main/java/org/jfree/chart/api/Layer.java</t>
  </si>
  <si>
    <t>./src/main/java/org/jfree/chart/api/LengthAdjustmentType.java</t>
  </si>
  <si>
    <t>./src/main/java/org/jfree/chart/api/PublicCloneable.java</t>
  </si>
  <si>
    <t>./src/main/java/org/jfree/chart/api/RectangleAlignment.java</t>
  </si>
  <si>
    <t>./src/main/java/org/jfree/chart/api/RectangleAnchor.java</t>
  </si>
  <si>
    <t>./src/main/java/org/jfree/chart/api/RectangleEdge.java</t>
  </si>
  <si>
    <t>./src/main/java/org/jfree/chart/api/RectangleInsets.java</t>
  </si>
  <si>
    <t>./src/main/java/org/jfree/chart/api/Rotation.java</t>
  </si>
  <si>
    <t>./src/main/java/org/jfree/chart/api/SortOrder.java</t>
  </si>
  <si>
    <t>./src/main/java/org/jfree/chart/api/TableOrder.java</t>
  </si>
  <si>
    <t>./src/main/java/org/jfree/chart/api/UnitType.java</t>
  </si>
  <si>
    <t>./src/main/java/org/jfree/chart/api/VerticalAlignment.java</t>
  </si>
  <si>
    <t>./src/main/java/org/jfree/chart/api/XYCoordinateType.java</t>
  </si>
  <si>
    <t>./src/main/java/org/jfree/chart/axis/Axis.java</t>
  </si>
  <si>
    <t>./src/main/java/org/jfree/chart/axis/AxisCollection.java</t>
  </si>
  <si>
    <t>./src/main/java/org/jfree/chart/axis/AxisLabelLocation.java</t>
  </si>
  <si>
    <t>./src/main/java/org/jfree/chart/axis/AxisLocation.java</t>
  </si>
  <si>
    <t>./src/main/java/org/jfree/chart/axis/AxisSpace.java</t>
  </si>
  <si>
    <t>./src/main/java/org/jfree/chart/axis/AxisState.java</t>
  </si>
  <si>
    <t>./src/main/java/org/jfree/chart/axis/CategoryAnchor.java</t>
  </si>
  <si>
    <t>./src/main/java/org/jfree/chart/axis/CategoryAxis.java</t>
  </si>
  <si>
    <t>./src/main/java/org/jfree/chart/axis/CategoryLabelPosition.java</t>
  </si>
  <si>
    <t>./src/main/java/org/jfree/chart/axis/CategoryLabelPositions.java</t>
  </si>
  <si>
    <t>./src/main/java/org/jfree/chart/axis/CategoryLabelWidthType.java</t>
  </si>
  <si>
    <t>./src/main/java/org/jfree/chart/axis/CategoryTick.java</t>
  </si>
  <si>
    <t>./src/main/java/org/jfree/chart/axis/CompassFormat.java</t>
  </si>
  <si>
    <t>./src/main/java/org/jfree/chart/axis/CyclicNumberAxis.java</t>
  </si>
  <si>
    <t>./src/main/java/org/jfree/chart/axis/DateAxis.java</t>
  </si>
  <si>
    <t>./src/main/java/org/jfree/chart/axis/DateTick.java</t>
  </si>
  <si>
    <t>./src/main/java/org/jfree/chart/axis/DateTickMarkPosition.java</t>
  </si>
  <si>
    <t>./src/main/java/org/jfree/chart/axis/DateTickUnit.java</t>
  </si>
  <si>
    <t>./src/main/java/org/jfree/chart/axis/DateTickUnitType.java</t>
  </si>
  <si>
    <t>./src/main/java/org/jfree/chart/axis/ExtendedCategoryAxis.java</t>
  </si>
  <si>
    <t>./src/main/java/org/jfree/chart/axis/LogarithmicAxis.java</t>
  </si>
  <si>
    <t>./src/main/java/org/jfree/chart/axis/LogAxis.java</t>
  </si>
  <si>
    <t>./src/main/java/org/jfree/chart/axis/LogTick.java</t>
  </si>
  <si>
    <t>./src/main/java/org/jfree/chart/axis/MarkerAxisBand.java</t>
  </si>
  <si>
    <t>./src/main/java/org/jfree/chart/axis/ModuloAxis.java</t>
  </si>
  <si>
    <t>./src/main/java/org/jfree/chart/axis/MonthDateFormat.java</t>
  </si>
  <si>
    <t>./src/main/java/org/jfree/chart/axis/NumberAxis.java</t>
  </si>
  <si>
    <t>./src/main/java/org/jfree/chart/axis/NumberTick.java</t>
  </si>
  <si>
    <t>./src/main/java/org/jfree/chart/axis/NumberTickUnit.java</t>
  </si>
  <si>
    <t>./src/main/java/org/jfree/chart/axis/NumberTickUnitSource.java</t>
  </si>
  <si>
    <t>./src/main/java/org/jfree/chart/axis/PeriodAxis.java</t>
  </si>
  <si>
    <t>./src/main/java/org/jfree/chart/axis/PeriodAxisLabelInfo.java</t>
  </si>
  <si>
    <t>./src/main/java/org/jfree/chart/axis/QuarterDateFormat.java</t>
  </si>
  <si>
    <t>./src/main/java/org/jfree/chart/axis/StandardTickUnitSource.java</t>
  </si>
  <si>
    <t>./src/main/java/org/jfree/chart/axis/SubCategoryAxis.java</t>
  </si>
  <si>
    <t>./src/main/java/org/jfree/chart/axis/SymbolAxis.java</t>
  </si>
  <si>
    <t>./src/main/java/org/jfree/chart/axis/Tick.java</t>
  </si>
  <si>
    <t>./src/main/java/org/jfree/chart/axis/TickType.java</t>
  </si>
  <si>
    <t>./src/main/java/org/jfree/chart/axis/TickUnit.java</t>
  </si>
  <si>
    <t>./src/main/java/org/jfree/chart/axis/TickUnits.java</t>
  </si>
  <si>
    <t>./src/main/java/org/jfree/chart/axis/TickUnitSource.java</t>
  </si>
  <si>
    <t>./src/main/java/org/jfree/chart/axis/Timeline.java</t>
  </si>
  <si>
    <t>./src/main/java/org/jfree/chart/axis/ValueAxis.java</t>
  </si>
  <si>
    <t>./src/main/java/org/jfree/chart/axis/ValueTick.java</t>
  </si>
  <si>
    <t>./src/main/java/org/jfree/chart/block/AbstractBlock.java</t>
  </si>
  <si>
    <t>./src/main/java/org/jfree/chart/block/Arrangement.java</t>
  </si>
  <si>
    <t>./src/main/java/org/jfree/chart/block/Block.java</t>
  </si>
  <si>
    <t>./src/main/java/org/jfree/chart/block/BlockBorder.java</t>
  </si>
  <si>
    <t>./src/main/java/org/jfree/chart/block/BlockContainer.java</t>
  </si>
  <si>
    <t>./src/main/java/org/jfree/chart/block/BlockFrame.java</t>
  </si>
  <si>
    <t>./src/main/java/org/jfree/chart/block/BlockParams.java</t>
  </si>
  <si>
    <t>./src/main/java/org/jfree/chart/block/BlockResult.java</t>
  </si>
  <si>
    <t>./src/main/java/org/jfree/chart/block/BorderArrangement.java</t>
  </si>
  <si>
    <t>./src/main/java/org/jfree/chart/block/CenterArrangement.java</t>
  </si>
  <si>
    <t>./src/main/java/org/jfree/chart/block/ColorBlock.java</t>
  </si>
  <si>
    <t>./src/main/java/org/jfree/chart/block/ColumnArrangement.java</t>
  </si>
  <si>
    <t>./src/main/java/org/jfree/chart/block/EmptyBlock.java</t>
  </si>
  <si>
    <t>./src/main/java/org/jfree/chart/block/EntityBlockParams.java</t>
  </si>
  <si>
    <t>./src/main/java/org/jfree/chart/block/EntityBlockResult.java</t>
  </si>
  <si>
    <t>./src/main/java/org/jfree/chart/block/FlowArrangement.java</t>
  </si>
  <si>
    <t>./src/main/java/org/jfree/chart/block/GridArrangement.java</t>
  </si>
  <si>
    <t>./src/main/java/org/jfree/chart/block/LabelBlock.java</t>
  </si>
  <si>
    <t>./src/main/java/org/jfree/chart/block/LengthConstraintType.java</t>
  </si>
  <si>
    <t>./src/main/java/org/jfree/chart/block/LineBorder.java</t>
  </si>
  <si>
    <t>./src/main/java/org/jfree/chart/block/RectangleConstraint.java</t>
  </si>
  <si>
    <t>./src/main/java/org/jfree/chart/block/Size2D.java</t>
  </si>
  <si>
    <t>./src/main/java/org/jfree/chart/ChartColor.java</t>
  </si>
  <si>
    <t>./src/main/java/org/jfree/chart/ChartElement.java</t>
  </si>
  <si>
    <t>./src/main/java/org/jfree/chart/ChartElementVisitor.java</t>
  </si>
  <si>
    <t>./src/main/java/org/jfree/chart/ChartFactory.java</t>
  </si>
  <si>
    <t>./src/main/java/org/jfree/chart/ChartHints.java</t>
  </si>
  <si>
    <t>./src/main/java/org/jfree/chart/ChartRenderingInfo.java</t>
  </si>
  <si>
    <t>./src/main/java/org/jfree/chart/ChartTheme.java</t>
  </si>
  <si>
    <t>./src/main/java/org/jfree/chart/ChartTransferable.java</t>
  </si>
  <si>
    <t>./src/main/java/org/jfree/chart/ChartUtils.java</t>
  </si>
  <si>
    <t>./src/main/java/org/jfree/chart/date/MonthConstants.java</t>
  </si>
  <si>
    <t>./src/main/java/org/jfree/chart/date/SerialDate.java</t>
  </si>
  <si>
    <t>./src/main/java/org/jfree/chart/date/SpreadsheetDate.java</t>
  </si>
  <si>
    <t>./src/main/java/org/jfree/chart/Drawable.java</t>
  </si>
  <si>
    <t>./src/main/java/org/jfree/chart/encoders/EncoderUtil.java</t>
  </si>
  <si>
    <t>./src/main/java/org/jfree/chart/encoders/ImageEncoder.java</t>
  </si>
  <si>
    <t>./src/main/java/org/jfree/chart/encoders/ImageEncoderFactory.java</t>
  </si>
  <si>
    <t>./src/main/java/org/jfree/chart/encoders/ImageFormat.java</t>
  </si>
  <si>
    <t>./src/main/java/org/jfree/chart/encoders/SunJPEGEncoderAdapter.java</t>
  </si>
  <si>
    <t>./src/main/java/org/jfree/chart/encoders/SunPNGEncoderAdapter.java</t>
  </si>
  <si>
    <t>./src/main/java/org/jfree/chart/entity/AxisEntity.java</t>
  </si>
  <si>
    <t>./src/main/java/org/jfree/chart/entity/CategoryItemEntity.java</t>
  </si>
  <si>
    <t>./src/main/java/org/jfree/chart/entity/CategoryLabelEntity.java</t>
  </si>
  <si>
    <t>./src/main/java/org/jfree/chart/entity/ChartEntity.java</t>
  </si>
  <si>
    <t>./src/main/java/org/jfree/chart/entity/EntityCollection.java</t>
  </si>
  <si>
    <t>./src/main/java/org/jfree/chart/entity/FlowEntity.java</t>
  </si>
  <si>
    <t>./src/main/java/org/jfree/chart/entity/JFreeChartEntity.java</t>
  </si>
  <si>
    <t>./src/main/java/org/jfree/chart/entity/LegendItemEntity.java</t>
  </si>
  <si>
    <t>./src/main/java/org/jfree/chart/entity/NodeEntity.java</t>
  </si>
  <si>
    <t>./src/main/java/org/jfree/chart/entity/PieSectionEntity.java</t>
  </si>
  <si>
    <t>./src/main/java/org/jfree/chart/entity/PlotEntity.java</t>
  </si>
  <si>
    <t>./src/main/java/org/jfree/chart/entity/StandardEntityCollection.java</t>
  </si>
  <si>
    <t>./src/main/java/org/jfree/chart/entity/TickLabelEntity.java</t>
  </si>
  <si>
    <t>./src/main/java/org/jfree/chart/entity/TitleEntity.java</t>
  </si>
  <si>
    <t>./src/main/java/org/jfree/chart/entity/XYAnnotationEntity.java</t>
  </si>
  <si>
    <t>./src/main/java/org/jfree/chart/entity/XYItemEntity.java</t>
  </si>
  <si>
    <t>./src/main/java/org/jfree/chart/event/AnnotationChangeEvent.java</t>
  </si>
  <si>
    <t>./src/main/java/org/jfree/chart/event/AnnotationChangeListener.java</t>
  </si>
  <si>
    <t>./src/main/java/org/jfree/chart/event/AxisChangeEvent.java</t>
  </si>
  <si>
    <t>./src/main/java/org/jfree/chart/event/AxisChangeListener.java</t>
  </si>
  <si>
    <t>./src/main/java/org/jfree/chart/event/ChartChangeEvent.java</t>
  </si>
  <si>
    <t>./src/main/java/org/jfree/chart/event/ChartChangeEventType.java</t>
  </si>
  <si>
    <t>./src/main/java/org/jfree/chart/event/ChartChangeListener.java</t>
  </si>
  <si>
    <t>./src/main/java/org/jfree/chart/event/ChartProgressEvent.java</t>
  </si>
  <si>
    <t>./src/main/java/org/jfree/chart/event/ChartProgressEventType.java</t>
  </si>
  <si>
    <t>./src/main/java/org/jfree/chart/event/ChartProgressListener.java</t>
  </si>
  <si>
    <t>./src/main/java/org/jfree/chart/event/MarkerChangeEvent.java</t>
  </si>
  <si>
    <t>./src/main/java/org/jfree/chart/event/MarkerChangeListener.java</t>
  </si>
  <si>
    <t>./src/main/java/org/jfree/chart/event/PlotChangeEvent.java</t>
  </si>
  <si>
    <t>./src/main/java/org/jfree/chart/event/PlotChangeListener.java</t>
  </si>
  <si>
    <t>./src/main/java/org/jfree/chart/event/RendererChangeEvent.java</t>
  </si>
  <si>
    <t>./src/main/java/org/jfree/chart/event/RendererChangeListener.java</t>
  </si>
  <si>
    <t>./src/main/java/org/jfree/chart/event/TitleChangeEvent.java</t>
  </si>
  <si>
    <t>./src/main/java/org/jfree/chart/event/TitleChangeListener.java</t>
  </si>
  <si>
    <t>./src/main/java/org/jfree/chart/imagemap/DynamicDriveToolTipTagFragmentGenerator.java</t>
  </si>
  <si>
    <t>./src/main/java/org/jfree/chart/imagemap/ImageMapUtils.java</t>
  </si>
  <si>
    <t>./src/main/java/org/jfree/chart/imagemap/OverLIBToolTipTagFragmentGenerator.java</t>
  </si>
  <si>
    <t>./src/main/java/org/jfree/chart/imagemap/StandardToolTipTagFragmentGenerator.java</t>
  </si>
  <si>
    <t>./src/main/java/org/jfree/chart/imagemap/StandardURLTagFragmentGenerator.java</t>
  </si>
  <si>
    <t>./src/main/java/org/jfree/chart/imagemap/ToolTipTagFragmentGenerator.java</t>
  </si>
  <si>
    <t>./src/main/java/org/jfree/chart/imagemap/URLTagFragmentGenerator.java</t>
  </si>
  <si>
    <t>./src/main/java/org/jfree/chart/internal/Args.java</t>
  </si>
  <si>
    <t>./src/main/java/org/jfree/chart/internal/ArrayUtils.java</t>
  </si>
  <si>
    <t>./src/main/java/org/jfree/chart/internal/CloneUtils.java</t>
  </si>
  <si>
    <t>./src/main/java/org/jfree/chart/internal/HashUtils.java</t>
  </si>
  <si>
    <t>./src/main/java/org/jfree/chart/internal/LineUtils.java</t>
  </si>
  <si>
    <t>./src/main/java/org/jfree/chart/internal/PaintUtils.java</t>
  </si>
  <si>
    <t>./src/main/java/org/jfree/chart/internal/SerialUtils.java</t>
  </si>
  <si>
    <t>./src/main/java/org/jfree/chart/internal/ShapeUtils.java</t>
  </si>
  <si>
    <t>./src/main/java/org/jfree/chart/JFreeChart.java</t>
  </si>
  <si>
    <t>./src/main/java/org/jfree/chart/labels/AbstractCategoryItemLabelGenerator.java</t>
  </si>
  <si>
    <t>./src/main/java/org/jfree/chart/labels/AbstractPieItemLabelGenerator.java</t>
  </si>
  <si>
    <t>./src/main/java/org/jfree/chart/labels/AbstractXYItemLabelGenerator.java</t>
  </si>
  <si>
    <t>./src/main/java/org/jfree/chart/labels/BoxAndWhiskerToolTipGenerator.java</t>
  </si>
  <si>
    <t>./src/main/java/org/jfree/chart/labels/BoxAndWhiskerXYToolTipGenerator.java</t>
  </si>
  <si>
    <t>./src/main/java/org/jfree/chart/labels/BubbleXYItemLabelGenerator.java</t>
  </si>
  <si>
    <t>./src/main/java/org/jfree/chart/labels/CategoryItemLabelGenerator.java</t>
  </si>
  <si>
    <t>./src/main/java/org/jfree/chart/labels/CategorySeriesLabelGenerator.java</t>
  </si>
  <si>
    <t>./src/main/java/org/jfree/chart/labels/CategoryToolTipGenerator.java</t>
  </si>
  <si>
    <t>./src/main/java/org/jfree/chart/labels/CrosshairLabelGenerator.java</t>
  </si>
  <si>
    <t>./src/main/java/org/jfree/chart/labels/CustomXYToolTipGenerator.java</t>
  </si>
  <si>
    <t>./src/main/java/org/jfree/chart/labels/FlowLabelGenerator.java</t>
  </si>
  <si>
    <t>./src/main/java/org/jfree/chart/labels/HighLowItemLabelGenerator.java</t>
  </si>
  <si>
    <t>./src/main/java/org/jfree/chart/labels/IntervalCategoryItemLabelGenerator.java</t>
  </si>
  <si>
    <t>./src/main/java/org/jfree/chart/labels/IntervalCategoryToolTipGenerator.java</t>
  </si>
  <si>
    <t>./src/main/java/org/jfree/chart/labels/IntervalXYItemLabelGenerator.java</t>
  </si>
  <si>
    <t>./src/main/java/org/jfree/chart/labels/IntervalXYToolTipGenerator.java</t>
  </si>
  <si>
    <t>./src/main/java/org/jfree/chart/labels/ItemLabelAnchor.java</t>
  </si>
  <si>
    <t>./src/main/java/org/jfree/chart/labels/ItemLabelPosition.java</t>
  </si>
  <si>
    <t>./src/main/java/org/jfree/chart/labels/MultipleXYSeriesLabelGenerator.java</t>
  </si>
  <si>
    <t>./src/main/java/org/jfree/chart/labels/PieSectionLabelGenerator.java</t>
  </si>
  <si>
    <t>./src/main/java/org/jfree/chart/labels/PieToolTipGenerator.java</t>
  </si>
  <si>
    <t>./src/main/java/org/jfree/chart/labels/StandardCategoryItemLabelGenerator.java</t>
  </si>
  <si>
    <t>./src/main/java/org/jfree/chart/labels/StandardCategorySeriesLabelGenerator.java</t>
  </si>
  <si>
    <t>./src/main/java/org/jfree/chart/labels/StandardCategoryToolTipGenerator.java</t>
  </si>
  <si>
    <t>./src/main/java/org/jfree/chart/labels/StandardCrosshairLabelGenerator.java</t>
  </si>
  <si>
    <t>./src/main/java/org/jfree/chart/labels/StandardFlowLabelGenerator.java</t>
  </si>
  <si>
    <t>./src/main/java/org/jfree/chart/labels/StandardPieSectionLabelGenerator.java</t>
  </si>
  <si>
    <t>./src/main/java/org/jfree/chart/labels/StandardPieToolTipGenerator.java</t>
  </si>
  <si>
    <t>./src/main/java/org/jfree/chart/labels/StandardXYItemLabelGenerator.java</t>
  </si>
  <si>
    <t>./src/main/java/org/jfree/chart/labels/StandardXYSeriesLabelGenerator.java</t>
  </si>
  <si>
    <t>./src/main/java/org/jfree/chart/labels/StandardXYToolTipGenerator.java</t>
  </si>
  <si>
    <t>./src/main/java/org/jfree/chart/labels/StandardXYZToolTipGenerator.java</t>
  </si>
  <si>
    <t>./src/main/java/org/jfree/chart/labels/SymbolicXYItemLabelGenerator.java</t>
  </si>
  <si>
    <t>./src/main/java/org/jfree/chart/labels/XYItemLabelGenerator.java</t>
  </si>
  <si>
    <t>./src/main/java/org/jfree/chart/labels/XYSeriesLabelGenerator.java</t>
  </si>
  <si>
    <t>./src/main/java/org/jfree/chart/labels/XYToolTipGenerator.java</t>
  </si>
  <si>
    <t>./src/main/java/org/jfree/chart/labels/XYZToolTipGenerator.java</t>
  </si>
  <si>
    <t>./src/main/java/org/jfree/chart/legend/LegendGraphic.java</t>
  </si>
  <si>
    <t>./src/main/java/org/jfree/chart/legend/LegendItem.java</t>
  </si>
  <si>
    <t>./src/main/java/org/jfree/chart/legend/LegendItemBlockContainer.java</t>
  </si>
  <si>
    <t>./src/main/java/org/jfree/chart/legend/LegendItemCollection.java</t>
  </si>
  <si>
    <t>./src/main/java/org/jfree/chart/legend/LegendItemSource.java</t>
  </si>
  <si>
    <t>./src/main/java/org/jfree/chart/legend/LegendRenderingOrder.java</t>
  </si>
  <si>
    <t>./src/main/java/org/jfree/chart/legend/LegendTitle.java</t>
  </si>
  <si>
    <t>./src/main/java/org/jfree/chart/legend/PaintScaleLegend.java</t>
  </si>
  <si>
    <t>./src/main/java/org/jfree/chart/plot/CategoryCrosshairState.java</t>
  </si>
  <si>
    <t>./src/main/java/org/jfree/chart/plot/CategoryMarker.java</t>
  </si>
  <si>
    <t>./src/main/java/org/jfree/chart/plot/CategoryPlot.java</t>
  </si>
  <si>
    <t>./src/main/java/org/jfree/chart/plot/CenterTextMode.java</t>
  </si>
  <si>
    <t>./src/main/java/org/jfree/chart/plot/CombinedDomainCategoryPlot.java</t>
  </si>
  <si>
    <t>./src/main/java/org/jfree/chart/plot/CombinedDomainXYPlot.java</t>
  </si>
  <si>
    <t>./src/main/java/org/jfree/chart/plot/CombinedRangeCategoryPlot.java</t>
  </si>
  <si>
    <t>./src/main/java/org/jfree/chart/plot/CombinedRangeXYPlot.java</t>
  </si>
  <si>
    <t>./src/main/java/org/jfree/chart/plot/compass/ArrowNeedle.java</t>
  </si>
  <si>
    <t>./src/main/java/org/jfree/chart/plot/compass/CompassPlot.java</t>
  </si>
  <si>
    <t>./src/main/java/org/jfree/chart/plot/compass/LineNeedle.java</t>
  </si>
  <si>
    <t>./src/main/java/org/jfree/chart/plot/compass/LongNeedle.java</t>
  </si>
  <si>
    <t>./src/main/java/org/jfree/chart/plot/compass/MeterNeedle.java</t>
  </si>
  <si>
    <t>./src/main/java/org/jfree/chart/plot/compass/MiddlePinNeedle.java</t>
  </si>
  <si>
    <t>./src/main/java/org/jfree/chart/plot/compass/PinNeedle.java</t>
  </si>
  <si>
    <t>./src/main/java/org/jfree/chart/plot/compass/PlumNeedle.java</t>
  </si>
  <si>
    <t>./src/main/java/org/jfree/chart/plot/compass/PointerNeedle.java</t>
  </si>
  <si>
    <t>./src/main/java/org/jfree/chart/plot/compass/ShipNeedle.java</t>
  </si>
  <si>
    <t>./src/main/java/org/jfree/chart/plot/compass/WindNeedle.java</t>
  </si>
  <si>
    <t>./src/main/java/org/jfree/chart/plot/Crosshair.java</t>
  </si>
  <si>
    <t>./src/main/java/org/jfree/chart/plot/CrosshairState.java</t>
  </si>
  <si>
    <t>./src/main/java/org/jfree/chart/plot/DatasetRenderingOrder.java</t>
  </si>
  <si>
    <t>./src/main/java/org/jfree/chart/plot/DefaultDrawingSupplier.java</t>
  </si>
  <si>
    <t>./src/main/java/org/jfree/chart/plot/dial/AbstractDialLayer.java</t>
  </si>
  <si>
    <t>./src/main/java/org/jfree/chart/plot/dial/ArcDialFrame.java</t>
  </si>
  <si>
    <t>./src/main/java/org/jfree/chart/plot/dial/DialBackground.java</t>
  </si>
  <si>
    <t>./src/main/java/org/jfree/chart/plot/dial/DialCap.java</t>
  </si>
  <si>
    <t>./src/main/java/org/jfree/chart/plot/dial/DialFrame.java</t>
  </si>
  <si>
    <t>./src/main/java/org/jfree/chart/plot/dial/DialLayer.java</t>
  </si>
  <si>
    <t>./src/main/java/org/jfree/chart/plot/dial/DialLayerChangeEvent.java</t>
  </si>
  <si>
    <t>./src/main/java/org/jfree/chart/plot/dial/DialLayerChangeListener.java</t>
  </si>
  <si>
    <t>./src/main/java/org/jfree/chart/plot/dial/DialPlot.java</t>
  </si>
  <si>
    <t>./src/main/java/org/jfree/chart/plot/dial/DialPointer.java</t>
  </si>
  <si>
    <t>./src/main/java/org/jfree/chart/plot/dial/DialScale.java</t>
  </si>
  <si>
    <t>./src/main/java/org/jfree/chart/plot/dial/DialTextAnnotation.java</t>
  </si>
  <si>
    <t>./src/main/java/org/jfree/chart/plot/dial/DialValueIndicator.java</t>
  </si>
  <si>
    <t>./src/main/java/org/jfree/chart/plot/dial/StandardDialFrame.java</t>
  </si>
  <si>
    <t>./src/main/java/org/jfree/chart/plot/dial/StandardDialRange.java</t>
  </si>
  <si>
    <t>./src/main/java/org/jfree/chart/plot/dial/StandardDialScale.java</t>
  </si>
  <si>
    <t>./src/main/java/org/jfree/chart/plot/DialShape.java</t>
  </si>
  <si>
    <t>./src/main/java/org/jfree/chart/plot/DrawingSupplier.java</t>
  </si>
  <si>
    <t>./src/main/java/org/jfree/chart/plot/FastScatterPlot.java</t>
  </si>
  <si>
    <t>./src/main/java/org/jfree/chart/plot/flow/FlowPlot.java</t>
  </si>
  <si>
    <t>./src/main/java/org/jfree/chart/plot/IntervalMarker.java</t>
  </si>
  <si>
    <t>./src/main/java/org/jfree/chart/plot/Marker.java</t>
  </si>
  <si>
    <t>./src/main/java/org/jfree/chart/plot/MeterInterval.java</t>
  </si>
  <si>
    <t>./src/main/java/org/jfree/chart/plot/MeterPlot.java</t>
  </si>
  <si>
    <t>./src/main/java/org/jfree/chart/plot/Pannable.java</t>
  </si>
  <si>
    <t>./src/main/java/org/jfree/chart/plot/pie/AbstractPieLabelDistributor.java</t>
  </si>
  <si>
    <t>./src/main/java/org/jfree/chart/plot/pie/MultiplePiePlot.java</t>
  </si>
  <si>
    <t>./src/main/java/org/jfree/chart/plot/pie/PieLabelDistributor.java</t>
  </si>
  <si>
    <t>./src/main/java/org/jfree/chart/plot/pie/PieLabelLinkStyle.java</t>
  </si>
  <si>
    <t>./src/main/java/org/jfree/chart/plot/pie/PieLabelRecord.java</t>
  </si>
  <si>
    <t>./src/main/java/org/jfree/chart/plot/pie/PiePlot.java</t>
  </si>
  <si>
    <t>./src/main/java/org/jfree/chart/plot/pie/PiePlotState.java</t>
  </si>
  <si>
    <t>./src/main/java/org/jfree/chart/plot/Plot.java</t>
  </si>
  <si>
    <t>./src/main/java/org/jfree/chart/plot/PlotOrientation.java</t>
  </si>
  <si>
    <t>./src/main/java/org/jfree/chart/plot/PlotRenderingInfo.java</t>
  </si>
  <si>
    <t>./src/main/java/org/jfree/chart/plot/PlotState.java</t>
  </si>
  <si>
    <t>./src/main/java/org/jfree/chart/plot/PolarAxisLocation.java</t>
  </si>
  <si>
    <t>./src/main/java/org/jfree/chart/plot/PolarPlot.java</t>
  </si>
  <si>
    <t>./src/main/java/org/jfree/chart/plot/RingPlot.java</t>
  </si>
  <si>
    <t>./src/main/java/org/jfree/chart/plot/SeriesRenderingOrder.java</t>
  </si>
  <si>
    <t>./src/main/java/org/jfree/chart/plot/SpiderWebPlot.java</t>
  </si>
  <si>
    <t>./src/main/java/org/jfree/chart/plot/ThermometerPlot.java</t>
  </si>
  <si>
    <t>./src/main/java/org/jfree/chart/plot/ValueAxisPlot.java</t>
  </si>
  <si>
    <t>./src/main/java/org/jfree/chart/plot/ValueMarker.java</t>
  </si>
  <si>
    <t>./src/main/java/org/jfree/chart/plot/WaferMapPlot.java</t>
  </si>
  <si>
    <t>./src/main/java/org/jfree/chart/plot/XYCrosshairState.java</t>
  </si>
  <si>
    <t>./src/main/java/org/jfree/chart/plot/XYPlot.java</t>
  </si>
  <si>
    <t>./src/main/java/org/jfree/chart/plot/Zoomable.java</t>
  </si>
  <si>
    <t>./src/main/java/org/jfree/chart/renderer/AbstractRenderer.java</t>
  </si>
  <si>
    <t>./src/main/java/org/jfree/chart/renderer/AreaRendererEndType.java</t>
  </si>
  <si>
    <t>./src/main/java/org/jfree/chart/renderer/category/AbstractCategoryItemRenderer.java</t>
  </si>
  <si>
    <t>./src/main/java/org/jfree/chart/renderer/category/AreaRenderer.java</t>
  </si>
  <si>
    <t>./src/main/java/org/jfree/chart/renderer/category/BarPainter.java</t>
  </si>
  <si>
    <t>./src/main/java/org/jfree/chart/renderer/category/BarRenderer.java</t>
  </si>
  <si>
    <t>./src/main/java/org/jfree/chart/renderer/category/BoxAndWhiskerRenderer.java</t>
  </si>
  <si>
    <t>./src/main/java/org/jfree/chart/renderer/category/CategoryItemRenderer.java</t>
  </si>
  <si>
    <t>./src/main/java/org/jfree/chart/renderer/category/CategoryItemRendererState.java</t>
  </si>
  <si>
    <t>./src/main/java/org/jfree/chart/renderer/category/CategoryStepRenderer.java</t>
  </si>
  <si>
    <t>./src/main/java/org/jfree/chart/renderer/category/DefaultCategoryItemRenderer.java</t>
  </si>
  <si>
    <t>./src/main/java/org/jfree/chart/renderer/category/GanttRenderer.java</t>
  </si>
  <si>
    <t>./src/main/java/org/jfree/chart/renderer/category/GradientBarPainter.java</t>
  </si>
  <si>
    <t>./src/main/java/org/jfree/chart/renderer/category/GroupedStackedBarRenderer.java</t>
  </si>
  <si>
    <t>./src/main/java/org/jfree/chart/renderer/category/IntervalBarRenderer.java</t>
  </si>
  <si>
    <t>./src/main/java/org/jfree/chart/renderer/category/LayeredBarRenderer.java</t>
  </si>
  <si>
    <t>./src/main/java/org/jfree/chart/renderer/category/LevelRenderer.java</t>
  </si>
  <si>
    <t>./src/main/java/org/jfree/chart/renderer/category/LineAndShapeRenderer.java</t>
  </si>
  <si>
    <t>./src/main/java/org/jfree/chart/renderer/category/MinMaxCategoryRenderer.java</t>
  </si>
  <si>
    <t>./src/main/java/org/jfree/chart/renderer/category/ScatterRenderer.java</t>
  </si>
  <si>
    <t>./src/main/java/org/jfree/chart/renderer/category/StackedAreaRenderer.java</t>
  </si>
  <si>
    <t>./src/main/java/org/jfree/chart/renderer/category/StackedBarRenderer.java</t>
  </si>
  <si>
    <t>./src/main/java/org/jfree/chart/renderer/category/StandardBarPainter.java</t>
  </si>
  <si>
    <t>./src/main/java/org/jfree/chart/renderer/category/StatisticalBarRenderer.java</t>
  </si>
  <si>
    <t>./src/main/java/org/jfree/chart/renderer/category/StatisticalLineAndShapeRenderer.java</t>
  </si>
  <si>
    <t>./src/main/java/org/jfree/chart/renderer/category/WaterfallBarRenderer.java</t>
  </si>
  <si>
    <t>./src/main/java/org/jfree/chart/renderer/DefaultPolarItemRenderer.java</t>
  </si>
  <si>
    <t>./src/main/java/org/jfree/chart/renderer/GrayPaintScale.java</t>
  </si>
  <si>
    <t>./src/main/java/org/jfree/chart/renderer/LookupPaintScale.java</t>
  </si>
  <si>
    <t>./src/main/java/org/jfree/chart/renderer/NotOutlierException.java</t>
  </si>
  <si>
    <t>./src/main/java/org/jfree/chart/renderer/Outlier.java</t>
  </si>
  <si>
    <t>./src/main/java/org/jfree/chart/renderer/OutlierList.java</t>
  </si>
  <si>
    <t>./src/main/java/org/jfree/chart/renderer/OutlierListCollection.java</t>
  </si>
  <si>
    <t>./src/main/java/org/jfree/chart/renderer/PaintScale.java</t>
  </si>
  <si>
    <t>./src/main/java/org/jfree/chart/renderer/PolarItemRenderer.java</t>
  </si>
  <si>
    <t>./src/main/java/org/jfree/chart/renderer/RendererState.java</t>
  </si>
  <si>
    <t>./src/main/java/org/jfree/chart/renderer/RendererUtils.java</t>
  </si>
  <si>
    <t>./src/main/java/org/jfree/chart/renderer/WaferMapRenderer.java</t>
  </si>
  <si>
    <t>./src/main/java/org/jfree/chart/renderer/xy/AbstractXYItemRenderer.java</t>
  </si>
  <si>
    <t>./src/main/java/org/jfree/chart/renderer/xy/CandlestickRenderer.java</t>
  </si>
  <si>
    <t>./src/main/java/org/jfree/chart/renderer/xy/ClusteredXYBarRenderer.java</t>
  </si>
  <si>
    <t>./src/main/java/org/jfree/chart/renderer/xy/CyclicXYItemRenderer.java</t>
  </si>
  <si>
    <t>./src/main/java/org/jfree/chart/renderer/xy/DefaultXYItemRenderer.java</t>
  </si>
  <si>
    <t>./src/main/java/org/jfree/chart/renderer/xy/DeviationRenderer.java</t>
  </si>
  <si>
    <t>./src/main/java/org/jfree/chart/renderer/xy/DeviationStepRenderer.java</t>
  </si>
  <si>
    <t>./src/main/java/org/jfree/chart/renderer/xy/GradientXYBarPainter.java</t>
  </si>
  <si>
    <t>./src/main/java/org/jfree/chart/renderer/xy/HighLowRenderer.java</t>
  </si>
  <si>
    <t>./src/main/java/org/jfree/chart/renderer/xy/SamplingXYLineRenderer.java</t>
  </si>
  <si>
    <t>./src/main/java/org/jfree/chart/renderer/xy/StackedXYAreaRenderer.java</t>
  </si>
  <si>
    <t>./src/main/java/org/jfree/chart/renderer/xy/StackedXYAreaRenderer2.java</t>
  </si>
  <si>
    <t>./src/main/java/org/jfree/chart/renderer/xy/StackedXYBarRenderer.java</t>
  </si>
  <si>
    <t>./src/main/java/org/jfree/chart/renderer/xy/StandardXYBarPainter.java</t>
  </si>
  <si>
    <t>./src/main/java/org/jfree/chart/renderer/xy/StandardXYItemRenderer.java</t>
  </si>
  <si>
    <t>./src/main/java/org/jfree/chart/renderer/xy/VectorRenderer.java</t>
  </si>
  <si>
    <t>./src/main/java/org/jfree/chart/renderer/xy/WindItemRenderer.java</t>
  </si>
  <si>
    <t>./src/main/java/org/jfree/chart/renderer/xy/XYAreaRenderer.java</t>
  </si>
  <si>
    <t>./src/main/java/org/jfree/chart/renderer/xy/XYAreaRenderer2.java</t>
  </si>
  <si>
    <t>./src/main/java/org/jfree/chart/renderer/xy/XYBarPainter.java</t>
  </si>
  <si>
    <t>./src/main/java/org/jfree/chart/renderer/xy/XYBarRenderer.java</t>
  </si>
  <si>
    <t>./src/main/java/org/jfree/chart/renderer/xy/XYBlockRenderer.java</t>
  </si>
  <si>
    <t>./src/main/java/org/jfree/chart/renderer/xy/XYBoxAndWhiskerRenderer.java</t>
  </si>
  <si>
    <t>./src/main/java/org/jfree/chart/renderer/xy/XYBubbleRenderer.java</t>
  </si>
  <si>
    <t>./src/main/java/org/jfree/chart/renderer/xy/XYDifferenceRenderer.java</t>
  </si>
  <si>
    <t>./src/main/java/org/jfree/chart/renderer/xy/XYDotRenderer.java</t>
  </si>
  <si>
    <t>./src/main/java/org/jfree/chart/renderer/xy/XYErrorRenderer.java</t>
  </si>
  <si>
    <t>./src/main/java/org/jfree/chart/renderer/xy/XYItemRenderer.java</t>
  </si>
  <si>
    <t>./src/main/java/org/jfree/chart/renderer/xy/XYItemRendererState.java</t>
  </si>
  <si>
    <t>./src/main/java/org/jfree/chart/renderer/xy/XYLineAndShapeRenderer.java</t>
  </si>
  <si>
    <t>./src/main/java/org/jfree/chart/renderer/xy/XYShapeRenderer.java</t>
  </si>
  <si>
    <t>./src/main/java/org/jfree/chart/renderer/xy/XYSplineRenderer.java</t>
  </si>
  <si>
    <t>./src/main/java/org/jfree/chart/renderer/xy/XYStepAreaRenderer.java</t>
  </si>
  <si>
    <t>./src/main/java/org/jfree/chart/renderer/xy/XYStepRenderer.java</t>
  </si>
  <si>
    <t>./src/main/java/org/jfree/chart/renderer/xy/YIntervalRenderer.java</t>
  </si>
  <si>
    <t>./src/main/java/org/jfree/chart/StandardChartTheme.java</t>
  </si>
  <si>
    <t>./src/main/java/org/jfree/chart/swing/AbstractOverlay.java</t>
  </si>
  <si>
    <t>./src/main/java/org/jfree/chart/swing/ApplicationFrame.java</t>
  </si>
  <si>
    <t>./src/main/java/org/jfree/chart/swing/ChartFrame.java</t>
  </si>
  <si>
    <t>./src/main/java/org/jfree/chart/swing/ChartMouseEvent.java</t>
  </si>
  <si>
    <t>./src/main/java/org/jfree/chart/swing/ChartMouseListener.java</t>
  </si>
  <si>
    <t>./src/main/java/org/jfree/chart/swing/ChartPanel.java</t>
  </si>
  <si>
    <t>./src/main/java/org/jfree/chart/swing/CrosshairOverlay.java</t>
  </si>
  <si>
    <t>./src/main/java/org/jfree/chart/swing/DefaultSelectionZoomStrategy.java</t>
  </si>
  <si>
    <t>./src/main/java/org/jfree/chart/swing/editor/ChartEditor.java</t>
  </si>
  <si>
    <t>./src/main/java/org/jfree/chart/swing/editor/ChartEditorFactory.java</t>
  </si>
  <si>
    <t>./src/main/java/org/jfree/chart/swing/editor/ChartEditorManager.java</t>
  </si>
  <si>
    <t>./src/main/java/org/jfree/chart/swing/editor/DefaultAxisEditor.java</t>
  </si>
  <si>
    <t>./src/main/java/org/jfree/chart/swing/editor/DefaultChartEditor.java</t>
  </si>
  <si>
    <t>./src/main/java/org/jfree/chart/swing/editor/DefaultChartEditorFactory.java</t>
  </si>
  <si>
    <t>./src/main/java/org/jfree/chart/swing/editor/DefaultLogAxisEditor.java</t>
  </si>
  <si>
    <t>./src/main/java/org/jfree/chart/swing/editor/DefaultNumberAxisEditor.java</t>
  </si>
  <si>
    <t>./src/main/java/org/jfree/chart/swing/editor/DefaultPlotEditor.java</t>
  </si>
  <si>
    <t>./src/main/java/org/jfree/chart/swing/editor/DefaultPolarPlotEditor.java</t>
  </si>
  <si>
    <t>./src/main/java/org/jfree/chart/swing/editor/DefaultTitleEditor.java</t>
  </si>
  <si>
    <t>./src/main/java/org/jfree/chart/swing/editor/DefaultValueAxisEditor.java</t>
  </si>
  <si>
    <t>./src/main/java/org/jfree/chart/swing/editor/FontChooserPanel.java</t>
  </si>
  <si>
    <t>./src/main/java/org/jfree/chart/swing/editor/FontDisplayField.java</t>
  </si>
  <si>
    <t>./src/main/java/org/jfree/chart/swing/editor/LCBLayout.java</t>
  </si>
  <si>
    <t>./src/main/java/org/jfree/chart/swing/editor/PaintSample.java</t>
  </si>
  <si>
    <t>./src/main/java/org/jfree/chart/swing/editor/StrokeChooserPanel.java</t>
  </si>
  <si>
    <t>./src/main/java/org/jfree/chart/swing/editor/StrokeSample.java</t>
  </si>
  <si>
    <t>./src/main/java/org/jfree/chart/swing/MouseWheelHandler.java</t>
  </si>
  <si>
    <t>./src/main/java/org/jfree/chart/swing/NumberCellRenderer.java</t>
  </si>
  <si>
    <t>./src/main/java/org/jfree/chart/swing/Overlay.java</t>
  </si>
  <si>
    <t>./src/main/java/org/jfree/chart/swing/OverlayChangeEvent.java</t>
  </si>
  <si>
    <t>./src/main/java/org/jfree/chart/swing/OverlayChangeListener.java</t>
  </si>
  <si>
    <t>./src/main/java/org/jfree/chart/swing/PolarChartPanel.java</t>
  </si>
  <si>
    <t>./src/main/java/org/jfree/chart/swing/SelectionZoomStrategy.java</t>
  </si>
  <si>
    <t>./src/main/java/org/jfree/chart/swing/UIUtils.java</t>
  </si>
  <si>
    <t>./src/main/java/org/jfree/chart/text/AttributedStringUtils.java</t>
  </si>
  <si>
    <t>./src/main/java/org/jfree/chart/text/format/HexNumberFormat.java</t>
  </si>
  <si>
    <t>./src/main/java/org/jfree/chart/text/format/HMSNumberFormat.java</t>
  </si>
  <si>
    <t>./src/main/java/org/jfree/chart/text/format/LogFormat.java</t>
  </si>
  <si>
    <t>./src/main/java/org/jfree/chart/text/format/RelativeDateFormat.java</t>
  </si>
  <si>
    <t>./src/main/java/org/jfree/chart/text/G2TextMeasurer.java</t>
  </si>
  <si>
    <t>./src/main/java/org/jfree/chart/text/TextAnchor.java</t>
  </si>
  <si>
    <t>./src/main/java/org/jfree/chart/text/TextBlock.java</t>
  </si>
  <si>
    <t>./src/main/java/org/jfree/chart/text/TextBlockAnchor.java</t>
  </si>
  <si>
    <t>./src/main/java/org/jfree/chart/text/TextBox.java</t>
  </si>
  <si>
    <t>./src/main/java/org/jfree/chart/text/TextFragment.java</t>
  </si>
  <si>
    <t>./src/main/java/org/jfree/chart/text/TextLine.java</t>
  </si>
  <si>
    <t>./src/main/java/org/jfree/chart/text/TextMeasurer.java</t>
  </si>
  <si>
    <t>./src/main/java/org/jfree/chart/text/TextUtils.java</t>
  </si>
  <si>
    <t>./src/main/java/org/jfree/chart/title/CompositeTitle.java</t>
  </si>
  <si>
    <t>./src/main/java/org/jfree/chart/title/DateTitle.java</t>
  </si>
  <si>
    <t>./src/main/java/org/jfree/chart/title/ImageTitle.java</t>
  </si>
  <si>
    <t>./src/main/java/org/jfree/chart/title/ShortTextTitle.java</t>
  </si>
  <si>
    <t>./src/main/java/org/jfree/chart/title/TextTitle.java</t>
  </si>
  <si>
    <t>./src/main/java/org/jfree/chart/title/Title.java</t>
  </si>
  <si>
    <t>./src/main/java/org/jfree/chart/urls/CategoryURLGenerator.java</t>
  </si>
  <si>
    <t>./src/main/java/org/jfree/chart/urls/CustomCategoryURLGenerator.java</t>
  </si>
  <si>
    <t>./src/main/java/org/jfree/chart/urls/CustomPieURLGenerator.java</t>
  </si>
  <si>
    <t>./src/main/java/org/jfree/chart/urls/CustomXYURLGenerator.java</t>
  </si>
  <si>
    <t>./src/main/java/org/jfree/chart/urls/PieURLGenerator.java</t>
  </si>
  <si>
    <t>./src/main/java/org/jfree/chart/urls/StandardCategoryURLGenerator.java</t>
  </si>
  <si>
    <t>./src/main/java/org/jfree/chart/urls/StandardPieURLGenerator.java</t>
  </si>
  <si>
    <t>./src/main/java/org/jfree/chart/urls/StandardXYURLGenerator.java</t>
  </si>
  <si>
    <t>./src/main/java/org/jfree/chart/urls/StandardXYZURLGenerator.java</t>
  </si>
  <si>
    <t>./src/main/java/org/jfree/chart/urls/TimeSeriesURLGenerator.java</t>
  </si>
  <si>
    <t>./src/main/java/org/jfree/chart/urls/XYURLGenerator.java</t>
  </si>
  <si>
    <t>./src/main/java/org/jfree/chart/urls/XYZURLGenerator.java</t>
  </si>
  <si>
    <t>./src/main/java/org/jfree/chart/util/AttrStringUtils.java</t>
  </si>
  <si>
    <t>./src/main/java/org/jfree/chart/util/DefaultShadowGenerator.java</t>
  </si>
  <si>
    <t>./src/main/java/org/jfree/chart/util/DirectionalGradientPaintTransformer.java</t>
  </si>
  <si>
    <t>./src/main/java/org/jfree/chart/util/ExportUtils.java</t>
  </si>
  <si>
    <t>./src/main/java/org/jfree/chart/util/GradientPaintTransformer.java</t>
  </si>
  <si>
    <t>./src/main/java/org/jfree/chart/util/GradientPaintTransformType.java</t>
  </si>
  <si>
    <t>./src/main/java/org/jfree/chart/util/PaintAlpha.java</t>
  </si>
  <si>
    <t>./src/main/java/org/jfree/chart/util/ShadowGenerator.java</t>
  </si>
  <si>
    <t>./src/main/java/org/jfree/chart/util/StandardGradientPaintTransformer.java</t>
  </si>
  <si>
    <t>./src/main/java/org/jfree/chart/util/StringUtils.java</t>
  </si>
  <si>
    <t>./src/main/java/org/jfree/data/category/CategoryDataset.java</t>
  </si>
  <si>
    <t>./src/main/java/org/jfree/data/category/CategoryRangeInfo.java</t>
  </si>
  <si>
    <t>./src/main/java/org/jfree/data/category/CategoryToPieDataset.java</t>
  </si>
  <si>
    <t>./src/main/java/org/jfree/data/category/DefaultCategoryDataset.java</t>
  </si>
  <si>
    <t>./src/main/java/org/jfree/data/category/DefaultIntervalCategoryDataset.java</t>
  </si>
  <si>
    <t>./src/main/java/org/jfree/data/category/IntervalCategoryDataset.java</t>
  </si>
  <si>
    <t>./src/main/java/org/jfree/data/category/SlidingCategoryDataset.java</t>
  </si>
  <si>
    <t>./src/main/java/org/jfree/data/ComparableObjectItem.java</t>
  </si>
  <si>
    <t>./src/main/java/org/jfree/data/ComparableObjectSeries.java</t>
  </si>
  <si>
    <t>./src/main/java/org/jfree/data/DataUtils.java</t>
  </si>
  <si>
    <t>./src/main/java/org/jfree/data/DefaultKeyedValue.java</t>
  </si>
  <si>
    <t>./src/main/java/org/jfree/data/DefaultKeyedValues.java</t>
  </si>
  <si>
    <t>./src/main/java/org/jfree/data/DefaultKeyedValues2D.java</t>
  </si>
  <si>
    <t>./src/main/java/org/jfree/data/DomainInfo.java</t>
  </si>
  <si>
    <t>./src/main/java/org/jfree/data/DomainOrder.java</t>
  </si>
  <si>
    <t>./src/main/java/org/jfree/data/flow/DefaultFlowDataset.java</t>
  </si>
  <si>
    <t>./src/main/java/org/jfree/data/flow/FlowDataset.java</t>
  </si>
  <si>
    <t>./src/main/java/org/jfree/data/flow/FlowDatasetUtils.java</t>
  </si>
  <si>
    <t>./src/main/java/org/jfree/data/flow/FlowKey.java</t>
  </si>
  <si>
    <t>./src/main/java/org/jfree/data/flow/NodeKey.java</t>
  </si>
  <si>
    <t>./src/main/java/org/jfree/data/function/Function2D.java</t>
  </si>
  <si>
    <t>./src/main/java/org/jfree/data/function/LineFunction2D.java</t>
  </si>
  <si>
    <t>./src/main/java/org/jfree/data/function/NormalDistributionFunction2D.java</t>
  </si>
  <si>
    <t>./src/main/java/org/jfree/data/function/PolynomialFunction2D.java</t>
  </si>
  <si>
    <t>./src/main/java/org/jfree/data/function/PowerFunction2D.java</t>
  </si>
  <si>
    <t>./src/main/java/org/jfree/data/gantt/GanttCategoryDataset.java</t>
  </si>
  <si>
    <t>./src/main/java/org/jfree/data/gantt/SlidingGanttCategoryDataset.java</t>
  </si>
  <si>
    <t>./src/main/java/org/jfree/data/gantt/Task.java</t>
  </si>
  <si>
    <t>./src/main/java/org/jfree/data/gantt/TaskSeries.java</t>
  </si>
  <si>
    <t>./src/main/java/org/jfree/data/gantt/TaskSeriesCollection.java</t>
  </si>
  <si>
    <t>./src/main/java/org/jfree/data/gantt/XYTaskDataset.java</t>
  </si>
  <si>
    <t>./src/main/java/org/jfree/data/general/AbstractDataset.java</t>
  </si>
  <si>
    <t>./src/main/java/org/jfree/data/general/AbstractSeriesDataset.java</t>
  </si>
  <si>
    <t>./src/main/java/org/jfree/data/general/Dataset.java</t>
  </si>
  <si>
    <t>./src/main/java/org/jfree/data/general/DatasetChangeEvent.java</t>
  </si>
  <si>
    <t>./src/main/java/org/jfree/data/general/DatasetChangeListener.java</t>
  </si>
  <si>
    <t>./src/main/java/org/jfree/data/general/DatasetUtils.java</t>
  </si>
  <si>
    <t>./src/main/java/org/jfree/data/general/DefaultHeatMapDataset.java</t>
  </si>
  <si>
    <t>./src/main/java/org/jfree/data/general/DefaultKeyedValueDataset.java</t>
  </si>
  <si>
    <t>./src/main/java/org/jfree/data/general/DefaultKeyedValues2DDataset.java</t>
  </si>
  <si>
    <t>./src/main/java/org/jfree/data/general/DefaultKeyedValuesDataset.java</t>
  </si>
  <si>
    <t>./src/main/java/org/jfree/data/general/DefaultPieDataset.java</t>
  </si>
  <si>
    <t>./src/main/java/org/jfree/data/general/DefaultValueDataset.java</t>
  </si>
  <si>
    <t>./src/main/java/org/jfree/data/general/HeatMapDataset.java</t>
  </si>
  <si>
    <t>./src/main/java/org/jfree/data/general/HeatMapUtils.java</t>
  </si>
  <si>
    <t>./src/main/java/org/jfree/data/general/KeyedValueDataset.java</t>
  </si>
  <si>
    <t>./src/main/java/org/jfree/data/general/KeyedValues2DDataset.java</t>
  </si>
  <si>
    <t>./src/main/java/org/jfree/data/general/KeyedValuesDataset.java</t>
  </si>
  <si>
    <t>./src/main/java/org/jfree/data/general/PieDataset.java</t>
  </si>
  <si>
    <t>./src/main/java/org/jfree/data/general/Series.java</t>
  </si>
  <si>
    <t>./src/main/java/org/jfree/data/general/SeriesChangeEvent.java</t>
  </si>
  <si>
    <t>./src/main/java/org/jfree/data/general/SeriesChangeListener.java</t>
  </si>
  <si>
    <t>./src/main/java/org/jfree/data/general/SeriesDataset.java</t>
  </si>
  <si>
    <t>./src/main/java/org/jfree/data/general/SeriesException.java</t>
  </si>
  <si>
    <t>./src/main/java/org/jfree/data/general/ValueDataset.java</t>
  </si>
  <si>
    <t>./src/main/java/org/jfree/data/general/WaferMapDataset.java</t>
  </si>
  <si>
    <t>./src/main/java/org/jfree/data/io/CSV.java</t>
  </si>
  <si>
    <t>./src/main/java/org/jfree/data/ItemKey.java</t>
  </si>
  <si>
    <t>./src/main/java/org/jfree/data/json/impl/JSONArray.java</t>
  </si>
  <si>
    <t>./src/main/java/org/jfree/data/json/impl/JSONAware.java</t>
  </si>
  <si>
    <t>./src/main/java/org/jfree/data/json/impl/JSONObject.java</t>
  </si>
  <si>
    <t>./src/main/java/org/jfree/data/json/impl/JSONStreamAware.java</t>
  </si>
  <si>
    <t>./src/main/java/org/jfree/data/json/impl/JSONValue.java</t>
  </si>
  <si>
    <t>./src/main/java/org/jfree/data/json/JSONUtils.java</t>
  </si>
  <si>
    <t>./src/main/java/org/jfree/data/KeyedObject.java</t>
  </si>
  <si>
    <t>./src/main/java/org/jfree/data/KeyedObjects.java</t>
  </si>
  <si>
    <t>./src/main/java/org/jfree/data/KeyedObjects2D.java</t>
  </si>
  <si>
    <t>./src/main/java/org/jfree/data/KeyedValue.java</t>
  </si>
  <si>
    <t>./src/main/java/org/jfree/data/KeyedValueComparator.java</t>
  </si>
  <si>
    <t>./src/main/java/org/jfree/data/KeyedValueComparatorType.java</t>
  </si>
  <si>
    <t>./src/main/java/org/jfree/data/KeyedValues.java</t>
  </si>
  <si>
    <t>./src/main/java/org/jfree/data/KeyedValues2D.java</t>
  </si>
  <si>
    <t>./src/main/java/org/jfree/data/KeyedValues2DItemKey.java</t>
  </si>
  <si>
    <t>./src/main/java/org/jfree/data/KeyedValuesItemKey.java</t>
  </si>
  <si>
    <t>./src/main/java/org/jfree/data/KeyToGroupMap.java</t>
  </si>
  <si>
    <t>./src/main/java/org/jfree/data/Range.java</t>
  </si>
  <si>
    <t>./src/main/java/org/jfree/data/RangeInfo.java</t>
  </si>
  <si>
    <t>./src/main/java/org/jfree/data/RangeType.java</t>
  </si>
  <si>
    <t>./src/main/java/org/jfree/data/resources/DataPackageResources.java</t>
  </si>
  <si>
    <t>./src/main/java/org/jfree/data/resources/DataPackageResources_de.java</t>
  </si>
  <si>
    <t>./src/main/java/org/jfree/data/resources/DataPackageResources_es.java</t>
  </si>
  <si>
    <t>./src/main/java/org/jfree/data/resources/DataPackageResources_fr.java</t>
  </si>
  <si>
    <t>./src/main/java/org/jfree/data/resources/DataPackageResources_pl.java</t>
  </si>
  <si>
    <t>./src/main/java/org/jfree/data/resources/DataPackageResources_ru.java</t>
  </si>
  <si>
    <t>./src/main/java/org/jfree/data/statistics/BoxAndWhiskerCalculator.java</t>
  </si>
  <si>
    <t>./src/main/java/org/jfree/data/statistics/BoxAndWhiskerCategoryDataset.java</t>
  </si>
  <si>
    <t>./src/main/java/org/jfree/data/statistics/BoxAndWhiskerItem.java</t>
  </si>
  <si>
    <t>./src/main/java/org/jfree/data/statistics/BoxAndWhiskerXYDataset.java</t>
  </si>
  <si>
    <t>./src/main/java/org/jfree/data/statistics/DefaultBoxAndWhiskerCategoryDataset.java</t>
  </si>
  <si>
    <t>./src/main/java/org/jfree/data/statistics/DefaultBoxAndWhiskerXYDataset.java</t>
  </si>
  <si>
    <t>./src/main/java/org/jfree/data/statistics/DefaultMultiValueCategoryDataset.java</t>
  </si>
  <si>
    <t>./src/main/java/org/jfree/data/statistics/DefaultStatisticalCategoryDataset.java</t>
  </si>
  <si>
    <t>./src/main/java/org/jfree/data/statistics/HistogramBin.java</t>
  </si>
  <si>
    <t>./src/main/java/org/jfree/data/statistics/HistogramDataset.java</t>
  </si>
  <si>
    <t>./src/main/java/org/jfree/data/statistics/HistogramType.java</t>
  </si>
  <si>
    <t>./src/main/java/org/jfree/data/statistics/MeanAndStandardDeviation.java</t>
  </si>
  <si>
    <t>./src/main/java/org/jfree/data/statistics/MultiValueCategoryDataset.java</t>
  </si>
  <si>
    <t>./src/main/java/org/jfree/data/statistics/Regression.java</t>
  </si>
  <si>
    <t>./src/main/java/org/jfree/data/statistics/SimpleHistogramBin.java</t>
  </si>
  <si>
    <t>./src/main/java/org/jfree/data/statistics/SimpleHistogramDataset.java</t>
  </si>
  <si>
    <t>./src/main/java/org/jfree/data/statistics/StatisticalCategoryDataset.java</t>
  </si>
  <si>
    <t>./src/main/java/org/jfree/data/statistics/Statistics.java</t>
  </si>
  <si>
    <t>./src/main/java/org/jfree/data/time/DateRange.java</t>
  </si>
  <si>
    <t>./src/main/java/org/jfree/data/time/Day.java</t>
  </si>
  <si>
    <t>./src/main/java/org/jfree/data/time/DynamicTimeSeriesCollection.java</t>
  </si>
  <si>
    <t>./src/main/java/org/jfree/data/time/FixedMillisecond.java</t>
  </si>
  <si>
    <t>./src/main/java/org/jfree/data/time/Hour.java</t>
  </si>
  <si>
    <t>./src/main/java/org/jfree/data/time/Millisecond.java</t>
  </si>
  <si>
    <t>./src/main/java/org/jfree/data/time/Minute.java</t>
  </si>
  <si>
    <t>./src/main/java/org/jfree/data/time/Month.java</t>
  </si>
  <si>
    <t>./src/main/java/org/jfree/data/time/MovingAverage.java</t>
  </si>
  <si>
    <t>./src/main/java/org/jfree/data/time/ohlc/OHLC.java</t>
  </si>
  <si>
    <t>./src/main/java/org/jfree/data/time/ohlc/OHLCItem.java</t>
  </si>
  <si>
    <t>./src/main/java/org/jfree/data/time/ohlc/OHLCSeries.java</t>
  </si>
  <si>
    <t>./src/main/java/org/jfree/data/time/ohlc/OHLCSeriesCollection.java</t>
  </si>
  <si>
    <t>./src/main/java/org/jfree/data/time/Quarter.java</t>
  </si>
  <si>
    <t>./src/main/java/org/jfree/data/time/RegularTimePeriod.java</t>
  </si>
  <si>
    <t>./src/main/java/org/jfree/data/time/Second.java</t>
  </si>
  <si>
    <t>./src/main/java/org/jfree/data/time/SimpleTimePeriod.java</t>
  </si>
  <si>
    <t>./src/main/java/org/jfree/data/time/TimePeriod.java</t>
  </si>
  <si>
    <t>./src/main/java/org/jfree/data/time/TimePeriodAnchor.java</t>
  </si>
  <si>
    <t>./src/main/java/org/jfree/data/time/TimePeriodFormatException.java</t>
  </si>
  <si>
    <t>./src/main/java/org/jfree/data/time/TimePeriodValue.java</t>
  </si>
  <si>
    <t>./src/main/java/org/jfree/data/time/TimePeriodValues.java</t>
  </si>
  <si>
    <t>./src/main/java/org/jfree/data/time/TimePeriodValuesCollection.java</t>
  </si>
  <si>
    <t>./src/main/java/org/jfree/data/time/TimeSeries.java</t>
  </si>
  <si>
    <t>./src/main/java/org/jfree/data/time/TimeSeriesCollection.java</t>
  </si>
  <si>
    <t>./src/main/java/org/jfree/data/time/TimeSeriesDataItem.java</t>
  </si>
  <si>
    <t>./src/main/java/org/jfree/data/time/TimeSeriesTableModel.java</t>
  </si>
  <si>
    <t>./src/main/java/org/jfree/data/time/TimeTableXYDataset.java</t>
  </si>
  <si>
    <t>./src/main/java/org/jfree/data/time/Week.java</t>
  </si>
  <si>
    <t>./src/main/java/org/jfree/data/time/Year.java</t>
  </si>
  <si>
    <t>./src/main/java/org/jfree/data/UnknownKeyException.java</t>
  </si>
  <si>
    <t>./src/main/java/org/jfree/data/Value.java</t>
  </si>
  <si>
    <t>./src/main/java/org/jfree/data/Values.java</t>
  </si>
  <si>
    <t>./src/main/java/org/jfree/data/Values2D.java</t>
  </si>
  <si>
    <t>./src/main/java/org/jfree/data/xml/CategoryDatasetHandler.java</t>
  </si>
  <si>
    <t>./src/main/java/org/jfree/data/xml/CategorySeriesHandler.java</t>
  </si>
  <si>
    <t>./src/main/java/org/jfree/data/xml/DatasetReader.java</t>
  </si>
  <si>
    <t>./src/main/java/org/jfree/data/xml/DatasetTags.java</t>
  </si>
  <si>
    <t>./src/main/java/org/jfree/data/xml/ItemHandler.java</t>
  </si>
  <si>
    <t>./src/main/java/org/jfree/data/xml/KeyHandler.java</t>
  </si>
  <si>
    <t>./src/main/java/org/jfree/data/xml/PieDatasetHandler.java</t>
  </si>
  <si>
    <t>./src/main/java/org/jfree/data/xml/RootHandler.java</t>
  </si>
  <si>
    <t>./src/main/java/org/jfree/data/xml/ValueHandler.java</t>
  </si>
  <si>
    <t>./src/main/java/org/jfree/data/xy/AbstractIntervalXYDataset.java</t>
  </si>
  <si>
    <t>./src/main/java/org/jfree/data/xy/AbstractXYDataset.java</t>
  </si>
  <si>
    <t>./src/main/java/org/jfree/data/xy/AbstractXYZDataset.java</t>
  </si>
  <si>
    <t>./src/main/java/org/jfree/data/xy/CategoryTableXYDataset.java</t>
  </si>
  <si>
    <t>./src/main/java/org/jfree/data/xy/DefaultHighLowDataset.java</t>
  </si>
  <si>
    <t>./src/main/java/org/jfree/data/xy/DefaultIntervalXYDataset.java</t>
  </si>
  <si>
    <t>./src/main/java/org/jfree/data/xy/DefaultOHLCDataset.java</t>
  </si>
  <si>
    <t>./src/main/java/org/jfree/data/xy/DefaultTableXYDataset.java</t>
  </si>
  <si>
    <t>./src/main/java/org/jfree/data/xy/DefaultWindDataset.java</t>
  </si>
  <si>
    <t>./src/main/java/org/jfree/data/xy/DefaultXYDataset.java</t>
  </si>
  <si>
    <t>./src/main/java/org/jfree/data/xy/DefaultXYZDataset.java</t>
  </si>
  <si>
    <t>./src/main/java/org/jfree/data/xy/IntervalXYDataset.java</t>
  </si>
  <si>
    <t>./src/main/java/org/jfree/data/xy/IntervalXYDelegate.java</t>
  </si>
  <si>
    <t>./src/main/java/org/jfree/data/xy/IntervalXYZDataset.java</t>
  </si>
  <si>
    <t>./src/main/java/org/jfree/data/xy/MatrixSeries.java</t>
  </si>
  <si>
    <t>./src/main/java/org/jfree/data/xy/MatrixSeriesCollection.java</t>
  </si>
  <si>
    <t>./src/main/java/org/jfree/data/xy/NormalizedMatrixSeries.java</t>
  </si>
  <si>
    <t>./src/main/java/org/jfree/data/xy/OHLCDataItem.java</t>
  </si>
  <si>
    <t>./src/main/java/org/jfree/data/xy/OHLCDataset.java</t>
  </si>
  <si>
    <t>./src/main/java/org/jfree/data/xy/TableXYDataset.java</t>
  </si>
  <si>
    <t>./src/main/java/org/jfree/data/xy/Vector.java</t>
  </si>
  <si>
    <t>./src/main/java/org/jfree/data/xy/VectorDataItem.java</t>
  </si>
  <si>
    <t>./src/main/java/org/jfree/data/xy/VectorSeries.java</t>
  </si>
  <si>
    <t>./src/main/java/org/jfree/data/xy/VectorSeriesCollection.java</t>
  </si>
  <si>
    <t>./src/main/java/org/jfree/data/xy/VectorXYDataset.java</t>
  </si>
  <si>
    <t>./src/main/java/org/jfree/data/xy/WindDataset.java</t>
  </si>
  <si>
    <t>./src/main/java/org/jfree/data/xy/XIntervalDataItem.java</t>
  </si>
  <si>
    <t>./src/main/java/org/jfree/data/xy/XIntervalSeries.java</t>
  </si>
  <si>
    <t>./src/main/java/org/jfree/data/xy/XIntervalSeriesCollection.java</t>
  </si>
  <si>
    <t>./src/main/java/org/jfree/data/xy/XisSymbolic.java</t>
  </si>
  <si>
    <t>./src/main/java/org/jfree/data/xy/XYBarDataset.java</t>
  </si>
  <si>
    <t>./src/main/java/org/jfree/data/xy/XYCoordinate.java</t>
  </si>
  <si>
    <t>./src/main/java/org/jfree/data/xy/XYDataItem.java</t>
  </si>
  <si>
    <t>./src/main/java/org/jfree/data/xy/XYDataset.java</t>
  </si>
  <si>
    <t>./src/main/java/org/jfree/data/xy/XYDatasetTableModel.java</t>
  </si>
  <si>
    <t>./src/main/java/org/jfree/data/xy/XYDomainInfo.java</t>
  </si>
  <si>
    <t>./src/main/java/org/jfree/data/xy/XYInterval.java</t>
  </si>
  <si>
    <t>./src/main/java/org/jfree/data/xy/XYIntervalDataItem.java</t>
  </si>
  <si>
    <t>./src/main/java/org/jfree/data/xy/XYIntervalSeries.java</t>
  </si>
  <si>
    <t>./src/main/java/org/jfree/data/xy/XYIntervalSeriesCollection.java</t>
  </si>
  <si>
    <t>./src/main/java/org/jfree/data/xy/XYItemKey.java</t>
  </si>
  <si>
    <t>./src/main/java/org/jfree/data/xy/XYRangeInfo.java</t>
  </si>
  <si>
    <t>./src/main/java/org/jfree/data/xy/XYSeries.java</t>
  </si>
  <si>
    <t>./src/main/java/org/jfree/data/xy/XYSeriesCollection.java</t>
  </si>
  <si>
    <t>./src/main/java/org/jfree/data/xy/XYZDataset.java</t>
  </si>
  <si>
    <t>./src/main/java/org/jfree/data/xy/YInterval.java</t>
  </si>
  <si>
    <t>./src/main/java/org/jfree/data/xy/YIntervalDataItem.java</t>
  </si>
  <si>
    <t>./src/main/java/org/jfree/data/xy/YIntervalSeries.java</t>
  </si>
  <si>
    <t>./src/main/java/org/jfree/data/xy/YIntervalSeriesCollection.java</t>
  </si>
  <si>
    <t>./src/main/java/org/jfree/data/xy/YisSymbolic.java</t>
  </si>
  <si>
    <t>./src/main/java/org/jfree/data/xy/YWithXInterval.java</t>
  </si>
  <si>
    <t>NoCom Frequency Chart:</t>
  </si>
  <si>
    <t>Average:</t>
  </si>
  <si>
    <t>Std Deviation:</t>
  </si>
  <si>
    <t>Classes:</t>
  </si>
  <si>
    <t>Frequency</t>
  </si>
  <si>
    <t>NORMDIST</t>
  </si>
  <si>
    <t>Normal Distribution:</t>
  </si>
  <si>
    <t>NCLOC Frequency Chart:</t>
  </si>
  <si>
    <t>DCP Frequency Chart:</t>
  </si>
  <si>
    <t>NoCom</t>
  </si>
  <si>
    <t>NoCom Rank</t>
  </si>
  <si>
    <t>NCLOC Rank</t>
  </si>
  <si>
    <t>DCP Rank</t>
  </si>
  <si>
    <t>Spearman Correlation:</t>
  </si>
  <si>
    <t>NoCom vs NCLOC:</t>
  </si>
  <si>
    <t>NoCom vs DCP:</t>
  </si>
  <si>
    <t>NCLOC vs DCP:</t>
  </si>
  <si>
    <t>NoCom:</t>
  </si>
  <si>
    <t>Taille:</t>
  </si>
  <si>
    <t>DCP (NoCom ≤ 10)</t>
  </si>
  <si>
    <t>DCP (NoCom &gt; 10)</t>
  </si>
  <si>
    <t>Moyenne:</t>
  </si>
  <si>
    <t>Nbr &lt; médiane</t>
  </si>
  <si>
    <t>% &lt; médiane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</si>
</sst>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%"/>
  </numFmts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8"/>
      <color theme="1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2" fontId="0" fillId="0" borderId="0" xfId="0" applyNumberFormat="1"/>
    <xf numFmtId="2" fontId="1" fillId="0" borderId="0" xfId="0" applyNumberFormat="1" applyFont="1"/>
    <xf numFmtId="0" fontId="6" fillId="0" borderId="0" xfId="0" applyFont="1"/>
    <xf numFmtId="0" fontId="7" fillId="0" borderId="0" xfId="0" applyFont="1"/>
    <xf numFmtId="17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CA" b="0">
                <a:solidFill>
                  <a:srgbClr val="757575"/>
                </a:solidFill>
                <a:latin typeface="+mn-lt"/>
              </a:rPr>
              <a:t>NCLOC vs NoCom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NCLOC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xVal>
            <c:numRef>
              <c:f>data!$B$2:$B$633</c:f>
              <c:numCache>
                <c:formatCode>General</c:formatCode>
                <c:ptCount val="632"/>
                <c:pt idx="0">
                  <c:v>4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12</c:v>
                </c:pt>
                <c:pt idx="5">
                  <c:v>12</c:v>
                </c:pt>
                <c:pt idx="6">
                  <c:v>8</c:v>
                </c:pt>
                <c:pt idx="7">
                  <c:v>11</c:v>
                </c:pt>
                <c:pt idx="8">
                  <c:v>4</c:v>
                </c:pt>
                <c:pt idx="9">
                  <c:v>5</c:v>
                </c:pt>
                <c:pt idx="10">
                  <c:v>10</c:v>
                </c:pt>
                <c:pt idx="11">
                  <c:v>10</c:v>
                </c:pt>
                <c:pt idx="12">
                  <c:v>12</c:v>
                </c:pt>
                <c:pt idx="13">
                  <c:v>12</c:v>
                </c:pt>
                <c:pt idx="14">
                  <c:v>13</c:v>
                </c:pt>
                <c:pt idx="15">
                  <c:v>12</c:v>
                </c:pt>
                <c:pt idx="16">
                  <c:v>13</c:v>
                </c:pt>
                <c:pt idx="17">
                  <c:v>11</c:v>
                </c:pt>
                <c:pt idx="18">
                  <c:v>14</c:v>
                </c:pt>
                <c:pt idx="19">
                  <c:v>15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3</c:v>
                </c:pt>
                <c:pt idx="26">
                  <c:v>2</c:v>
                </c:pt>
                <c:pt idx="27">
                  <c:v>5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3</c:v>
                </c:pt>
                <c:pt idx="34">
                  <c:v>15</c:v>
                </c:pt>
                <c:pt idx="35">
                  <c:v>8</c:v>
                </c:pt>
                <c:pt idx="36">
                  <c:v>5</c:v>
                </c:pt>
                <c:pt idx="37">
                  <c:v>9</c:v>
                </c:pt>
                <c:pt idx="38">
                  <c:v>7</c:v>
                </c:pt>
                <c:pt idx="39">
                  <c:v>7</c:v>
                </c:pt>
                <c:pt idx="40">
                  <c:v>6</c:v>
                </c:pt>
                <c:pt idx="41">
                  <c:v>16</c:v>
                </c:pt>
                <c:pt idx="42">
                  <c:v>8</c:v>
                </c:pt>
                <c:pt idx="43">
                  <c:v>8</c:v>
                </c:pt>
                <c:pt idx="44">
                  <c:v>7</c:v>
                </c:pt>
                <c:pt idx="45">
                  <c:v>6</c:v>
                </c:pt>
                <c:pt idx="46">
                  <c:v>5</c:v>
                </c:pt>
                <c:pt idx="47">
                  <c:v>11</c:v>
                </c:pt>
                <c:pt idx="48">
                  <c:v>17</c:v>
                </c:pt>
                <c:pt idx="49">
                  <c:v>8</c:v>
                </c:pt>
                <c:pt idx="50">
                  <c:v>5</c:v>
                </c:pt>
                <c:pt idx="51">
                  <c:v>9</c:v>
                </c:pt>
                <c:pt idx="52">
                  <c:v>4</c:v>
                </c:pt>
                <c:pt idx="53">
                  <c:v>8</c:v>
                </c:pt>
                <c:pt idx="54">
                  <c:v>7</c:v>
                </c:pt>
                <c:pt idx="55">
                  <c:v>12</c:v>
                </c:pt>
                <c:pt idx="56">
                  <c:v>4</c:v>
                </c:pt>
                <c:pt idx="57">
                  <c:v>9</c:v>
                </c:pt>
                <c:pt idx="58">
                  <c:v>6</c:v>
                </c:pt>
                <c:pt idx="59">
                  <c:v>5</c:v>
                </c:pt>
                <c:pt idx="60">
                  <c:v>10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14</c:v>
                </c:pt>
                <c:pt idx="65">
                  <c:v>9</c:v>
                </c:pt>
                <c:pt idx="66">
                  <c:v>5</c:v>
                </c:pt>
                <c:pt idx="67">
                  <c:v>3</c:v>
                </c:pt>
                <c:pt idx="68">
                  <c:v>11</c:v>
                </c:pt>
                <c:pt idx="69">
                  <c:v>11</c:v>
                </c:pt>
                <c:pt idx="70">
                  <c:v>7</c:v>
                </c:pt>
                <c:pt idx="71">
                  <c:v>4</c:v>
                </c:pt>
                <c:pt idx="72">
                  <c:v>4</c:v>
                </c:pt>
                <c:pt idx="73">
                  <c:v>2</c:v>
                </c:pt>
                <c:pt idx="74">
                  <c:v>4</c:v>
                </c:pt>
                <c:pt idx="75">
                  <c:v>4</c:v>
                </c:pt>
                <c:pt idx="76">
                  <c:v>14</c:v>
                </c:pt>
                <c:pt idx="77">
                  <c:v>6</c:v>
                </c:pt>
                <c:pt idx="78">
                  <c:v>13</c:v>
                </c:pt>
                <c:pt idx="79">
                  <c:v>5</c:v>
                </c:pt>
                <c:pt idx="80">
                  <c:v>6</c:v>
                </c:pt>
                <c:pt idx="81">
                  <c:v>9</c:v>
                </c:pt>
                <c:pt idx="82">
                  <c:v>10</c:v>
                </c:pt>
                <c:pt idx="83">
                  <c:v>7</c:v>
                </c:pt>
                <c:pt idx="84">
                  <c:v>2</c:v>
                </c:pt>
                <c:pt idx="85">
                  <c:v>2</c:v>
                </c:pt>
                <c:pt idx="86">
                  <c:v>6</c:v>
                </c:pt>
                <c:pt idx="87">
                  <c:v>5</c:v>
                </c:pt>
                <c:pt idx="88">
                  <c:v>7</c:v>
                </c:pt>
                <c:pt idx="89">
                  <c:v>6</c:v>
                </c:pt>
                <c:pt idx="90">
                  <c:v>5</c:v>
                </c:pt>
                <c:pt idx="91">
                  <c:v>3</c:v>
                </c:pt>
                <c:pt idx="92">
                  <c:v>3</c:v>
                </c:pt>
                <c:pt idx="93">
                  <c:v>7</c:v>
                </c:pt>
                <c:pt idx="94">
                  <c:v>7</c:v>
                </c:pt>
                <c:pt idx="95">
                  <c:v>14</c:v>
                </c:pt>
                <c:pt idx="96">
                  <c:v>5</c:v>
                </c:pt>
                <c:pt idx="97">
                  <c:v>11</c:v>
                </c:pt>
                <c:pt idx="98">
                  <c:v>7</c:v>
                </c:pt>
                <c:pt idx="99">
                  <c:v>2</c:v>
                </c:pt>
                <c:pt idx="100">
                  <c:v>3</c:v>
                </c:pt>
                <c:pt idx="101">
                  <c:v>2</c:v>
                </c:pt>
                <c:pt idx="102">
                  <c:v>2</c:v>
                </c:pt>
                <c:pt idx="103">
                  <c:v>22</c:v>
                </c:pt>
                <c:pt idx="104">
                  <c:v>4</c:v>
                </c:pt>
                <c:pt idx="105">
                  <c:v>7</c:v>
                </c:pt>
                <c:pt idx="106">
                  <c:v>5</c:v>
                </c:pt>
                <c:pt idx="107">
                  <c:v>7</c:v>
                </c:pt>
                <c:pt idx="108">
                  <c:v>10</c:v>
                </c:pt>
                <c:pt idx="109">
                  <c:v>5</c:v>
                </c:pt>
                <c:pt idx="110">
                  <c:v>8</c:v>
                </c:pt>
                <c:pt idx="111">
                  <c:v>6</c:v>
                </c:pt>
                <c:pt idx="112">
                  <c:v>2</c:v>
                </c:pt>
                <c:pt idx="113">
                  <c:v>2</c:v>
                </c:pt>
                <c:pt idx="114">
                  <c:v>3</c:v>
                </c:pt>
                <c:pt idx="115">
                  <c:v>4</c:v>
                </c:pt>
                <c:pt idx="116">
                  <c:v>3</c:v>
                </c:pt>
                <c:pt idx="117">
                  <c:v>5</c:v>
                </c:pt>
                <c:pt idx="118">
                  <c:v>4</c:v>
                </c:pt>
                <c:pt idx="119">
                  <c:v>10</c:v>
                </c:pt>
                <c:pt idx="120">
                  <c:v>11</c:v>
                </c:pt>
                <c:pt idx="121">
                  <c:v>8</c:v>
                </c:pt>
                <c:pt idx="122">
                  <c:v>9</c:v>
                </c:pt>
                <c:pt idx="123">
                  <c:v>5</c:v>
                </c:pt>
                <c:pt idx="124">
                  <c:v>2</c:v>
                </c:pt>
                <c:pt idx="125">
                  <c:v>10</c:v>
                </c:pt>
                <c:pt idx="126">
                  <c:v>7</c:v>
                </c:pt>
                <c:pt idx="127">
                  <c:v>2</c:v>
                </c:pt>
                <c:pt idx="128">
                  <c:v>7</c:v>
                </c:pt>
                <c:pt idx="129">
                  <c:v>10</c:v>
                </c:pt>
                <c:pt idx="130">
                  <c:v>8</c:v>
                </c:pt>
                <c:pt idx="131">
                  <c:v>3</c:v>
                </c:pt>
                <c:pt idx="132">
                  <c:v>10</c:v>
                </c:pt>
                <c:pt idx="133">
                  <c:v>3</c:v>
                </c:pt>
                <c:pt idx="134">
                  <c:v>3</c:v>
                </c:pt>
                <c:pt idx="135">
                  <c:v>7</c:v>
                </c:pt>
                <c:pt idx="136">
                  <c:v>5</c:v>
                </c:pt>
                <c:pt idx="137">
                  <c:v>3</c:v>
                </c:pt>
                <c:pt idx="138">
                  <c:v>4</c:v>
                </c:pt>
                <c:pt idx="139">
                  <c:v>4</c:v>
                </c:pt>
                <c:pt idx="140">
                  <c:v>6</c:v>
                </c:pt>
                <c:pt idx="141">
                  <c:v>5</c:v>
                </c:pt>
                <c:pt idx="142">
                  <c:v>4</c:v>
                </c:pt>
                <c:pt idx="143">
                  <c:v>3</c:v>
                </c:pt>
                <c:pt idx="144">
                  <c:v>4</c:v>
                </c:pt>
                <c:pt idx="145">
                  <c:v>5</c:v>
                </c:pt>
                <c:pt idx="146">
                  <c:v>5</c:v>
                </c:pt>
                <c:pt idx="147">
                  <c:v>3</c:v>
                </c:pt>
                <c:pt idx="148">
                  <c:v>4</c:v>
                </c:pt>
                <c:pt idx="149">
                  <c:v>5</c:v>
                </c:pt>
                <c:pt idx="150">
                  <c:v>4</c:v>
                </c:pt>
                <c:pt idx="151">
                  <c:v>3</c:v>
                </c:pt>
                <c:pt idx="152">
                  <c:v>4</c:v>
                </c:pt>
                <c:pt idx="153">
                  <c:v>3</c:v>
                </c:pt>
                <c:pt idx="154">
                  <c:v>6</c:v>
                </c:pt>
                <c:pt idx="155">
                  <c:v>3</c:v>
                </c:pt>
                <c:pt idx="156">
                  <c:v>3</c:v>
                </c:pt>
                <c:pt idx="157">
                  <c:v>2</c:v>
                </c:pt>
                <c:pt idx="158">
                  <c:v>4</c:v>
                </c:pt>
                <c:pt idx="159">
                  <c:v>4</c:v>
                </c:pt>
                <c:pt idx="160">
                  <c:v>3</c:v>
                </c:pt>
                <c:pt idx="161">
                  <c:v>2</c:v>
                </c:pt>
                <c:pt idx="162">
                  <c:v>6</c:v>
                </c:pt>
                <c:pt idx="163">
                  <c:v>7</c:v>
                </c:pt>
                <c:pt idx="164">
                  <c:v>3</c:v>
                </c:pt>
                <c:pt idx="165">
                  <c:v>3</c:v>
                </c:pt>
                <c:pt idx="166">
                  <c:v>4</c:v>
                </c:pt>
                <c:pt idx="167">
                  <c:v>5</c:v>
                </c:pt>
                <c:pt idx="168">
                  <c:v>24</c:v>
                </c:pt>
                <c:pt idx="169">
                  <c:v>12</c:v>
                </c:pt>
                <c:pt idx="170">
                  <c:v>7</c:v>
                </c:pt>
                <c:pt idx="171">
                  <c:v>10</c:v>
                </c:pt>
                <c:pt idx="172">
                  <c:v>5</c:v>
                </c:pt>
                <c:pt idx="173">
                  <c:v>3</c:v>
                </c:pt>
                <c:pt idx="174">
                  <c:v>9</c:v>
                </c:pt>
                <c:pt idx="175">
                  <c:v>6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2</c:v>
                </c:pt>
                <c:pt idx="181">
                  <c:v>6</c:v>
                </c:pt>
                <c:pt idx="182">
                  <c:v>6</c:v>
                </c:pt>
                <c:pt idx="183">
                  <c:v>4</c:v>
                </c:pt>
                <c:pt idx="184">
                  <c:v>6</c:v>
                </c:pt>
                <c:pt idx="185">
                  <c:v>6</c:v>
                </c:pt>
                <c:pt idx="186">
                  <c:v>7</c:v>
                </c:pt>
                <c:pt idx="187">
                  <c:v>9</c:v>
                </c:pt>
                <c:pt idx="188">
                  <c:v>10</c:v>
                </c:pt>
                <c:pt idx="189">
                  <c:v>6</c:v>
                </c:pt>
                <c:pt idx="190">
                  <c:v>4</c:v>
                </c:pt>
                <c:pt idx="191">
                  <c:v>6</c:v>
                </c:pt>
                <c:pt idx="192">
                  <c:v>8</c:v>
                </c:pt>
                <c:pt idx="193">
                  <c:v>3</c:v>
                </c:pt>
                <c:pt idx="194">
                  <c:v>5</c:v>
                </c:pt>
                <c:pt idx="195">
                  <c:v>2</c:v>
                </c:pt>
                <c:pt idx="196">
                  <c:v>7</c:v>
                </c:pt>
                <c:pt idx="197">
                  <c:v>8</c:v>
                </c:pt>
                <c:pt idx="198">
                  <c:v>6</c:v>
                </c:pt>
                <c:pt idx="199">
                  <c:v>9</c:v>
                </c:pt>
                <c:pt idx="200">
                  <c:v>6</c:v>
                </c:pt>
                <c:pt idx="201">
                  <c:v>7</c:v>
                </c:pt>
                <c:pt idx="202">
                  <c:v>5</c:v>
                </c:pt>
                <c:pt idx="203">
                  <c:v>4</c:v>
                </c:pt>
                <c:pt idx="204">
                  <c:v>5</c:v>
                </c:pt>
                <c:pt idx="205">
                  <c:v>4</c:v>
                </c:pt>
                <c:pt idx="206">
                  <c:v>4</c:v>
                </c:pt>
                <c:pt idx="207">
                  <c:v>8</c:v>
                </c:pt>
                <c:pt idx="208">
                  <c:v>6</c:v>
                </c:pt>
                <c:pt idx="209">
                  <c:v>3</c:v>
                </c:pt>
                <c:pt idx="210">
                  <c:v>3</c:v>
                </c:pt>
                <c:pt idx="211">
                  <c:v>2</c:v>
                </c:pt>
                <c:pt idx="212">
                  <c:v>2</c:v>
                </c:pt>
                <c:pt idx="213">
                  <c:v>7</c:v>
                </c:pt>
                <c:pt idx="214">
                  <c:v>5</c:v>
                </c:pt>
                <c:pt idx="215">
                  <c:v>4</c:v>
                </c:pt>
                <c:pt idx="216">
                  <c:v>7</c:v>
                </c:pt>
                <c:pt idx="217">
                  <c:v>32</c:v>
                </c:pt>
                <c:pt idx="218">
                  <c:v>3</c:v>
                </c:pt>
                <c:pt idx="219">
                  <c:v>14</c:v>
                </c:pt>
                <c:pt idx="220">
                  <c:v>15</c:v>
                </c:pt>
                <c:pt idx="221">
                  <c:v>12</c:v>
                </c:pt>
                <c:pt idx="222">
                  <c:v>16</c:v>
                </c:pt>
                <c:pt idx="223">
                  <c:v>2</c:v>
                </c:pt>
                <c:pt idx="224">
                  <c:v>5</c:v>
                </c:pt>
                <c:pt idx="225">
                  <c:v>2</c:v>
                </c:pt>
                <c:pt idx="226">
                  <c:v>2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16</c:v>
                </c:pt>
                <c:pt idx="235">
                  <c:v>7</c:v>
                </c:pt>
                <c:pt idx="236">
                  <c:v>5</c:v>
                </c:pt>
                <c:pt idx="237">
                  <c:v>8</c:v>
                </c:pt>
                <c:pt idx="238">
                  <c:v>6</c:v>
                </c:pt>
                <c:pt idx="239">
                  <c:v>10</c:v>
                </c:pt>
                <c:pt idx="240">
                  <c:v>11</c:v>
                </c:pt>
                <c:pt idx="241">
                  <c:v>10</c:v>
                </c:pt>
                <c:pt idx="242">
                  <c:v>4</c:v>
                </c:pt>
                <c:pt idx="243">
                  <c:v>4</c:v>
                </c:pt>
                <c:pt idx="244">
                  <c:v>3</c:v>
                </c:pt>
                <c:pt idx="245">
                  <c:v>4</c:v>
                </c:pt>
                <c:pt idx="246">
                  <c:v>16</c:v>
                </c:pt>
                <c:pt idx="247">
                  <c:v>10</c:v>
                </c:pt>
                <c:pt idx="248">
                  <c:v>4</c:v>
                </c:pt>
                <c:pt idx="249">
                  <c:v>12</c:v>
                </c:pt>
                <c:pt idx="250">
                  <c:v>16</c:v>
                </c:pt>
                <c:pt idx="251">
                  <c:v>10</c:v>
                </c:pt>
                <c:pt idx="252">
                  <c:v>10</c:v>
                </c:pt>
                <c:pt idx="253">
                  <c:v>11</c:v>
                </c:pt>
                <c:pt idx="254">
                  <c:v>6</c:v>
                </c:pt>
                <c:pt idx="255">
                  <c:v>5</c:v>
                </c:pt>
                <c:pt idx="256">
                  <c:v>15</c:v>
                </c:pt>
                <c:pt idx="257">
                  <c:v>3</c:v>
                </c:pt>
                <c:pt idx="258">
                  <c:v>8</c:v>
                </c:pt>
                <c:pt idx="259">
                  <c:v>13</c:v>
                </c:pt>
                <c:pt idx="260">
                  <c:v>9</c:v>
                </c:pt>
                <c:pt idx="261">
                  <c:v>19</c:v>
                </c:pt>
                <c:pt idx="262">
                  <c:v>4</c:v>
                </c:pt>
                <c:pt idx="263">
                  <c:v>2</c:v>
                </c:pt>
                <c:pt idx="264">
                  <c:v>5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6</c:v>
                </c:pt>
                <c:pt idx="269">
                  <c:v>2</c:v>
                </c:pt>
                <c:pt idx="270">
                  <c:v>22</c:v>
                </c:pt>
                <c:pt idx="271">
                  <c:v>4</c:v>
                </c:pt>
                <c:pt idx="272">
                  <c:v>11</c:v>
                </c:pt>
                <c:pt idx="273">
                  <c:v>4</c:v>
                </c:pt>
                <c:pt idx="274">
                  <c:v>6</c:v>
                </c:pt>
                <c:pt idx="275">
                  <c:v>27</c:v>
                </c:pt>
                <c:pt idx="276">
                  <c:v>22</c:v>
                </c:pt>
                <c:pt idx="277">
                  <c:v>5</c:v>
                </c:pt>
                <c:pt idx="278">
                  <c:v>24</c:v>
                </c:pt>
                <c:pt idx="279">
                  <c:v>20</c:v>
                </c:pt>
                <c:pt idx="280">
                  <c:v>4</c:v>
                </c:pt>
                <c:pt idx="281">
                  <c:v>4</c:v>
                </c:pt>
                <c:pt idx="282">
                  <c:v>10</c:v>
                </c:pt>
                <c:pt idx="283">
                  <c:v>2</c:v>
                </c:pt>
                <c:pt idx="284">
                  <c:v>31</c:v>
                </c:pt>
                <c:pt idx="285">
                  <c:v>6</c:v>
                </c:pt>
                <c:pt idx="286">
                  <c:v>30</c:v>
                </c:pt>
                <c:pt idx="287">
                  <c:v>4</c:v>
                </c:pt>
                <c:pt idx="288">
                  <c:v>28</c:v>
                </c:pt>
                <c:pt idx="289">
                  <c:v>10</c:v>
                </c:pt>
                <c:pt idx="290">
                  <c:v>7</c:v>
                </c:pt>
                <c:pt idx="291">
                  <c:v>16</c:v>
                </c:pt>
                <c:pt idx="292">
                  <c:v>16</c:v>
                </c:pt>
                <c:pt idx="293">
                  <c:v>16</c:v>
                </c:pt>
                <c:pt idx="294">
                  <c:v>3</c:v>
                </c:pt>
                <c:pt idx="295">
                  <c:v>8</c:v>
                </c:pt>
                <c:pt idx="296">
                  <c:v>2</c:v>
                </c:pt>
                <c:pt idx="297">
                  <c:v>12</c:v>
                </c:pt>
                <c:pt idx="298">
                  <c:v>7</c:v>
                </c:pt>
                <c:pt idx="299">
                  <c:v>9</c:v>
                </c:pt>
                <c:pt idx="300">
                  <c:v>6</c:v>
                </c:pt>
                <c:pt idx="301">
                  <c:v>12</c:v>
                </c:pt>
                <c:pt idx="302">
                  <c:v>12</c:v>
                </c:pt>
                <c:pt idx="303">
                  <c:v>14</c:v>
                </c:pt>
                <c:pt idx="304">
                  <c:v>11</c:v>
                </c:pt>
                <c:pt idx="305">
                  <c:v>13</c:v>
                </c:pt>
                <c:pt idx="306">
                  <c:v>12</c:v>
                </c:pt>
                <c:pt idx="307">
                  <c:v>11</c:v>
                </c:pt>
                <c:pt idx="308">
                  <c:v>6</c:v>
                </c:pt>
                <c:pt idx="309">
                  <c:v>12</c:v>
                </c:pt>
                <c:pt idx="310">
                  <c:v>11</c:v>
                </c:pt>
                <c:pt idx="311">
                  <c:v>10</c:v>
                </c:pt>
                <c:pt idx="312">
                  <c:v>22</c:v>
                </c:pt>
                <c:pt idx="313">
                  <c:v>7</c:v>
                </c:pt>
                <c:pt idx="314">
                  <c:v>9</c:v>
                </c:pt>
                <c:pt idx="315">
                  <c:v>2</c:v>
                </c:pt>
                <c:pt idx="316">
                  <c:v>2</c:v>
                </c:pt>
                <c:pt idx="317">
                  <c:v>3</c:v>
                </c:pt>
                <c:pt idx="318">
                  <c:v>6</c:v>
                </c:pt>
                <c:pt idx="319">
                  <c:v>5</c:v>
                </c:pt>
                <c:pt idx="320">
                  <c:v>8</c:v>
                </c:pt>
                <c:pt idx="321">
                  <c:v>3</c:v>
                </c:pt>
                <c:pt idx="322">
                  <c:v>4</c:v>
                </c:pt>
                <c:pt idx="323">
                  <c:v>5</c:v>
                </c:pt>
                <c:pt idx="324">
                  <c:v>30</c:v>
                </c:pt>
                <c:pt idx="325">
                  <c:v>15</c:v>
                </c:pt>
                <c:pt idx="326">
                  <c:v>12</c:v>
                </c:pt>
                <c:pt idx="327">
                  <c:v>4</c:v>
                </c:pt>
                <c:pt idx="328">
                  <c:v>2</c:v>
                </c:pt>
                <c:pt idx="329">
                  <c:v>8</c:v>
                </c:pt>
                <c:pt idx="330">
                  <c:v>3</c:v>
                </c:pt>
                <c:pt idx="331">
                  <c:v>8</c:v>
                </c:pt>
                <c:pt idx="332">
                  <c:v>10</c:v>
                </c:pt>
                <c:pt idx="333">
                  <c:v>13</c:v>
                </c:pt>
                <c:pt idx="334">
                  <c:v>10</c:v>
                </c:pt>
                <c:pt idx="335">
                  <c:v>9</c:v>
                </c:pt>
                <c:pt idx="336">
                  <c:v>11</c:v>
                </c:pt>
                <c:pt idx="337">
                  <c:v>7</c:v>
                </c:pt>
                <c:pt idx="338">
                  <c:v>20</c:v>
                </c:pt>
                <c:pt idx="339">
                  <c:v>8</c:v>
                </c:pt>
                <c:pt idx="340">
                  <c:v>8</c:v>
                </c:pt>
                <c:pt idx="341">
                  <c:v>17</c:v>
                </c:pt>
                <c:pt idx="342">
                  <c:v>13</c:v>
                </c:pt>
                <c:pt idx="343">
                  <c:v>7</c:v>
                </c:pt>
                <c:pt idx="344">
                  <c:v>18</c:v>
                </c:pt>
                <c:pt idx="345">
                  <c:v>17</c:v>
                </c:pt>
                <c:pt idx="346">
                  <c:v>12</c:v>
                </c:pt>
                <c:pt idx="347">
                  <c:v>10</c:v>
                </c:pt>
                <c:pt idx="348">
                  <c:v>15</c:v>
                </c:pt>
                <c:pt idx="349">
                  <c:v>12</c:v>
                </c:pt>
                <c:pt idx="350">
                  <c:v>10</c:v>
                </c:pt>
                <c:pt idx="351">
                  <c:v>19</c:v>
                </c:pt>
                <c:pt idx="352">
                  <c:v>2</c:v>
                </c:pt>
                <c:pt idx="353">
                  <c:v>21</c:v>
                </c:pt>
                <c:pt idx="354">
                  <c:v>14</c:v>
                </c:pt>
                <c:pt idx="355">
                  <c:v>13</c:v>
                </c:pt>
                <c:pt idx="356">
                  <c:v>11</c:v>
                </c:pt>
                <c:pt idx="357">
                  <c:v>15</c:v>
                </c:pt>
                <c:pt idx="358">
                  <c:v>10</c:v>
                </c:pt>
                <c:pt idx="359">
                  <c:v>20</c:v>
                </c:pt>
                <c:pt idx="360">
                  <c:v>3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9</c:v>
                </c:pt>
                <c:pt idx="366">
                  <c:v>8</c:v>
                </c:pt>
                <c:pt idx="367">
                  <c:v>4</c:v>
                </c:pt>
                <c:pt idx="368">
                  <c:v>2</c:v>
                </c:pt>
                <c:pt idx="369">
                  <c:v>2</c:v>
                </c:pt>
                <c:pt idx="370">
                  <c:v>3</c:v>
                </c:pt>
                <c:pt idx="371">
                  <c:v>5</c:v>
                </c:pt>
                <c:pt idx="372">
                  <c:v>4</c:v>
                </c:pt>
                <c:pt idx="373">
                  <c:v>2</c:v>
                </c:pt>
                <c:pt idx="374">
                  <c:v>2</c:v>
                </c:pt>
                <c:pt idx="375">
                  <c:v>3</c:v>
                </c:pt>
                <c:pt idx="376">
                  <c:v>5</c:v>
                </c:pt>
                <c:pt idx="377">
                  <c:v>3</c:v>
                </c:pt>
                <c:pt idx="378">
                  <c:v>4</c:v>
                </c:pt>
                <c:pt idx="379">
                  <c:v>4</c:v>
                </c:pt>
                <c:pt idx="380">
                  <c:v>3</c:v>
                </c:pt>
                <c:pt idx="381">
                  <c:v>3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4</c:v>
                </c:pt>
                <c:pt idx="387">
                  <c:v>2</c:v>
                </c:pt>
                <c:pt idx="388">
                  <c:v>3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4</c:v>
                </c:pt>
                <c:pt idx="393">
                  <c:v>2</c:v>
                </c:pt>
                <c:pt idx="394">
                  <c:v>3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3</c:v>
                </c:pt>
                <c:pt idx="400">
                  <c:v>3</c:v>
                </c:pt>
                <c:pt idx="401">
                  <c:v>11</c:v>
                </c:pt>
                <c:pt idx="402">
                  <c:v>5</c:v>
                </c:pt>
                <c:pt idx="403">
                  <c:v>8</c:v>
                </c:pt>
                <c:pt idx="404">
                  <c:v>9</c:v>
                </c:pt>
                <c:pt idx="405">
                  <c:v>10</c:v>
                </c:pt>
                <c:pt idx="406">
                  <c:v>4</c:v>
                </c:pt>
                <c:pt idx="407">
                  <c:v>6</c:v>
                </c:pt>
                <c:pt idx="408">
                  <c:v>8</c:v>
                </c:pt>
                <c:pt idx="409">
                  <c:v>7</c:v>
                </c:pt>
                <c:pt idx="410">
                  <c:v>7</c:v>
                </c:pt>
                <c:pt idx="411">
                  <c:v>6</c:v>
                </c:pt>
                <c:pt idx="412">
                  <c:v>13</c:v>
                </c:pt>
                <c:pt idx="413">
                  <c:v>9</c:v>
                </c:pt>
                <c:pt idx="414">
                  <c:v>4</c:v>
                </c:pt>
                <c:pt idx="415">
                  <c:v>5</c:v>
                </c:pt>
                <c:pt idx="416">
                  <c:v>8</c:v>
                </c:pt>
                <c:pt idx="417">
                  <c:v>4</c:v>
                </c:pt>
                <c:pt idx="418">
                  <c:v>5</c:v>
                </c:pt>
                <c:pt idx="419">
                  <c:v>6</c:v>
                </c:pt>
                <c:pt idx="420">
                  <c:v>6</c:v>
                </c:pt>
                <c:pt idx="421">
                  <c:v>8</c:v>
                </c:pt>
                <c:pt idx="422">
                  <c:v>2</c:v>
                </c:pt>
                <c:pt idx="423">
                  <c:v>5</c:v>
                </c:pt>
                <c:pt idx="424">
                  <c:v>3</c:v>
                </c:pt>
                <c:pt idx="425">
                  <c:v>3</c:v>
                </c:pt>
                <c:pt idx="426">
                  <c:v>8</c:v>
                </c:pt>
                <c:pt idx="427">
                  <c:v>8</c:v>
                </c:pt>
                <c:pt idx="428">
                  <c:v>6</c:v>
                </c:pt>
                <c:pt idx="429">
                  <c:v>12</c:v>
                </c:pt>
                <c:pt idx="430">
                  <c:v>2</c:v>
                </c:pt>
                <c:pt idx="431">
                  <c:v>2</c:v>
                </c:pt>
                <c:pt idx="432">
                  <c:v>5</c:v>
                </c:pt>
                <c:pt idx="433">
                  <c:v>4</c:v>
                </c:pt>
                <c:pt idx="434">
                  <c:v>2</c:v>
                </c:pt>
                <c:pt idx="435">
                  <c:v>5</c:v>
                </c:pt>
                <c:pt idx="436">
                  <c:v>4</c:v>
                </c:pt>
                <c:pt idx="437">
                  <c:v>3</c:v>
                </c:pt>
                <c:pt idx="438">
                  <c:v>8</c:v>
                </c:pt>
                <c:pt idx="439">
                  <c:v>7</c:v>
                </c:pt>
                <c:pt idx="440">
                  <c:v>8</c:v>
                </c:pt>
                <c:pt idx="441">
                  <c:v>5</c:v>
                </c:pt>
                <c:pt idx="442">
                  <c:v>8</c:v>
                </c:pt>
                <c:pt idx="443">
                  <c:v>8</c:v>
                </c:pt>
                <c:pt idx="444">
                  <c:v>12</c:v>
                </c:pt>
                <c:pt idx="445">
                  <c:v>7</c:v>
                </c:pt>
                <c:pt idx="446">
                  <c:v>7</c:v>
                </c:pt>
                <c:pt idx="447">
                  <c:v>9</c:v>
                </c:pt>
                <c:pt idx="448">
                  <c:v>13</c:v>
                </c:pt>
                <c:pt idx="449">
                  <c:v>5</c:v>
                </c:pt>
                <c:pt idx="450">
                  <c:v>6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4</c:v>
                </c:pt>
                <c:pt idx="457">
                  <c:v>4</c:v>
                </c:pt>
                <c:pt idx="458">
                  <c:v>4</c:v>
                </c:pt>
                <c:pt idx="459">
                  <c:v>6</c:v>
                </c:pt>
                <c:pt idx="460">
                  <c:v>4</c:v>
                </c:pt>
                <c:pt idx="461">
                  <c:v>4</c:v>
                </c:pt>
                <c:pt idx="462">
                  <c:v>6</c:v>
                </c:pt>
                <c:pt idx="463">
                  <c:v>8</c:v>
                </c:pt>
                <c:pt idx="464">
                  <c:v>8</c:v>
                </c:pt>
                <c:pt idx="465">
                  <c:v>11</c:v>
                </c:pt>
                <c:pt idx="466">
                  <c:v>6</c:v>
                </c:pt>
                <c:pt idx="467">
                  <c:v>7</c:v>
                </c:pt>
                <c:pt idx="468">
                  <c:v>3</c:v>
                </c:pt>
                <c:pt idx="469">
                  <c:v>4</c:v>
                </c:pt>
                <c:pt idx="470">
                  <c:v>3</c:v>
                </c:pt>
                <c:pt idx="471">
                  <c:v>3</c:v>
                </c:pt>
                <c:pt idx="472">
                  <c:v>13</c:v>
                </c:pt>
                <c:pt idx="473">
                  <c:v>7</c:v>
                </c:pt>
                <c:pt idx="474">
                  <c:v>4</c:v>
                </c:pt>
                <c:pt idx="475">
                  <c:v>3</c:v>
                </c:pt>
                <c:pt idx="476">
                  <c:v>3</c:v>
                </c:pt>
                <c:pt idx="477">
                  <c:v>14</c:v>
                </c:pt>
                <c:pt idx="478">
                  <c:v>6</c:v>
                </c:pt>
                <c:pt idx="479">
                  <c:v>3</c:v>
                </c:pt>
                <c:pt idx="480">
                  <c:v>4</c:v>
                </c:pt>
                <c:pt idx="481">
                  <c:v>2</c:v>
                </c:pt>
                <c:pt idx="482">
                  <c:v>3</c:v>
                </c:pt>
                <c:pt idx="483">
                  <c:v>3</c:v>
                </c:pt>
                <c:pt idx="484">
                  <c:v>5</c:v>
                </c:pt>
                <c:pt idx="485">
                  <c:v>12</c:v>
                </c:pt>
                <c:pt idx="486">
                  <c:v>2</c:v>
                </c:pt>
                <c:pt idx="487">
                  <c:v>3</c:v>
                </c:pt>
                <c:pt idx="488">
                  <c:v>6</c:v>
                </c:pt>
                <c:pt idx="489">
                  <c:v>2</c:v>
                </c:pt>
                <c:pt idx="490">
                  <c:v>2</c:v>
                </c:pt>
                <c:pt idx="491">
                  <c:v>5</c:v>
                </c:pt>
                <c:pt idx="492">
                  <c:v>2</c:v>
                </c:pt>
                <c:pt idx="493">
                  <c:v>4</c:v>
                </c:pt>
                <c:pt idx="494">
                  <c:v>4</c:v>
                </c:pt>
                <c:pt idx="495">
                  <c:v>2</c:v>
                </c:pt>
                <c:pt idx="496">
                  <c:v>4</c:v>
                </c:pt>
                <c:pt idx="497">
                  <c:v>3</c:v>
                </c:pt>
                <c:pt idx="498">
                  <c:v>4</c:v>
                </c:pt>
                <c:pt idx="499">
                  <c:v>7</c:v>
                </c:pt>
                <c:pt idx="500">
                  <c:v>8</c:v>
                </c:pt>
                <c:pt idx="501">
                  <c:v>8</c:v>
                </c:pt>
                <c:pt idx="502">
                  <c:v>7</c:v>
                </c:pt>
                <c:pt idx="503">
                  <c:v>4</c:v>
                </c:pt>
                <c:pt idx="504">
                  <c:v>9</c:v>
                </c:pt>
                <c:pt idx="505">
                  <c:v>5</c:v>
                </c:pt>
                <c:pt idx="506">
                  <c:v>5</c:v>
                </c:pt>
                <c:pt idx="507">
                  <c:v>6</c:v>
                </c:pt>
                <c:pt idx="508">
                  <c:v>9</c:v>
                </c:pt>
                <c:pt idx="509">
                  <c:v>7</c:v>
                </c:pt>
                <c:pt idx="510">
                  <c:v>16</c:v>
                </c:pt>
                <c:pt idx="511">
                  <c:v>8</c:v>
                </c:pt>
                <c:pt idx="512">
                  <c:v>4</c:v>
                </c:pt>
                <c:pt idx="513">
                  <c:v>5</c:v>
                </c:pt>
                <c:pt idx="514">
                  <c:v>2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7</c:v>
                </c:pt>
                <c:pt idx="521">
                  <c:v>4</c:v>
                </c:pt>
                <c:pt idx="522">
                  <c:v>7</c:v>
                </c:pt>
                <c:pt idx="523">
                  <c:v>5</c:v>
                </c:pt>
                <c:pt idx="524">
                  <c:v>8</c:v>
                </c:pt>
                <c:pt idx="525">
                  <c:v>7</c:v>
                </c:pt>
                <c:pt idx="526">
                  <c:v>7</c:v>
                </c:pt>
                <c:pt idx="527">
                  <c:v>8</c:v>
                </c:pt>
                <c:pt idx="528">
                  <c:v>3</c:v>
                </c:pt>
                <c:pt idx="529">
                  <c:v>8</c:v>
                </c:pt>
                <c:pt idx="530">
                  <c:v>5</c:v>
                </c:pt>
                <c:pt idx="531">
                  <c:v>6</c:v>
                </c:pt>
                <c:pt idx="532">
                  <c:v>4</c:v>
                </c:pt>
                <c:pt idx="533">
                  <c:v>4</c:v>
                </c:pt>
                <c:pt idx="534">
                  <c:v>7</c:v>
                </c:pt>
                <c:pt idx="535">
                  <c:v>10</c:v>
                </c:pt>
                <c:pt idx="536">
                  <c:v>4</c:v>
                </c:pt>
                <c:pt idx="537">
                  <c:v>5</c:v>
                </c:pt>
                <c:pt idx="538">
                  <c:v>5</c:v>
                </c:pt>
                <c:pt idx="539">
                  <c:v>11</c:v>
                </c:pt>
                <c:pt idx="540">
                  <c:v>4</c:v>
                </c:pt>
                <c:pt idx="541">
                  <c:v>4</c:v>
                </c:pt>
                <c:pt idx="542">
                  <c:v>9</c:v>
                </c:pt>
                <c:pt idx="543">
                  <c:v>8</c:v>
                </c:pt>
                <c:pt idx="544">
                  <c:v>9</c:v>
                </c:pt>
                <c:pt idx="545">
                  <c:v>8</c:v>
                </c:pt>
                <c:pt idx="546">
                  <c:v>8</c:v>
                </c:pt>
                <c:pt idx="547">
                  <c:v>5</c:v>
                </c:pt>
                <c:pt idx="548">
                  <c:v>6</c:v>
                </c:pt>
                <c:pt idx="549">
                  <c:v>6</c:v>
                </c:pt>
                <c:pt idx="550">
                  <c:v>12</c:v>
                </c:pt>
                <c:pt idx="551">
                  <c:v>11</c:v>
                </c:pt>
                <c:pt idx="552">
                  <c:v>12</c:v>
                </c:pt>
                <c:pt idx="553">
                  <c:v>9</c:v>
                </c:pt>
                <c:pt idx="554">
                  <c:v>6</c:v>
                </c:pt>
                <c:pt idx="555">
                  <c:v>5</c:v>
                </c:pt>
                <c:pt idx="556">
                  <c:v>7</c:v>
                </c:pt>
                <c:pt idx="557">
                  <c:v>3</c:v>
                </c:pt>
                <c:pt idx="558">
                  <c:v>7</c:v>
                </c:pt>
                <c:pt idx="559">
                  <c:v>12</c:v>
                </c:pt>
                <c:pt idx="560">
                  <c:v>12</c:v>
                </c:pt>
                <c:pt idx="561">
                  <c:v>19</c:v>
                </c:pt>
                <c:pt idx="562">
                  <c:v>18</c:v>
                </c:pt>
                <c:pt idx="563">
                  <c:v>10</c:v>
                </c:pt>
                <c:pt idx="564">
                  <c:v>4</c:v>
                </c:pt>
                <c:pt idx="565">
                  <c:v>11</c:v>
                </c:pt>
                <c:pt idx="566">
                  <c:v>9</c:v>
                </c:pt>
                <c:pt idx="567">
                  <c:v>10</c:v>
                </c:pt>
                <c:pt idx="568">
                  <c:v>2</c:v>
                </c:pt>
                <c:pt idx="569">
                  <c:v>3</c:v>
                </c:pt>
                <c:pt idx="570">
                  <c:v>5</c:v>
                </c:pt>
                <c:pt idx="571">
                  <c:v>4</c:v>
                </c:pt>
                <c:pt idx="572">
                  <c:v>3</c:v>
                </c:pt>
                <c:pt idx="573">
                  <c:v>5</c:v>
                </c:pt>
                <c:pt idx="574">
                  <c:v>5</c:v>
                </c:pt>
                <c:pt idx="575">
                  <c:v>3</c:v>
                </c:pt>
                <c:pt idx="576">
                  <c:v>2</c:v>
                </c:pt>
                <c:pt idx="577">
                  <c:v>2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3</c:v>
                </c:pt>
                <c:pt idx="582">
                  <c:v>4</c:v>
                </c:pt>
                <c:pt idx="583">
                  <c:v>3</c:v>
                </c:pt>
                <c:pt idx="584">
                  <c:v>7</c:v>
                </c:pt>
                <c:pt idx="585">
                  <c:v>9</c:v>
                </c:pt>
                <c:pt idx="586">
                  <c:v>8</c:v>
                </c:pt>
                <c:pt idx="587">
                  <c:v>6</c:v>
                </c:pt>
                <c:pt idx="588">
                  <c:v>12</c:v>
                </c:pt>
                <c:pt idx="589">
                  <c:v>7</c:v>
                </c:pt>
                <c:pt idx="590">
                  <c:v>8</c:v>
                </c:pt>
                <c:pt idx="591">
                  <c:v>7</c:v>
                </c:pt>
                <c:pt idx="592">
                  <c:v>4</c:v>
                </c:pt>
                <c:pt idx="593">
                  <c:v>9</c:v>
                </c:pt>
                <c:pt idx="594">
                  <c:v>4</c:v>
                </c:pt>
                <c:pt idx="595">
                  <c:v>4</c:v>
                </c:pt>
                <c:pt idx="596">
                  <c:v>8</c:v>
                </c:pt>
                <c:pt idx="597">
                  <c:v>4</c:v>
                </c:pt>
                <c:pt idx="598">
                  <c:v>5</c:v>
                </c:pt>
                <c:pt idx="599">
                  <c:v>3</c:v>
                </c:pt>
                <c:pt idx="600">
                  <c:v>4</c:v>
                </c:pt>
                <c:pt idx="601">
                  <c:v>3</c:v>
                </c:pt>
                <c:pt idx="602">
                  <c:v>3</c:v>
                </c:pt>
                <c:pt idx="603">
                  <c:v>3</c:v>
                </c:pt>
                <c:pt idx="604">
                  <c:v>10</c:v>
                </c:pt>
                <c:pt idx="605">
                  <c:v>5</c:v>
                </c:pt>
                <c:pt idx="606">
                  <c:v>5</c:v>
                </c:pt>
                <c:pt idx="607">
                  <c:v>6</c:v>
                </c:pt>
                <c:pt idx="608">
                  <c:v>3</c:v>
                </c:pt>
                <c:pt idx="609">
                  <c:v>11</c:v>
                </c:pt>
                <c:pt idx="610">
                  <c:v>4</c:v>
                </c:pt>
                <c:pt idx="611">
                  <c:v>6</c:v>
                </c:pt>
                <c:pt idx="612">
                  <c:v>3</c:v>
                </c:pt>
                <c:pt idx="613">
                  <c:v>9</c:v>
                </c:pt>
                <c:pt idx="614">
                  <c:v>5</c:v>
                </c:pt>
                <c:pt idx="615">
                  <c:v>2</c:v>
                </c:pt>
                <c:pt idx="616">
                  <c:v>5</c:v>
                </c:pt>
                <c:pt idx="617">
                  <c:v>4</c:v>
                </c:pt>
                <c:pt idx="618">
                  <c:v>5</c:v>
                </c:pt>
                <c:pt idx="619">
                  <c:v>3</c:v>
                </c:pt>
                <c:pt idx="620">
                  <c:v>10</c:v>
                </c:pt>
                <c:pt idx="621">
                  <c:v>8</c:v>
                </c:pt>
                <c:pt idx="622">
                  <c:v>4</c:v>
                </c:pt>
                <c:pt idx="623">
                  <c:v>15</c:v>
                </c:pt>
                <c:pt idx="624">
                  <c:v>14</c:v>
                </c:pt>
                <c:pt idx="625">
                  <c:v>4</c:v>
                </c:pt>
                <c:pt idx="626">
                  <c:v>4</c:v>
                </c:pt>
                <c:pt idx="627">
                  <c:v>5</c:v>
                </c:pt>
                <c:pt idx="628">
                  <c:v>3</c:v>
                </c:pt>
                <c:pt idx="629">
                  <c:v>12</c:v>
                </c:pt>
                <c:pt idx="630">
                  <c:v>4</c:v>
                </c:pt>
                <c:pt idx="631">
                  <c:v>4</c:v>
                </c:pt>
              </c:numCache>
            </c:numRef>
          </c:xVal>
          <c:yVal>
            <c:numRef>
              <c:f>data!$C$2:$C$633</c:f>
              <c:numCache>
                <c:formatCode>General</c:formatCode>
                <c:ptCount val="632"/>
                <c:pt idx="0">
                  <c:v>68</c:v>
                </c:pt>
                <c:pt idx="1">
                  <c:v>77</c:v>
                </c:pt>
                <c:pt idx="2">
                  <c:v>7</c:v>
                </c:pt>
                <c:pt idx="3">
                  <c:v>10</c:v>
                </c:pt>
                <c:pt idx="4">
                  <c:v>198</c:v>
                </c:pt>
                <c:pt idx="5">
                  <c:v>238</c:v>
                </c:pt>
                <c:pt idx="6">
                  <c:v>123</c:v>
                </c:pt>
                <c:pt idx="7">
                  <c:v>137</c:v>
                </c:pt>
                <c:pt idx="8">
                  <c:v>11</c:v>
                </c:pt>
                <c:pt idx="9">
                  <c:v>7</c:v>
                </c:pt>
                <c:pt idx="10">
                  <c:v>176</c:v>
                </c:pt>
                <c:pt idx="11">
                  <c:v>159</c:v>
                </c:pt>
                <c:pt idx="12">
                  <c:v>143</c:v>
                </c:pt>
                <c:pt idx="13">
                  <c:v>134</c:v>
                </c:pt>
                <c:pt idx="14">
                  <c:v>180</c:v>
                </c:pt>
                <c:pt idx="15">
                  <c:v>252</c:v>
                </c:pt>
                <c:pt idx="16">
                  <c:v>171</c:v>
                </c:pt>
                <c:pt idx="17">
                  <c:v>152</c:v>
                </c:pt>
                <c:pt idx="18">
                  <c:v>282</c:v>
                </c:pt>
                <c:pt idx="19">
                  <c:v>212</c:v>
                </c:pt>
                <c:pt idx="20">
                  <c:v>6</c:v>
                </c:pt>
                <c:pt idx="21">
                  <c:v>5</c:v>
                </c:pt>
                <c:pt idx="22">
                  <c:v>6</c:v>
                </c:pt>
                <c:pt idx="23">
                  <c:v>5</c:v>
                </c:pt>
                <c:pt idx="24">
                  <c:v>80</c:v>
                </c:pt>
                <c:pt idx="25">
                  <c:v>95</c:v>
                </c:pt>
                <c:pt idx="26">
                  <c:v>42</c:v>
                </c:pt>
                <c:pt idx="27">
                  <c:v>245</c:v>
                </c:pt>
                <c:pt idx="28">
                  <c:v>12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6</c:v>
                </c:pt>
                <c:pt idx="33">
                  <c:v>6</c:v>
                </c:pt>
                <c:pt idx="34">
                  <c:v>789</c:v>
                </c:pt>
                <c:pt idx="35">
                  <c:v>49</c:v>
                </c:pt>
                <c:pt idx="36">
                  <c:v>6</c:v>
                </c:pt>
                <c:pt idx="37">
                  <c:v>26</c:v>
                </c:pt>
                <c:pt idx="38">
                  <c:v>189</c:v>
                </c:pt>
                <c:pt idx="39">
                  <c:v>66</c:v>
                </c:pt>
                <c:pt idx="40">
                  <c:v>6</c:v>
                </c:pt>
                <c:pt idx="41">
                  <c:v>726</c:v>
                </c:pt>
                <c:pt idx="42">
                  <c:v>99</c:v>
                </c:pt>
                <c:pt idx="43">
                  <c:v>217</c:v>
                </c:pt>
                <c:pt idx="44">
                  <c:v>5</c:v>
                </c:pt>
                <c:pt idx="45">
                  <c:v>55</c:v>
                </c:pt>
                <c:pt idx="46">
                  <c:v>48</c:v>
                </c:pt>
                <c:pt idx="47">
                  <c:v>653</c:v>
                </c:pt>
                <c:pt idx="48">
                  <c:v>1063</c:v>
                </c:pt>
                <c:pt idx="49">
                  <c:v>42</c:v>
                </c:pt>
                <c:pt idx="50">
                  <c:v>6</c:v>
                </c:pt>
                <c:pt idx="51">
                  <c:v>140</c:v>
                </c:pt>
                <c:pt idx="52">
                  <c:v>18</c:v>
                </c:pt>
                <c:pt idx="53">
                  <c:v>106</c:v>
                </c:pt>
                <c:pt idx="54">
                  <c:v>561</c:v>
                </c:pt>
                <c:pt idx="55">
                  <c:v>565</c:v>
                </c:pt>
                <c:pt idx="56">
                  <c:v>14</c:v>
                </c:pt>
                <c:pt idx="57">
                  <c:v>133</c:v>
                </c:pt>
                <c:pt idx="58">
                  <c:v>215</c:v>
                </c:pt>
                <c:pt idx="59">
                  <c:v>98</c:v>
                </c:pt>
                <c:pt idx="60">
                  <c:v>597</c:v>
                </c:pt>
                <c:pt idx="61">
                  <c:v>19</c:v>
                </c:pt>
                <c:pt idx="62">
                  <c:v>55</c:v>
                </c:pt>
                <c:pt idx="63">
                  <c:v>157</c:v>
                </c:pt>
                <c:pt idx="64">
                  <c:v>670</c:v>
                </c:pt>
                <c:pt idx="65">
                  <c:v>158</c:v>
                </c:pt>
                <c:pt idx="66">
                  <c:v>81</c:v>
                </c:pt>
                <c:pt idx="67">
                  <c:v>39</c:v>
                </c:pt>
                <c:pt idx="68">
                  <c:v>233</c:v>
                </c:pt>
                <c:pt idx="69">
                  <c:v>423</c:v>
                </c:pt>
                <c:pt idx="70">
                  <c:v>65</c:v>
                </c:pt>
                <c:pt idx="71">
                  <c:v>5</c:v>
                </c:pt>
                <c:pt idx="72">
                  <c:v>64</c:v>
                </c:pt>
                <c:pt idx="73">
                  <c:v>72</c:v>
                </c:pt>
                <c:pt idx="74">
                  <c:v>6</c:v>
                </c:pt>
                <c:pt idx="75">
                  <c:v>11</c:v>
                </c:pt>
                <c:pt idx="76">
                  <c:v>767</c:v>
                </c:pt>
                <c:pt idx="77">
                  <c:v>42</c:v>
                </c:pt>
                <c:pt idx="78">
                  <c:v>259</c:v>
                </c:pt>
                <c:pt idx="79">
                  <c:v>7</c:v>
                </c:pt>
                <c:pt idx="80">
                  <c:v>13</c:v>
                </c:pt>
                <c:pt idx="81">
                  <c:v>101</c:v>
                </c:pt>
                <c:pt idx="82">
                  <c:v>126</c:v>
                </c:pt>
                <c:pt idx="83">
                  <c:v>9</c:v>
                </c:pt>
                <c:pt idx="84">
                  <c:v>30</c:v>
                </c:pt>
                <c:pt idx="85">
                  <c:v>15</c:v>
                </c:pt>
                <c:pt idx="86">
                  <c:v>382</c:v>
                </c:pt>
                <c:pt idx="87">
                  <c:v>140</c:v>
                </c:pt>
                <c:pt idx="88">
                  <c:v>72</c:v>
                </c:pt>
                <c:pt idx="89">
                  <c:v>208</c:v>
                </c:pt>
                <c:pt idx="90">
                  <c:v>33</c:v>
                </c:pt>
                <c:pt idx="91">
                  <c:v>4</c:v>
                </c:pt>
                <c:pt idx="92">
                  <c:v>5</c:v>
                </c:pt>
                <c:pt idx="93">
                  <c:v>234</c:v>
                </c:pt>
                <c:pt idx="94">
                  <c:v>242</c:v>
                </c:pt>
                <c:pt idx="95">
                  <c:v>179</c:v>
                </c:pt>
                <c:pt idx="96">
                  <c:v>6</c:v>
                </c:pt>
                <c:pt idx="97">
                  <c:v>118</c:v>
                </c:pt>
                <c:pt idx="98">
                  <c:v>149</c:v>
                </c:pt>
                <c:pt idx="99">
                  <c:v>59</c:v>
                </c:pt>
                <c:pt idx="100">
                  <c:v>70</c:v>
                </c:pt>
                <c:pt idx="101">
                  <c:v>4</c:v>
                </c:pt>
                <c:pt idx="102">
                  <c:v>4</c:v>
                </c:pt>
                <c:pt idx="103">
                  <c:v>1000</c:v>
                </c:pt>
                <c:pt idx="104">
                  <c:v>25</c:v>
                </c:pt>
                <c:pt idx="105">
                  <c:v>97</c:v>
                </c:pt>
                <c:pt idx="106">
                  <c:v>4</c:v>
                </c:pt>
                <c:pt idx="107">
                  <c:v>102</c:v>
                </c:pt>
                <c:pt idx="108">
                  <c:v>235</c:v>
                </c:pt>
                <c:pt idx="109">
                  <c:v>15</c:v>
                </c:pt>
                <c:pt idx="110">
                  <c:v>355</c:v>
                </c:pt>
                <c:pt idx="111">
                  <c:v>175</c:v>
                </c:pt>
                <c:pt idx="112">
                  <c:v>6</c:v>
                </c:pt>
                <c:pt idx="113">
                  <c:v>53</c:v>
                </c:pt>
                <c:pt idx="114">
                  <c:v>13</c:v>
                </c:pt>
                <c:pt idx="115">
                  <c:v>52</c:v>
                </c:pt>
                <c:pt idx="116">
                  <c:v>6</c:v>
                </c:pt>
                <c:pt idx="117">
                  <c:v>59</c:v>
                </c:pt>
                <c:pt idx="118">
                  <c:v>36</c:v>
                </c:pt>
                <c:pt idx="119">
                  <c:v>79</c:v>
                </c:pt>
                <c:pt idx="120">
                  <c:v>65</c:v>
                </c:pt>
                <c:pt idx="121">
                  <c:v>45</c:v>
                </c:pt>
                <c:pt idx="122">
                  <c:v>181</c:v>
                </c:pt>
                <c:pt idx="123">
                  <c:v>13</c:v>
                </c:pt>
                <c:pt idx="124">
                  <c:v>38</c:v>
                </c:pt>
                <c:pt idx="125">
                  <c:v>79</c:v>
                </c:pt>
                <c:pt idx="126">
                  <c:v>56</c:v>
                </c:pt>
                <c:pt idx="127">
                  <c:v>23</c:v>
                </c:pt>
                <c:pt idx="128">
                  <c:v>81</c:v>
                </c:pt>
                <c:pt idx="129">
                  <c:v>79</c:v>
                </c:pt>
                <c:pt idx="130">
                  <c:v>86</c:v>
                </c:pt>
                <c:pt idx="131">
                  <c:v>10</c:v>
                </c:pt>
                <c:pt idx="132">
                  <c:v>79</c:v>
                </c:pt>
                <c:pt idx="133">
                  <c:v>35</c:v>
                </c:pt>
                <c:pt idx="134">
                  <c:v>56</c:v>
                </c:pt>
                <c:pt idx="135">
                  <c:v>14</c:v>
                </c:pt>
                <c:pt idx="136">
                  <c:v>6</c:v>
                </c:pt>
                <c:pt idx="137">
                  <c:v>12</c:v>
                </c:pt>
                <c:pt idx="138">
                  <c:v>5</c:v>
                </c:pt>
                <c:pt idx="139">
                  <c:v>34</c:v>
                </c:pt>
                <c:pt idx="140">
                  <c:v>6</c:v>
                </c:pt>
                <c:pt idx="141">
                  <c:v>5</c:v>
                </c:pt>
                <c:pt idx="142">
                  <c:v>35</c:v>
                </c:pt>
                <c:pt idx="143">
                  <c:v>5</c:v>
                </c:pt>
                <c:pt idx="144">
                  <c:v>5</c:v>
                </c:pt>
                <c:pt idx="145">
                  <c:v>12</c:v>
                </c:pt>
                <c:pt idx="146">
                  <c:v>6</c:v>
                </c:pt>
                <c:pt idx="147">
                  <c:v>12</c:v>
                </c:pt>
                <c:pt idx="148">
                  <c:v>5</c:v>
                </c:pt>
                <c:pt idx="149">
                  <c:v>19</c:v>
                </c:pt>
                <c:pt idx="150">
                  <c:v>5</c:v>
                </c:pt>
                <c:pt idx="151">
                  <c:v>12</c:v>
                </c:pt>
                <c:pt idx="152">
                  <c:v>5</c:v>
                </c:pt>
                <c:pt idx="153">
                  <c:v>20</c:v>
                </c:pt>
                <c:pt idx="154">
                  <c:v>123</c:v>
                </c:pt>
                <c:pt idx="155">
                  <c:v>13</c:v>
                </c:pt>
                <c:pt idx="156">
                  <c:v>12</c:v>
                </c:pt>
                <c:pt idx="157">
                  <c:v>11</c:v>
                </c:pt>
                <c:pt idx="158">
                  <c:v>4</c:v>
                </c:pt>
                <c:pt idx="159">
                  <c:v>8</c:v>
                </c:pt>
                <c:pt idx="160">
                  <c:v>34</c:v>
                </c:pt>
                <c:pt idx="161">
                  <c:v>106</c:v>
                </c:pt>
                <c:pt idx="162">
                  <c:v>89</c:v>
                </c:pt>
                <c:pt idx="163">
                  <c:v>65</c:v>
                </c:pt>
                <c:pt idx="164">
                  <c:v>84</c:v>
                </c:pt>
                <c:pt idx="165">
                  <c:v>117</c:v>
                </c:pt>
                <c:pt idx="166">
                  <c:v>418</c:v>
                </c:pt>
                <c:pt idx="167">
                  <c:v>262</c:v>
                </c:pt>
                <c:pt idx="168">
                  <c:v>780</c:v>
                </c:pt>
                <c:pt idx="169">
                  <c:v>135</c:v>
                </c:pt>
                <c:pt idx="170">
                  <c:v>103</c:v>
                </c:pt>
                <c:pt idx="171">
                  <c:v>155</c:v>
                </c:pt>
                <c:pt idx="172">
                  <c:v>52</c:v>
                </c:pt>
                <c:pt idx="173">
                  <c:v>57</c:v>
                </c:pt>
                <c:pt idx="174">
                  <c:v>115</c:v>
                </c:pt>
                <c:pt idx="175">
                  <c:v>7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77</c:v>
                </c:pt>
                <c:pt idx="180">
                  <c:v>6</c:v>
                </c:pt>
                <c:pt idx="181">
                  <c:v>106</c:v>
                </c:pt>
                <c:pt idx="182">
                  <c:v>54</c:v>
                </c:pt>
                <c:pt idx="183">
                  <c:v>64</c:v>
                </c:pt>
                <c:pt idx="184">
                  <c:v>128</c:v>
                </c:pt>
                <c:pt idx="185">
                  <c:v>124</c:v>
                </c:pt>
                <c:pt idx="186">
                  <c:v>28</c:v>
                </c:pt>
                <c:pt idx="187">
                  <c:v>76</c:v>
                </c:pt>
                <c:pt idx="188">
                  <c:v>112</c:v>
                </c:pt>
                <c:pt idx="189">
                  <c:v>11</c:v>
                </c:pt>
                <c:pt idx="190">
                  <c:v>5</c:v>
                </c:pt>
                <c:pt idx="191">
                  <c:v>47</c:v>
                </c:pt>
                <c:pt idx="192">
                  <c:v>57</c:v>
                </c:pt>
                <c:pt idx="193">
                  <c:v>43</c:v>
                </c:pt>
                <c:pt idx="194">
                  <c:v>57</c:v>
                </c:pt>
                <c:pt idx="195">
                  <c:v>47</c:v>
                </c:pt>
                <c:pt idx="196">
                  <c:v>85</c:v>
                </c:pt>
                <c:pt idx="197">
                  <c:v>37</c:v>
                </c:pt>
                <c:pt idx="198">
                  <c:v>58</c:v>
                </c:pt>
                <c:pt idx="199">
                  <c:v>58</c:v>
                </c:pt>
                <c:pt idx="200">
                  <c:v>59</c:v>
                </c:pt>
                <c:pt idx="201">
                  <c:v>109</c:v>
                </c:pt>
                <c:pt idx="202">
                  <c:v>70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334</c:v>
                </c:pt>
                <c:pt idx="208">
                  <c:v>468</c:v>
                </c:pt>
                <c:pt idx="209">
                  <c:v>69</c:v>
                </c:pt>
                <c:pt idx="210">
                  <c:v>56</c:v>
                </c:pt>
                <c:pt idx="211">
                  <c:v>5</c:v>
                </c:pt>
                <c:pt idx="212">
                  <c:v>5</c:v>
                </c:pt>
                <c:pt idx="213">
                  <c:v>347</c:v>
                </c:pt>
                <c:pt idx="214">
                  <c:v>392</c:v>
                </c:pt>
                <c:pt idx="215">
                  <c:v>64</c:v>
                </c:pt>
                <c:pt idx="216">
                  <c:v>69</c:v>
                </c:pt>
                <c:pt idx="217">
                  <c:v>2415</c:v>
                </c:pt>
                <c:pt idx="218">
                  <c:v>6</c:v>
                </c:pt>
                <c:pt idx="219">
                  <c:v>358</c:v>
                </c:pt>
                <c:pt idx="220">
                  <c:v>396</c:v>
                </c:pt>
                <c:pt idx="221">
                  <c:v>307</c:v>
                </c:pt>
                <c:pt idx="222">
                  <c:v>371</c:v>
                </c:pt>
                <c:pt idx="223">
                  <c:v>78</c:v>
                </c:pt>
                <c:pt idx="224">
                  <c:v>438</c:v>
                </c:pt>
                <c:pt idx="225">
                  <c:v>41</c:v>
                </c:pt>
                <c:pt idx="226">
                  <c:v>87</c:v>
                </c:pt>
                <c:pt idx="227">
                  <c:v>178</c:v>
                </c:pt>
                <c:pt idx="228">
                  <c:v>61</c:v>
                </c:pt>
                <c:pt idx="229">
                  <c:v>59</c:v>
                </c:pt>
                <c:pt idx="230">
                  <c:v>51</c:v>
                </c:pt>
                <c:pt idx="231">
                  <c:v>70</c:v>
                </c:pt>
                <c:pt idx="232">
                  <c:v>49</c:v>
                </c:pt>
                <c:pt idx="233">
                  <c:v>45</c:v>
                </c:pt>
                <c:pt idx="234">
                  <c:v>298</c:v>
                </c:pt>
                <c:pt idx="235">
                  <c:v>109</c:v>
                </c:pt>
                <c:pt idx="236">
                  <c:v>5</c:v>
                </c:pt>
                <c:pt idx="237">
                  <c:v>276</c:v>
                </c:pt>
                <c:pt idx="238">
                  <c:v>74</c:v>
                </c:pt>
                <c:pt idx="239">
                  <c:v>228</c:v>
                </c:pt>
                <c:pt idx="240">
                  <c:v>100</c:v>
                </c:pt>
                <c:pt idx="241">
                  <c:v>131</c:v>
                </c:pt>
                <c:pt idx="242">
                  <c:v>7</c:v>
                </c:pt>
                <c:pt idx="243">
                  <c:v>14</c:v>
                </c:pt>
                <c:pt idx="244">
                  <c:v>12</c:v>
                </c:pt>
                <c:pt idx="245">
                  <c:v>5</c:v>
                </c:pt>
                <c:pt idx="246">
                  <c:v>373</c:v>
                </c:pt>
                <c:pt idx="247">
                  <c:v>279</c:v>
                </c:pt>
                <c:pt idx="248">
                  <c:v>5</c:v>
                </c:pt>
                <c:pt idx="249">
                  <c:v>159</c:v>
                </c:pt>
                <c:pt idx="250">
                  <c:v>327</c:v>
                </c:pt>
                <c:pt idx="251">
                  <c:v>149</c:v>
                </c:pt>
                <c:pt idx="252">
                  <c:v>181</c:v>
                </c:pt>
                <c:pt idx="253">
                  <c:v>417</c:v>
                </c:pt>
                <c:pt idx="254">
                  <c:v>6</c:v>
                </c:pt>
                <c:pt idx="255">
                  <c:v>12</c:v>
                </c:pt>
                <c:pt idx="256">
                  <c:v>507</c:v>
                </c:pt>
                <c:pt idx="257">
                  <c:v>455</c:v>
                </c:pt>
                <c:pt idx="258">
                  <c:v>82</c:v>
                </c:pt>
                <c:pt idx="259">
                  <c:v>268</c:v>
                </c:pt>
                <c:pt idx="260">
                  <c:v>89</c:v>
                </c:pt>
                <c:pt idx="261">
                  <c:v>643</c:v>
                </c:pt>
                <c:pt idx="262">
                  <c:v>11</c:v>
                </c:pt>
                <c:pt idx="263">
                  <c:v>24</c:v>
                </c:pt>
                <c:pt idx="264">
                  <c:v>355</c:v>
                </c:pt>
                <c:pt idx="265">
                  <c:v>106</c:v>
                </c:pt>
                <c:pt idx="266">
                  <c:v>6</c:v>
                </c:pt>
                <c:pt idx="267">
                  <c:v>114</c:v>
                </c:pt>
                <c:pt idx="268">
                  <c:v>1547</c:v>
                </c:pt>
                <c:pt idx="269">
                  <c:v>81</c:v>
                </c:pt>
                <c:pt idx="270">
                  <c:v>656</c:v>
                </c:pt>
                <c:pt idx="271">
                  <c:v>11</c:v>
                </c:pt>
                <c:pt idx="272">
                  <c:v>117</c:v>
                </c:pt>
                <c:pt idx="273">
                  <c:v>14</c:v>
                </c:pt>
                <c:pt idx="274">
                  <c:v>11</c:v>
                </c:pt>
                <c:pt idx="275">
                  <c:v>988</c:v>
                </c:pt>
                <c:pt idx="276">
                  <c:v>331</c:v>
                </c:pt>
                <c:pt idx="277">
                  <c:v>5</c:v>
                </c:pt>
                <c:pt idx="278">
                  <c:v>677</c:v>
                </c:pt>
                <c:pt idx="279">
                  <c:v>764</c:v>
                </c:pt>
                <c:pt idx="280">
                  <c:v>6</c:v>
                </c:pt>
                <c:pt idx="281">
                  <c:v>43</c:v>
                </c:pt>
                <c:pt idx="282">
                  <c:v>237</c:v>
                </c:pt>
                <c:pt idx="283">
                  <c:v>6</c:v>
                </c:pt>
                <c:pt idx="284">
                  <c:v>2732</c:v>
                </c:pt>
                <c:pt idx="285">
                  <c:v>18</c:v>
                </c:pt>
                <c:pt idx="286">
                  <c:v>1235</c:v>
                </c:pt>
                <c:pt idx="287">
                  <c:v>6</c:v>
                </c:pt>
                <c:pt idx="288">
                  <c:v>925</c:v>
                </c:pt>
                <c:pt idx="289">
                  <c:v>192</c:v>
                </c:pt>
                <c:pt idx="290">
                  <c:v>11</c:v>
                </c:pt>
                <c:pt idx="291">
                  <c:v>683</c:v>
                </c:pt>
                <c:pt idx="292">
                  <c:v>596</c:v>
                </c:pt>
                <c:pt idx="293">
                  <c:v>170</c:v>
                </c:pt>
                <c:pt idx="294">
                  <c:v>64</c:v>
                </c:pt>
                <c:pt idx="295">
                  <c:v>174</c:v>
                </c:pt>
                <c:pt idx="296">
                  <c:v>7</c:v>
                </c:pt>
                <c:pt idx="297">
                  <c:v>351</c:v>
                </c:pt>
                <c:pt idx="298">
                  <c:v>215</c:v>
                </c:pt>
                <c:pt idx="299">
                  <c:v>218</c:v>
                </c:pt>
                <c:pt idx="300">
                  <c:v>117</c:v>
                </c:pt>
                <c:pt idx="301">
                  <c:v>291</c:v>
                </c:pt>
                <c:pt idx="302">
                  <c:v>222</c:v>
                </c:pt>
                <c:pt idx="303">
                  <c:v>379</c:v>
                </c:pt>
                <c:pt idx="304">
                  <c:v>268</c:v>
                </c:pt>
                <c:pt idx="305">
                  <c:v>269</c:v>
                </c:pt>
                <c:pt idx="306">
                  <c:v>284</c:v>
                </c:pt>
                <c:pt idx="307">
                  <c:v>216</c:v>
                </c:pt>
                <c:pt idx="308">
                  <c:v>106</c:v>
                </c:pt>
                <c:pt idx="309">
                  <c:v>342</c:v>
                </c:pt>
                <c:pt idx="310">
                  <c:v>269</c:v>
                </c:pt>
                <c:pt idx="311">
                  <c:v>261</c:v>
                </c:pt>
                <c:pt idx="312">
                  <c:v>489</c:v>
                </c:pt>
                <c:pt idx="313">
                  <c:v>82</c:v>
                </c:pt>
                <c:pt idx="314">
                  <c:v>179</c:v>
                </c:pt>
                <c:pt idx="315">
                  <c:v>6</c:v>
                </c:pt>
                <c:pt idx="316">
                  <c:v>70</c:v>
                </c:pt>
                <c:pt idx="317">
                  <c:v>49</c:v>
                </c:pt>
                <c:pt idx="318">
                  <c:v>49</c:v>
                </c:pt>
                <c:pt idx="319">
                  <c:v>8</c:v>
                </c:pt>
                <c:pt idx="320">
                  <c:v>35</c:v>
                </c:pt>
                <c:pt idx="321">
                  <c:v>31</c:v>
                </c:pt>
                <c:pt idx="322">
                  <c:v>153</c:v>
                </c:pt>
                <c:pt idx="323">
                  <c:v>204</c:v>
                </c:pt>
                <c:pt idx="324">
                  <c:v>974</c:v>
                </c:pt>
                <c:pt idx="325">
                  <c:v>429</c:v>
                </c:pt>
                <c:pt idx="326">
                  <c:v>200</c:v>
                </c:pt>
                <c:pt idx="327">
                  <c:v>249</c:v>
                </c:pt>
                <c:pt idx="328">
                  <c:v>6</c:v>
                </c:pt>
                <c:pt idx="329">
                  <c:v>168</c:v>
                </c:pt>
                <c:pt idx="330">
                  <c:v>173</c:v>
                </c:pt>
                <c:pt idx="331">
                  <c:v>214</c:v>
                </c:pt>
                <c:pt idx="332">
                  <c:v>243</c:v>
                </c:pt>
                <c:pt idx="333">
                  <c:v>170</c:v>
                </c:pt>
                <c:pt idx="334">
                  <c:v>335</c:v>
                </c:pt>
                <c:pt idx="335">
                  <c:v>325</c:v>
                </c:pt>
                <c:pt idx="336">
                  <c:v>224</c:v>
                </c:pt>
                <c:pt idx="337">
                  <c:v>106</c:v>
                </c:pt>
                <c:pt idx="338">
                  <c:v>466</c:v>
                </c:pt>
                <c:pt idx="339">
                  <c:v>207</c:v>
                </c:pt>
                <c:pt idx="340">
                  <c:v>84</c:v>
                </c:pt>
                <c:pt idx="341">
                  <c:v>387</c:v>
                </c:pt>
                <c:pt idx="342">
                  <c:v>234</c:v>
                </c:pt>
                <c:pt idx="343">
                  <c:v>11</c:v>
                </c:pt>
                <c:pt idx="344">
                  <c:v>623</c:v>
                </c:pt>
                <c:pt idx="345">
                  <c:v>258</c:v>
                </c:pt>
                <c:pt idx="346">
                  <c:v>434</c:v>
                </c:pt>
                <c:pt idx="347">
                  <c:v>192</c:v>
                </c:pt>
                <c:pt idx="348">
                  <c:v>708</c:v>
                </c:pt>
                <c:pt idx="349">
                  <c:v>169</c:v>
                </c:pt>
                <c:pt idx="350">
                  <c:v>213</c:v>
                </c:pt>
                <c:pt idx="351">
                  <c:v>169</c:v>
                </c:pt>
                <c:pt idx="352">
                  <c:v>37</c:v>
                </c:pt>
                <c:pt idx="353">
                  <c:v>521</c:v>
                </c:pt>
                <c:pt idx="354">
                  <c:v>272</c:v>
                </c:pt>
                <c:pt idx="355">
                  <c:v>258</c:v>
                </c:pt>
                <c:pt idx="356">
                  <c:v>293</c:v>
                </c:pt>
                <c:pt idx="357">
                  <c:v>167</c:v>
                </c:pt>
                <c:pt idx="358">
                  <c:v>142</c:v>
                </c:pt>
                <c:pt idx="359">
                  <c:v>947</c:v>
                </c:pt>
                <c:pt idx="360">
                  <c:v>32</c:v>
                </c:pt>
                <c:pt idx="361">
                  <c:v>35</c:v>
                </c:pt>
                <c:pt idx="362">
                  <c:v>25</c:v>
                </c:pt>
                <c:pt idx="363">
                  <c:v>28</c:v>
                </c:pt>
                <c:pt idx="364">
                  <c:v>7</c:v>
                </c:pt>
                <c:pt idx="365">
                  <c:v>1575</c:v>
                </c:pt>
                <c:pt idx="366">
                  <c:v>398</c:v>
                </c:pt>
                <c:pt idx="367">
                  <c:v>156</c:v>
                </c:pt>
                <c:pt idx="368">
                  <c:v>6</c:v>
                </c:pt>
                <c:pt idx="369">
                  <c:v>5</c:v>
                </c:pt>
                <c:pt idx="370">
                  <c:v>18</c:v>
                </c:pt>
                <c:pt idx="371">
                  <c:v>221</c:v>
                </c:pt>
                <c:pt idx="372">
                  <c:v>143</c:v>
                </c:pt>
                <c:pt idx="373">
                  <c:v>10</c:v>
                </c:pt>
                <c:pt idx="374">
                  <c:v>82</c:v>
                </c:pt>
                <c:pt idx="375">
                  <c:v>97</c:v>
                </c:pt>
                <c:pt idx="376">
                  <c:v>365</c:v>
                </c:pt>
                <c:pt idx="377">
                  <c:v>110</c:v>
                </c:pt>
                <c:pt idx="378">
                  <c:v>155</c:v>
                </c:pt>
                <c:pt idx="379">
                  <c:v>226</c:v>
                </c:pt>
                <c:pt idx="380">
                  <c:v>113</c:v>
                </c:pt>
                <c:pt idx="381">
                  <c:v>29</c:v>
                </c:pt>
                <c:pt idx="382">
                  <c:v>147</c:v>
                </c:pt>
                <c:pt idx="383">
                  <c:v>43</c:v>
                </c:pt>
                <c:pt idx="384">
                  <c:v>30</c:v>
                </c:pt>
                <c:pt idx="385">
                  <c:v>72</c:v>
                </c:pt>
                <c:pt idx="386">
                  <c:v>65</c:v>
                </c:pt>
                <c:pt idx="387">
                  <c:v>30</c:v>
                </c:pt>
                <c:pt idx="388">
                  <c:v>7</c:v>
                </c:pt>
                <c:pt idx="389">
                  <c:v>7</c:v>
                </c:pt>
                <c:pt idx="390">
                  <c:v>5</c:v>
                </c:pt>
                <c:pt idx="391">
                  <c:v>116</c:v>
                </c:pt>
                <c:pt idx="392">
                  <c:v>24</c:v>
                </c:pt>
                <c:pt idx="393">
                  <c:v>85</c:v>
                </c:pt>
                <c:pt idx="394">
                  <c:v>43</c:v>
                </c:pt>
                <c:pt idx="395">
                  <c:v>46</c:v>
                </c:pt>
                <c:pt idx="396">
                  <c:v>32</c:v>
                </c:pt>
                <c:pt idx="397">
                  <c:v>98</c:v>
                </c:pt>
                <c:pt idx="398">
                  <c:v>229</c:v>
                </c:pt>
                <c:pt idx="399">
                  <c:v>18</c:v>
                </c:pt>
                <c:pt idx="400">
                  <c:v>51</c:v>
                </c:pt>
                <c:pt idx="401">
                  <c:v>137</c:v>
                </c:pt>
                <c:pt idx="402">
                  <c:v>12</c:v>
                </c:pt>
                <c:pt idx="403">
                  <c:v>204</c:v>
                </c:pt>
                <c:pt idx="404">
                  <c:v>126</c:v>
                </c:pt>
                <c:pt idx="405">
                  <c:v>108</c:v>
                </c:pt>
                <c:pt idx="406">
                  <c:v>4</c:v>
                </c:pt>
                <c:pt idx="407">
                  <c:v>393</c:v>
                </c:pt>
                <c:pt idx="408">
                  <c:v>97</c:v>
                </c:pt>
                <c:pt idx="409">
                  <c:v>37</c:v>
                </c:pt>
                <c:pt idx="410">
                  <c:v>176</c:v>
                </c:pt>
                <c:pt idx="411">
                  <c:v>119</c:v>
                </c:pt>
                <c:pt idx="412">
                  <c:v>469</c:v>
                </c:pt>
                <c:pt idx="413">
                  <c:v>180</c:v>
                </c:pt>
                <c:pt idx="414">
                  <c:v>6</c:v>
                </c:pt>
                <c:pt idx="415">
                  <c:v>88</c:v>
                </c:pt>
                <c:pt idx="416">
                  <c:v>95</c:v>
                </c:pt>
                <c:pt idx="417">
                  <c:v>89</c:v>
                </c:pt>
                <c:pt idx="418">
                  <c:v>5</c:v>
                </c:pt>
                <c:pt idx="419">
                  <c:v>86</c:v>
                </c:pt>
                <c:pt idx="420">
                  <c:v>70</c:v>
                </c:pt>
                <c:pt idx="421">
                  <c:v>58</c:v>
                </c:pt>
                <c:pt idx="422">
                  <c:v>9</c:v>
                </c:pt>
                <c:pt idx="423">
                  <c:v>90</c:v>
                </c:pt>
                <c:pt idx="424">
                  <c:v>5</c:v>
                </c:pt>
                <c:pt idx="425">
                  <c:v>5</c:v>
                </c:pt>
                <c:pt idx="426">
                  <c:v>182</c:v>
                </c:pt>
                <c:pt idx="427">
                  <c:v>158</c:v>
                </c:pt>
                <c:pt idx="428">
                  <c:v>48</c:v>
                </c:pt>
                <c:pt idx="429">
                  <c:v>112</c:v>
                </c:pt>
                <c:pt idx="430">
                  <c:v>6</c:v>
                </c:pt>
                <c:pt idx="431">
                  <c:v>7</c:v>
                </c:pt>
                <c:pt idx="432">
                  <c:v>144</c:v>
                </c:pt>
                <c:pt idx="433">
                  <c:v>7</c:v>
                </c:pt>
                <c:pt idx="434">
                  <c:v>79</c:v>
                </c:pt>
                <c:pt idx="435">
                  <c:v>25</c:v>
                </c:pt>
                <c:pt idx="436">
                  <c:v>6</c:v>
                </c:pt>
                <c:pt idx="437">
                  <c:v>7</c:v>
                </c:pt>
                <c:pt idx="438">
                  <c:v>155</c:v>
                </c:pt>
                <c:pt idx="439">
                  <c:v>146</c:v>
                </c:pt>
                <c:pt idx="440">
                  <c:v>380</c:v>
                </c:pt>
                <c:pt idx="441">
                  <c:v>8</c:v>
                </c:pt>
                <c:pt idx="442">
                  <c:v>152</c:v>
                </c:pt>
                <c:pt idx="443">
                  <c:v>56</c:v>
                </c:pt>
                <c:pt idx="444">
                  <c:v>209</c:v>
                </c:pt>
                <c:pt idx="445">
                  <c:v>126</c:v>
                </c:pt>
                <c:pt idx="446">
                  <c:v>56</c:v>
                </c:pt>
                <c:pt idx="447">
                  <c:v>203</c:v>
                </c:pt>
                <c:pt idx="448">
                  <c:v>255</c:v>
                </c:pt>
                <c:pt idx="449">
                  <c:v>6</c:v>
                </c:pt>
                <c:pt idx="450">
                  <c:v>6</c:v>
                </c:pt>
                <c:pt idx="451">
                  <c:v>181</c:v>
                </c:pt>
                <c:pt idx="452">
                  <c:v>14</c:v>
                </c:pt>
                <c:pt idx="453">
                  <c:v>93</c:v>
                </c:pt>
                <c:pt idx="454">
                  <c:v>66</c:v>
                </c:pt>
                <c:pt idx="455">
                  <c:v>56</c:v>
                </c:pt>
                <c:pt idx="456">
                  <c:v>4</c:v>
                </c:pt>
                <c:pt idx="457">
                  <c:v>42</c:v>
                </c:pt>
                <c:pt idx="458">
                  <c:v>50</c:v>
                </c:pt>
                <c:pt idx="459">
                  <c:v>38</c:v>
                </c:pt>
                <c:pt idx="460">
                  <c:v>42</c:v>
                </c:pt>
                <c:pt idx="461">
                  <c:v>15</c:v>
                </c:pt>
                <c:pt idx="462">
                  <c:v>283</c:v>
                </c:pt>
                <c:pt idx="463">
                  <c:v>98</c:v>
                </c:pt>
                <c:pt idx="464">
                  <c:v>79</c:v>
                </c:pt>
                <c:pt idx="465">
                  <c:v>316</c:v>
                </c:pt>
                <c:pt idx="466">
                  <c:v>203</c:v>
                </c:pt>
                <c:pt idx="467">
                  <c:v>70</c:v>
                </c:pt>
                <c:pt idx="468">
                  <c:v>28</c:v>
                </c:pt>
                <c:pt idx="469">
                  <c:v>5</c:v>
                </c:pt>
                <c:pt idx="470">
                  <c:v>11</c:v>
                </c:pt>
                <c:pt idx="471">
                  <c:v>5</c:v>
                </c:pt>
                <c:pt idx="472">
                  <c:v>1459</c:v>
                </c:pt>
                <c:pt idx="473">
                  <c:v>136</c:v>
                </c:pt>
                <c:pt idx="474">
                  <c:v>78</c:v>
                </c:pt>
                <c:pt idx="475">
                  <c:v>8</c:v>
                </c:pt>
                <c:pt idx="476">
                  <c:v>5</c:v>
                </c:pt>
                <c:pt idx="477">
                  <c:v>127</c:v>
                </c:pt>
                <c:pt idx="478">
                  <c:v>42</c:v>
                </c:pt>
                <c:pt idx="479">
                  <c:v>13</c:v>
                </c:pt>
                <c:pt idx="480">
                  <c:v>50</c:v>
                </c:pt>
                <c:pt idx="481">
                  <c:v>4</c:v>
                </c:pt>
                <c:pt idx="482">
                  <c:v>4</c:v>
                </c:pt>
                <c:pt idx="483">
                  <c:v>4</c:v>
                </c:pt>
                <c:pt idx="484">
                  <c:v>5</c:v>
                </c:pt>
                <c:pt idx="485">
                  <c:v>79</c:v>
                </c:pt>
                <c:pt idx="486">
                  <c:v>9</c:v>
                </c:pt>
                <c:pt idx="487">
                  <c:v>5</c:v>
                </c:pt>
                <c:pt idx="488">
                  <c:v>11</c:v>
                </c:pt>
                <c:pt idx="489">
                  <c:v>8</c:v>
                </c:pt>
                <c:pt idx="490">
                  <c:v>4</c:v>
                </c:pt>
                <c:pt idx="491">
                  <c:v>109</c:v>
                </c:pt>
                <c:pt idx="492">
                  <c:v>96</c:v>
                </c:pt>
                <c:pt idx="493">
                  <c:v>4</c:v>
                </c:pt>
                <c:pt idx="494">
                  <c:v>72</c:v>
                </c:pt>
                <c:pt idx="495">
                  <c:v>4</c:v>
                </c:pt>
                <c:pt idx="496">
                  <c:v>85</c:v>
                </c:pt>
                <c:pt idx="497">
                  <c:v>6</c:v>
                </c:pt>
                <c:pt idx="498">
                  <c:v>156</c:v>
                </c:pt>
                <c:pt idx="499">
                  <c:v>102</c:v>
                </c:pt>
                <c:pt idx="500">
                  <c:v>56</c:v>
                </c:pt>
                <c:pt idx="501">
                  <c:v>149</c:v>
                </c:pt>
                <c:pt idx="502">
                  <c:v>244</c:v>
                </c:pt>
                <c:pt idx="503">
                  <c:v>4</c:v>
                </c:pt>
                <c:pt idx="504">
                  <c:v>84</c:v>
                </c:pt>
                <c:pt idx="505">
                  <c:v>5</c:v>
                </c:pt>
                <c:pt idx="506">
                  <c:v>8</c:v>
                </c:pt>
                <c:pt idx="507">
                  <c:v>12</c:v>
                </c:pt>
                <c:pt idx="508">
                  <c:v>72</c:v>
                </c:pt>
                <c:pt idx="509">
                  <c:v>49</c:v>
                </c:pt>
                <c:pt idx="510">
                  <c:v>162</c:v>
                </c:pt>
                <c:pt idx="511">
                  <c:v>196</c:v>
                </c:pt>
                <c:pt idx="512">
                  <c:v>6</c:v>
                </c:pt>
                <c:pt idx="513">
                  <c:v>6</c:v>
                </c:pt>
                <c:pt idx="514">
                  <c:v>12</c:v>
                </c:pt>
                <c:pt idx="515">
                  <c:v>12</c:v>
                </c:pt>
                <c:pt idx="516">
                  <c:v>12</c:v>
                </c:pt>
                <c:pt idx="517">
                  <c:v>12</c:v>
                </c:pt>
                <c:pt idx="518">
                  <c:v>12</c:v>
                </c:pt>
                <c:pt idx="519">
                  <c:v>12</c:v>
                </c:pt>
                <c:pt idx="520">
                  <c:v>110</c:v>
                </c:pt>
                <c:pt idx="521">
                  <c:v>24</c:v>
                </c:pt>
                <c:pt idx="522">
                  <c:v>125</c:v>
                </c:pt>
                <c:pt idx="523">
                  <c:v>17</c:v>
                </c:pt>
                <c:pt idx="524">
                  <c:v>412</c:v>
                </c:pt>
                <c:pt idx="525">
                  <c:v>239</c:v>
                </c:pt>
                <c:pt idx="526">
                  <c:v>196</c:v>
                </c:pt>
                <c:pt idx="527">
                  <c:v>363</c:v>
                </c:pt>
                <c:pt idx="528">
                  <c:v>62</c:v>
                </c:pt>
                <c:pt idx="529">
                  <c:v>213</c:v>
                </c:pt>
                <c:pt idx="530">
                  <c:v>6</c:v>
                </c:pt>
                <c:pt idx="531">
                  <c:v>65</c:v>
                </c:pt>
                <c:pt idx="532">
                  <c:v>8</c:v>
                </c:pt>
                <c:pt idx="533">
                  <c:v>223</c:v>
                </c:pt>
                <c:pt idx="534">
                  <c:v>130</c:v>
                </c:pt>
                <c:pt idx="535">
                  <c:v>188</c:v>
                </c:pt>
                <c:pt idx="536">
                  <c:v>9</c:v>
                </c:pt>
                <c:pt idx="537">
                  <c:v>234</c:v>
                </c:pt>
                <c:pt idx="538">
                  <c:v>44</c:v>
                </c:pt>
                <c:pt idx="539">
                  <c:v>187</c:v>
                </c:pt>
                <c:pt idx="540">
                  <c:v>403</c:v>
                </c:pt>
                <c:pt idx="541">
                  <c:v>111</c:v>
                </c:pt>
                <c:pt idx="542">
                  <c:v>197</c:v>
                </c:pt>
                <c:pt idx="543">
                  <c:v>194</c:v>
                </c:pt>
                <c:pt idx="544">
                  <c:v>207</c:v>
                </c:pt>
                <c:pt idx="545">
                  <c:v>239</c:v>
                </c:pt>
                <c:pt idx="546">
                  <c:v>165</c:v>
                </c:pt>
                <c:pt idx="547">
                  <c:v>59</c:v>
                </c:pt>
                <c:pt idx="548">
                  <c:v>51</c:v>
                </c:pt>
                <c:pt idx="549">
                  <c:v>38</c:v>
                </c:pt>
                <c:pt idx="550">
                  <c:v>187</c:v>
                </c:pt>
                <c:pt idx="551">
                  <c:v>198</c:v>
                </c:pt>
                <c:pt idx="552">
                  <c:v>110</c:v>
                </c:pt>
                <c:pt idx="553">
                  <c:v>196</c:v>
                </c:pt>
                <c:pt idx="554">
                  <c:v>91</c:v>
                </c:pt>
                <c:pt idx="555">
                  <c:v>6</c:v>
                </c:pt>
                <c:pt idx="556">
                  <c:v>6</c:v>
                </c:pt>
                <c:pt idx="557">
                  <c:v>6</c:v>
                </c:pt>
                <c:pt idx="558">
                  <c:v>66</c:v>
                </c:pt>
                <c:pt idx="559">
                  <c:v>221</c:v>
                </c:pt>
                <c:pt idx="560">
                  <c:v>207</c:v>
                </c:pt>
                <c:pt idx="561">
                  <c:v>606</c:v>
                </c:pt>
                <c:pt idx="562">
                  <c:v>323</c:v>
                </c:pt>
                <c:pt idx="563">
                  <c:v>66</c:v>
                </c:pt>
                <c:pt idx="564">
                  <c:v>127</c:v>
                </c:pt>
                <c:pt idx="565">
                  <c:v>230</c:v>
                </c:pt>
                <c:pt idx="566">
                  <c:v>302</c:v>
                </c:pt>
                <c:pt idx="567">
                  <c:v>141</c:v>
                </c:pt>
                <c:pt idx="568">
                  <c:v>6</c:v>
                </c:pt>
                <c:pt idx="569">
                  <c:v>4</c:v>
                </c:pt>
                <c:pt idx="570">
                  <c:v>5</c:v>
                </c:pt>
                <c:pt idx="571">
                  <c:v>6</c:v>
                </c:pt>
                <c:pt idx="572">
                  <c:v>48</c:v>
                </c:pt>
                <c:pt idx="573">
                  <c:v>56</c:v>
                </c:pt>
                <c:pt idx="574">
                  <c:v>74</c:v>
                </c:pt>
                <c:pt idx="575">
                  <c:v>9</c:v>
                </c:pt>
                <c:pt idx="576">
                  <c:v>62</c:v>
                </c:pt>
                <c:pt idx="577">
                  <c:v>53</c:v>
                </c:pt>
                <c:pt idx="578">
                  <c:v>45</c:v>
                </c:pt>
                <c:pt idx="579">
                  <c:v>39</c:v>
                </c:pt>
                <c:pt idx="580">
                  <c:v>60</c:v>
                </c:pt>
                <c:pt idx="581">
                  <c:v>41</c:v>
                </c:pt>
                <c:pt idx="582">
                  <c:v>28</c:v>
                </c:pt>
                <c:pt idx="583">
                  <c:v>13</c:v>
                </c:pt>
                <c:pt idx="584">
                  <c:v>143</c:v>
                </c:pt>
                <c:pt idx="585">
                  <c:v>155</c:v>
                </c:pt>
                <c:pt idx="586">
                  <c:v>197</c:v>
                </c:pt>
                <c:pt idx="587">
                  <c:v>128</c:v>
                </c:pt>
                <c:pt idx="588">
                  <c:v>293</c:v>
                </c:pt>
                <c:pt idx="589">
                  <c:v>186</c:v>
                </c:pt>
                <c:pt idx="590">
                  <c:v>148</c:v>
                </c:pt>
                <c:pt idx="591">
                  <c:v>158</c:v>
                </c:pt>
                <c:pt idx="592">
                  <c:v>11</c:v>
                </c:pt>
                <c:pt idx="593">
                  <c:v>180</c:v>
                </c:pt>
                <c:pt idx="594">
                  <c:v>10</c:v>
                </c:pt>
                <c:pt idx="595">
                  <c:v>75</c:v>
                </c:pt>
                <c:pt idx="596">
                  <c:v>108</c:v>
                </c:pt>
                <c:pt idx="597">
                  <c:v>35</c:v>
                </c:pt>
                <c:pt idx="598">
                  <c:v>77</c:v>
                </c:pt>
                <c:pt idx="599">
                  <c:v>13</c:v>
                </c:pt>
                <c:pt idx="600">
                  <c:v>4</c:v>
                </c:pt>
                <c:pt idx="601">
                  <c:v>48</c:v>
                </c:pt>
                <c:pt idx="602">
                  <c:v>36</c:v>
                </c:pt>
                <c:pt idx="603">
                  <c:v>44</c:v>
                </c:pt>
                <c:pt idx="604">
                  <c:v>115</c:v>
                </c:pt>
                <c:pt idx="605">
                  <c:v>6</c:v>
                </c:pt>
                <c:pt idx="606">
                  <c:v>5</c:v>
                </c:pt>
                <c:pt idx="607">
                  <c:v>34</c:v>
                </c:pt>
                <c:pt idx="608">
                  <c:v>40</c:v>
                </c:pt>
                <c:pt idx="609">
                  <c:v>140</c:v>
                </c:pt>
                <c:pt idx="610">
                  <c:v>6</c:v>
                </c:pt>
                <c:pt idx="611">
                  <c:v>125</c:v>
                </c:pt>
                <c:pt idx="612">
                  <c:v>71</c:v>
                </c:pt>
                <c:pt idx="613">
                  <c:v>93</c:v>
                </c:pt>
                <c:pt idx="614">
                  <c:v>11</c:v>
                </c:pt>
                <c:pt idx="615">
                  <c:v>73</c:v>
                </c:pt>
                <c:pt idx="616">
                  <c:v>6</c:v>
                </c:pt>
                <c:pt idx="617">
                  <c:v>58</c:v>
                </c:pt>
                <c:pt idx="618">
                  <c:v>56</c:v>
                </c:pt>
                <c:pt idx="619">
                  <c:v>49</c:v>
                </c:pt>
                <c:pt idx="620">
                  <c:v>132</c:v>
                </c:pt>
                <c:pt idx="621">
                  <c:v>70</c:v>
                </c:pt>
                <c:pt idx="622">
                  <c:v>6</c:v>
                </c:pt>
                <c:pt idx="623">
                  <c:v>425</c:v>
                </c:pt>
                <c:pt idx="624">
                  <c:v>371</c:v>
                </c:pt>
                <c:pt idx="625">
                  <c:v>5</c:v>
                </c:pt>
                <c:pt idx="626">
                  <c:v>41</c:v>
                </c:pt>
                <c:pt idx="627">
                  <c:v>37</c:v>
                </c:pt>
                <c:pt idx="628">
                  <c:v>39</c:v>
                </c:pt>
                <c:pt idx="629">
                  <c:v>122</c:v>
                </c:pt>
                <c:pt idx="630">
                  <c:v>6</c:v>
                </c:pt>
                <c:pt idx="631">
                  <c:v>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82D-4F0A-9617-40E06524C8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7000099"/>
        <c:axId val="558600397"/>
      </c:scatterChart>
      <c:valAx>
        <c:axId val="205700009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CA" b="0">
                    <a:solidFill>
                      <a:srgbClr val="000000"/>
                    </a:solidFill>
                    <a:latin typeface="+mn-lt"/>
                  </a:rPr>
                  <a:t>NoCom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58600397"/>
        <c:crosses val="autoZero"/>
        <c:crossBetween val="midCat"/>
      </c:valAx>
      <c:valAx>
        <c:axId val="558600397"/>
        <c:scaling>
          <c:logBase val="2"/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CA" b="0">
                    <a:solidFill>
                      <a:srgbClr val="000000"/>
                    </a:solidFill>
                    <a:latin typeface="+mn-lt"/>
                  </a:rPr>
                  <a:t>NCLOC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57000099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CA" b="0">
                <a:solidFill>
                  <a:srgbClr val="757575"/>
                </a:solidFill>
                <a:latin typeface="+mn-lt"/>
              </a:rPr>
              <a:t>DCP vs NoCom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data!$D$1</c:f>
              <c:strCache>
                <c:ptCount val="1"/>
                <c:pt idx="0">
                  <c:v>DCP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data!$B$2:$B$633</c:f>
              <c:numCache>
                <c:formatCode>General</c:formatCode>
                <c:ptCount val="632"/>
                <c:pt idx="0">
                  <c:v>4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12</c:v>
                </c:pt>
                <c:pt idx="5">
                  <c:v>12</c:v>
                </c:pt>
                <c:pt idx="6">
                  <c:v>8</c:v>
                </c:pt>
                <c:pt idx="7">
                  <c:v>11</c:v>
                </c:pt>
                <c:pt idx="8">
                  <c:v>4</c:v>
                </c:pt>
                <c:pt idx="9">
                  <c:v>5</c:v>
                </c:pt>
                <c:pt idx="10">
                  <c:v>10</c:v>
                </c:pt>
                <c:pt idx="11">
                  <c:v>10</c:v>
                </c:pt>
                <c:pt idx="12">
                  <c:v>12</c:v>
                </c:pt>
                <c:pt idx="13">
                  <c:v>12</c:v>
                </c:pt>
                <c:pt idx="14">
                  <c:v>13</c:v>
                </c:pt>
                <c:pt idx="15">
                  <c:v>12</c:v>
                </c:pt>
                <c:pt idx="16">
                  <c:v>13</c:v>
                </c:pt>
                <c:pt idx="17">
                  <c:v>11</c:v>
                </c:pt>
                <c:pt idx="18">
                  <c:v>14</c:v>
                </c:pt>
                <c:pt idx="19">
                  <c:v>15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3</c:v>
                </c:pt>
                <c:pt idx="26">
                  <c:v>2</c:v>
                </c:pt>
                <c:pt idx="27">
                  <c:v>5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3</c:v>
                </c:pt>
                <c:pt idx="34">
                  <c:v>15</c:v>
                </c:pt>
                <c:pt idx="35">
                  <c:v>8</c:v>
                </c:pt>
                <c:pt idx="36">
                  <c:v>5</c:v>
                </c:pt>
                <c:pt idx="37">
                  <c:v>9</c:v>
                </c:pt>
                <c:pt idx="38">
                  <c:v>7</c:v>
                </c:pt>
                <c:pt idx="39">
                  <c:v>7</c:v>
                </c:pt>
                <c:pt idx="40">
                  <c:v>6</c:v>
                </c:pt>
                <c:pt idx="41">
                  <c:v>16</c:v>
                </c:pt>
                <c:pt idx="42">
                  <c:v>8</c:v>
                </c:pt>
                <c:pt idx="43">
                  <c:v>8</c:v>
                </c:pt>
                <c:pt idx="44">
                  <c:v>7</c:v>
                </c:pt>
                <c:pt idx="45">
                  <c:v>6</c:v>
                </c:pt>
                <c:pt idx="46">
                  <c:v>5</c:v>
                </c:pt>
                <c:pt idx="47">
                  <c:v>11</c:v>
                </c:pt>
                <c:pt idx="48">
                  <c:v>17</c:v>
                </c:pt>
                <c:pt idx="49">
                  <c:v>8</c:v>
                </c:pt>
                <c:pt idx="50">
                  <c:v>5</c:v>
                </c:pt>
                <c:pt idx="51">
                  <c:v>9</c:v>
                </c:pt>
                <c:pt idx="52">
                  <c:v>4</c:v>
                </c:pt>
                <c:pt idx="53">
                  <c:v>8</c:v>
                </c:pt>
                <c:pt idx="54">
                  <c:v>7</c:v>
                </c:pt>
                <c:pt idx="55">
                  <c:v>12</c:v>
                </c:pt>
                <c:pt idx="56">
                  <c:v>4</c:v>
                </c:pt>
                <c:pt idx="57">
                  <c:v>9</c:v>
                </c:pt>
                <c:pt idx="58">
                  <c:v>6</c:v>
                </c:pt>
                <c:pt idx="59">
                  <c:v>5</c:v>
                </c:pt>
                <c:pt idx="60">
                  <c:v>10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14</c:v>
                </c:pt>
                <c:pt idx="65">
                  <c:v>9</c:v>
                </c:pt>
                <c:pt idx="66">
                  <c:v>5</c:v>
                </c:pt>
                <c:pt idx="67">
                  <c:v>3</c:v>
                </c:pt>
                <c:pt idx="68">
                  <c:v>11</c:v>
                </c:pt>
                <c:pt idx="69">
                  <c:v>11</c:v>
                </c:pt>
                <c:pt idx="70">
                  <c:v>7</c:v>
                </c:pt>
                <c:pt idx="71">
                  <c:v>4</c:v>
                </c:pt>
                <c:pt idx="72">
                  <c:v>4</c:v>
                </c:pt>
                <c:pt idx="73">
                  <c:v>2</c:v>
                </c:pt>
                <c:pt idx="74">
                  <c:v>4</c:v>
                </c:pt>
                <c:pt idx="75">
                  <c:v>4</c:v>
                </c:pt>
                <c:pt idx="76">
                  <c:v>14</c:v>
                </c:pt>
                <c:pt idx="77">
                  <c:v>6</c:v>
                </c:pt>
                <c:pt idx="78">
                  <c:v>13</c:v>
                </c:pt>
                <c:pt idx="79">
                  <c:v>5</c:v>
                </c:pt>
                <c:pt idx="80">
                  <c:v>6</c:v>
                </c:pt>
                <c:pt idx="81">
                  <c:v>9</c:v>
                </c:pt>
                <c:pt idx="82">
                  <c:v>10</c:v>
                </c:pt>
                <c:pt idx="83">
                  <c:v>7</c:v>
                </c:pt>
                <c:pt idx="84">
                  <c:v>2</c:v>
                </c:pt>
                <c:pt idx="85">
                  <c:v>2</c:v>
                </c:pt>
                <c:pt idx="86">
                  <c:v>6</c:v>
                </c:pt>
                <c:pt idx="87">
                  <c:v>5</c:v>
                </c:pt>
                <c:pt idx="88">
                  <c:v>7</c:v>
                </c:pt>
                <c:pt idx="89">
                  <c:v>6</c:v>
                </c:pt>
                <c:pt idx="90">
                  <c:v>5</c:v>
                </c:pt>
                <c:pt idx="91">
                  <c:v>3</c:v>
                </c:pt>
                <c:pt idx="92">
                  <c:v>3</c:v>
                </c:pt>
                <c:pt idx="93">
                  <c:v>7</c:v>
                </c:pt>
                <c:pt idx="94">
                  <c:v>7</c:v>
                </c:pt>
                <c:pt idx="95">
                  <c:v>14</c:v>
                </c:pt>
                <c:pt idx="96">
                  <c:v>5</c:v>
                </c:pt>
                <c:pt idx="97">
                  <c:v>11</c:v>
                </c:pt>
                <c:pt idx="98">
                  <c:v>7</c:v>
                </c:pt>
                <c:pt idx="99">
                  <c:v>2</c:v>
                </c:pt>
                <c:pt idx="100">
                  <c:v>3</c:v>
                </c:pt>
                <c:pt idx="101">
                  <c:v>2</c:v>
                </c:pt>
                <c:pt idx="102">
                  <c:v>2</c:v>
                </c:pt>
                <c:pt idx="103">
                  <c:v>22</c:v>
                </c:pt>
                <c:pt idx="104">
                  <c:v>4</c:v>
                </c:pt>
                <c:pt idx="105">
                  <c:v>7</c:v>
                </c:pt>
                <c:pt idx="106">
                  <c:v>5</c:v>
                </c:pt>
                <c:pt idx="107">
                  <c:v>7</c:v>
                </c:pt>
                <c:pt idx="108">
                  <c:v>10</c:v>
                </c:pt>
                <c:pt idx="109">
                  <c:v>5</c:v>
                </c:pt>
                <c:pt idx="110">
                  <c:v>8</c:v>
                </c:pt>
                <c:pt idx="111">
                  <c:v>6</c:v>
                </c:pt>
                <c:pt idx="112">
                  <c:v>2</c:v>
                </c:pt>
                <c:pt idx="113">
                  <c:v>2</c:v>
                </c:pt>
                <c:pt idx="114">
                  <c:v>3</c:v>
                </c:pt>
                <c:pt idx="115">
                  <c:v>4</c:v>
                </c:pt>
                <c:pt idx="116">
                  <c:v>3</c:v>
                </c:pt>
                <c:pt idx="117">
                  <c:v>5</c:v>
                </c:pt>
                <c:pt idx="118">
                  <c:v>4</c:v>
                </c:pt>
                <c:pt idx="119">
                  <c:v>10</c:v>
                </c:pt>
                <c:pt idx="120">
                  <c:v>11</c:v>
                </c:pt>
                <c:pt idx="121">
                  <c:v>8</c:v>
                </c:pt>
                <c:pt idx="122">
                  <c:v>9</c:v>
                </c:pt>
                <c:pt idx="123">
                  <c:v>5</c:v>
                </c:pt>
                <c:pt idx="124">
                  <c:v>2</c:v>
                </c:pt>
                <c:pt idx="125">
                  <c:v>10</c:v>
                </c:pt>
                <c:pt idx="126">
                  <c:v>7</c:v>
                </c:pt>
                <c:pt idx="127">
                  <c:v>2</c:v>
                </c:pt>
                <c:pt idx="128">
                  <c:v>7</c:v>
                </c:pt>
                <c:pt idx="129">
                  <c:v>10</c:v>
                </c:pt>
                <c:pt idx="130">
                  <c:v>8</c:v>
                </c:pt>
                <c:pt idx="131">
                  <c:v>3</c:v>
                </c:pt>
                <c:pt idx="132">
                  <c:v>10</c:v>
                </c:pt>
                <c:pt idx="133">
                  <c:v>3</c:v>
                </c:pt>
                <c:pt idx="134">
                  <c:v>3</c:v>
                </c:pt>
                <c:pt idx="135">
                  <c:v>7</c:v>
                </c:pt>
                <c:pt idx="136">
                  <c:v>5</c:v>
                </c:pt>
                <c:pt idx="137">
                  <c:v>3</c:v>
                </c:pt>
                <c:pt idx="138">
                  <c:v>4</c:v>
                </c:pt>
                <c:pt idx="139">
                  <c:v>4</c:v>
                </c:pt>
                <c:pt idx="140">
                  <c:v>6</c:v>
                </c:pt>
                <c:pt idx="141">
                  <c:v>5</c:v>
                </c:pt>
                <c:pt idx="142">
                  <c:v>4</c:v>
                </c:pt>
                <c:pt idx="143">
                  <c:v>3</c:v>
                </c:pt>
                <c:pt idx="144">
                  <c:v>4</c:v>
                </c:pt>
                <c:pt idx="145">
                  <c:v>5</c:v>
                </c:pt>
                <c:pt idx="146">
                  <c:v>5</c:v>
                </c:pt>
                <c:pt idx="147">
                  <c:v>3</c:v>
                </c:pt>
                <c:pt idx="148">
                  <c:v>4</c:v>
                </c:pt>
                <c:pt idx="149">
                  <c:v>5</c:v>
                </c:pt>
                <c:pt idx="150">
                  <c:v>4</c:v>
                </c:pt>
                <c:pt idx="151">
                  <c:v>3</c:v>
                </c:pt>
                <c:pt idx="152">
                  <c:v>4</c:v>
                </c:pt>
                <c:pt idx="153">
                  <c:v>3</c:v>
                </c:pt>
                <c:pt idx="154">
                  <c:v>6</c:v>
                </c:pt>
                <c:pt idx="155">
                  <c:v>3</c:v>
                </c:pt>
                <c:pt idx="156">
                  <c:v>3</c:v>
                </c:pt>
                <c:pt idx="157">
                  <c:v>2</c:v>
                </c:pt>
                <c:pt idx="158">
                  <c:v>4</c:v>
                </c:pt>
                <c:pt idx="159">
                  <c:v>4</c:v>
                </c:pt>
                <c:pt idx="160">
                  <c:v>3</c:v>
                </c:pt>
                <c:pt idx="161">
                  <c:v>2</c:v>
                </c:pt>
                <c:pt idx="162">
                  <c:v>6</c:v>
                </c:pt>
                <c:pt idx="163">
                  <c:v>7</c:v>
                </c:pt>
                <c:pt idx="164">
                  <c:v>3</c:v>
                </c:pt>
                <c:pt idx="165">
                  <c:v>3</c:v>
                </c:pt>
                <c:pt idx="166">
                  <c:v>4</c:v>
                </c:pt>
                <c:pt idx="167">
                  <c:v>5</c:v>
                </c:pt>
                <c:pt idx="168">
                  <c:v>24</c:v>
                </c:pt>
                <c:pt idx="169">
                  <c:v>12</c:v>
                </c:pt>
                <c:pt idx="170">
                  <c:v>7</c:v>
                </c:pt>
                <c:pt idx="171">
                  <c:v>10</c:v>
                </c:pt>
                <c:pt idx="172">
                  <c:v>5</c:v>
                </c:pt>
                <c:pt idx="173">
                  <c:v>3</c:v>
                </c:pt>
                <c:pt idx="174">
                  <c:v>9</c:v>
                </c:pt>
                <c:pt idx="175">
                  <c:v>6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2</c:v>
                </c:pt>
                <c:pt idx="181">
                  <c:v>6</c:v>
                </c:pt>
                <c:pt idx="182">
                  <c:v>6</c:v>
                </c:pt>
                <c:pt idx="183">
                  <c:v>4</c:v>
                </c:pt>
                <c:pt idx="184">
                  <c:v>6</c:v>
                </c:pt>
                <c:pt idx="185">
                  <c:v>6</c:v>
                </c:pt>
                <c:pt idx="186">
                  <c:v>7</c:v>
                </c:pt>
                <c:pt idx="187">
                  <c:v>9</c:v>
                </c:pt>
                <c:pt idx="188">
                  <c:v>10</c:v>
                </c:pt>
                <c:pt idx="189">
                  <c:v>6</c:v>
                </c:pt>
                <c:pt idx="190">
                  <c:v>4</c:v>
                </c:pt>
                <c:pt idx="191">
                  <c:v>6</c:v>
                </c:pt>
                <c:pt idx="192">
                  <c:v>8</c:v>
                </c:pt>
                <c:pt idx="193">
                  <c:v>3</c:v>
                </c:pt>
                <c:pt idx="194">
                  <c:v>5</c:v>
                </c:pt>
                <c:pt idx="195">
                  <c:v>2</c:v>
                </c:pt>
                <c:pt idx="196">
                  <c:v>7</c:v>
                </c:pt>
                <c:pt idx="197">
                  <c:v>8</c:v>
                </c:pt>
                <c:pt idx="198">
                  <c:v>6</c:v>
                </c:pt>
                <c:pt idx="199">
                  <c:v>9</c:v>
                </c:pt>
                <c:pt idx="200">
                  <c:v>6</c:v>
                </c:pt>
                <c:pt idx="201">
                  <c:v>7</c:v>
                </c:pt>
                <c:pt idx="202">
                  <c:v>5</c:v>
                </c:pt>
                <c:pt idx="203">
                  <c:v>4</c:v>
                </c:pt>
                <c:pt idx="204">
                  <c:v>5</c:v>
                </c:pt>
                <c:pt idx="205">
                  <c:v>4</c:v>
                </c:pt>
                <c:pt idx="206">
                  <c:v>4</c:v>
                </c:pt>
                <c:pt idx="207">
                  <c:v>8</c:v>
                </c:pt>
                <c:pt idx="208">
                  <c:v>6</c:v>
                </c:pt>
                <c:pt idx="209">
                  <c:v>3</c:v>
                </c:pt>
                <c:pt idx="210">
                  <c:v>3</c:v>
                </c:pt>
                <c:pt idx="211">
                  <c:v>2</c:v>
                </c:pt>
                <c:pt idx="212">
                  <c:v>2</c:v>
                </c:pt>
                <c:pt idx="213">
                  <c:v>7</c:v>
                </c:pt>
                <c:pt idx="214">
                  <c:v>5</c:v>
                </c:pt>
                <c:pt idx="215">
                  <c:v>4</c:v>
                </c:pt>
                <c:pt idx="216">
                  <c:v>7</c:v>
                </c:pt>
                <c:pt idx="217">
                  <c:v>32</c:v>
                </c:pt>
                <c:pt idx="218">
                  <c:v>3</c:v>
                </c:pt>
                <c:pt idx="219">
                  <c:v>14</c:v>
                </c:pt>
                <c:pt idx="220">
                  <c:v>15</c:v>
                </c:pt>
                <c:pt idx="221">
                  <c:v>12</c:v>
                </c:pt>
                <c:pt idx="222">
                  <c:v>16</c:v>
                </c:pt>
                <c:pt idx="223">
                  <c:v>2</c:v>
                </c:pt>
                <c:pt idx="224">
                  <c:v>5</c:v>
                </c:pt>
                <c:pt idx="225">
                  <c:v>2</c:v>
                </c:pt>
                <c:pt idx="226">
                  <c:v>2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16</c:v>
                </c:pt>
                <c:pt idx="235">
                  <c:v>7</c:v>
                </c:pt>
                <c:pt idx="236">
                  <c:v>5</c:v>
                </c:pt>
                <c:pt idx="237">
                  <c:v>8</c:v>
                </c:pt>
                <c:pt idx="238">
                  <c:v>6</c:v>
                </c:pt>
                <c:pt idx="239">
                  <c:v>10</c:v>
                </c:pt>
                <c:pt idx="240">
                  <c:v>11</c:v>
                </c:pt>
                <c:pt idx="241">
                  <c:v>10</c:v>
                </c:pt>
                <c:pt idx="242">
                  <c:v>4</c:v>
                </c:pt>
                <c:pt idx="243">
                  <c:v>4</c:v>
                </c:pt>
                <c:pt idx="244">
                  <c:v>3</c:v>
                </c:pt>
                <c:pt idx="245">
                  <c:v>4</c:v>
                </c:pt>
                <c:pt idx="246">
                  <c:v>16</c:v>
                </c:pt>
                <c:pt idx="247">
                  <c:v>10</c:v>
                </c:pt>
                <c:pt idx="248">
                  <c:v>4</c:v>
                </c:pt>
                <c:pt idx="249">
                  <c:v>12</c:v>
                </c:pt>
                <c:pt idx="250">
                  <c:v>16</c:v>
                </c:pt>
                <c:pt idx="251">
                  <c:v>10</c:v>
                </c:pt>
                <c:pt idx="252">
                  <c:v>10</c:v>
                </c:pt>
                <c:pt idx="253">
                  <c:v>11</c:v>
                </c:pt>
                <c:pt idx="254">
                  <c:v>6</c:v>
                </c:pt>
                <c:pt idx="255">
                  <c:v>5</c:v>
                </c:pt>
                <c:pt idx="256">
                  <c:v>15</c:v>
                </c:pt>
                <c:pt idx="257">
                  <c:v>3</c:v>
                </c:pt>
                <c:pt idx="258">
                  <c:v>8</c:v>
                </c:pt>
                <c:pt idx="259">
                  <c:v>13</c:v>
                </c:pt>
                <c:pt idx="260">
                  <c:v>9</c:v>
                </c:pt>
                <c:pt idx="261">
                  <c:v>19</c:v>
                </c:pt>
                <c:pt idx="262">
                  <c:v>4</c:v>
                </c:pt>
                <c:pt idx="263">
                  <c:v>2</c:v>
                </c:pt>
                <c:pt idx="264">
                  <c:v>5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6</c:v>
                </c:pt>
                <c:pt idx="269">
                  <c:v>2</c:v>
                </c:pt>
                <c:pt idx="270">
                  <c:v>22</c:v>
                </c:pt>
                <c:pt idx="271">
                  <c:v>4</c:v>
                </c:pt>
                <c:pt idx="272">
                  <c:v>11</c:v>
                </c:pt>
                <c:pt idx="273">
                  <c:v>4</c:v>
                </c:pt>
                <c:pt idx="274">
                  <c:v>6</c:v>
                </c:pt>
                <c:pt idx="275">
                  <c:v>27</c:v>
                </c:pt>
                <c:pt idx="276">
                  <c:v>22</c:v>
                </c:pt>
                <c:pt idx="277">
                  <c:v>5</c:v>
                </c:pt>
                <c:pt idx="278">
                  <c:v>24</c:v>
                </c:pt>
                <c:pt idx="279">
                  <c:v>20</c:v>
                </c:pt>
                <c:pt idx="280">
                  <c:v>4</c:v>
                </c:pt>
                <c:pt idx="281">
                  <c:v>4</c:v>
                </c:pt>
                <c:pt idx="282">
                  <c:v>10</c:v>
                </c:pt>
                <c:pt idx="283">
                  <c:v>2</c:v>
                </c:pt>
                <c:pt idx="284">
                  <c:v>31</c:v>
                </c:pt>
                <c:pt idx="285">
                  <c:v>6</c:v>
                </c:pt>
                <c:pt idx="286">
                  <c:v>30</c:v>
                </c:pt>
                <c:pt idx="287">
                  <c:v>4</c:v>
                </c:pt>
                <c:pt idx="288">
                  <c:v>28</c:v>
                </c:pt>
                <c:pt idx="289">
                  <c:v>10</c:v>
                </c:pt>
                <c:pt idx="290">
                  <c:v>7</c:v>
                </c:pt>
                <c:pt idx="291">
                  <c:v>16</c:v>
                </c:pt>
                <c:pt idx="292">
                  <c:v>16</c:v>
                </c:pt>
                <c:pt idx="293">
                  <c:v>16</c:v>
                </c:pt>
                <c:pt idx="294">
                  <c:v>3</c:v>
                </c:pt>
                <c:pt idx="295">
                  <c:v>8</c:v>
                </c:pt>
                <c:pt idx="296">
                  <c:v>2</c:v>
                </c:pt>
                <c:pt idx="297">
                  <c:v>12</c:v>
                </c:pt>
                <c:pt idx="298">
                  <c:v>7</c:v>
                </c:pt>
                <c:pt idx="299">
                  <c:v>9</c:v>
                </c:pt>
                <c:pt idx="300">
                  <c:v>6</c:v>
                </c:pt>
                <c:pt idx="301">
                  <c:v>12</c:v>
                </c:pt>
                <c:pt idx="302">
                  <c:v>12</c:v>
                </c:pt>
                <c:pt idx="303">
                  <c:v>14</c:v>
                </c:pt>
                <c:pt idx="304">
                  <c:v>11</c:v>
                </c:pt>
                <c:pt idx="305">
                  <c:v>13</c:v>
                </c:pt>
                <c:pt idx="306">
                  <c:v>12</c:v>
                </c:pt>
                <c:pt idx="307">
                  <c:v>11</c:v>
                </c:pt>
                <c:pt idx="308">
                  <c:v>6</c:v>
                </c:pt>
                <c:pt idx="309">
                  <c:v>12</c:v>
                </c:pt>
                <c:pt idx="310">
                  <c:v>11</c:v>
                </c:pt>
                <c:pt idx="311">
                  <c:v>10</c:v>
                </c:pt>
                <c:pt idx="312">
                  <c:v>22</c:v>
                </c:pt>
                <c:pt idx="313">
                  <c:v>7</c:v>
                </c:pt>
                <c:pt idx="314">
                  <c:v>9</c:v>
                </c:pt>
                <c:pt idx="315">
                  <c:v>2</c:v>
                </c:pt>
                <c:pt idx="316">
                  <c:v>2</c:v>
                </c:pt>
                <c:pt idx="317">
                  <c:v>3</c:v>
                </c:pt>
                <c:pt idx="318">
                  <c:v>6</c:v>
                </c:pt>
                <c:pt idx="319">
                  <c:v>5</c:v>
                </c:pt>
                <c:pt idx="320">
                  <c:v>8</c:v>
                </c:pt>
                <c:pt idx="321">
                  <c:v>3</c:v>
                </c:pt>
                <c:pt idx="322">
                  <c:v>4</c:v>
                </c:pt>
                <c:pt idx="323">
                  <c:v>5</c:v>
                </c:pt>
                <c:pt idx="324">
                  <c:v>30</c:v>
                </c:pt>
                <c:pt idx="325">
                  <c:v>15</c:v>
                </c:pt>
                <c:pt idx="326">
                  <c:v>12</c:v>
                </c:pt>
                <c:pt idx="327">
                  <c:v>4</c:v>
                </c:pt>
                <c:pt idx="328">
                  <c:v>2</c:v>
                </c:pt>
                <c:pt idx="329">
                  <c:v>8</c:v>
                </c:pt>
                <c:pt idx="330">
                  <c:v>3</c:v>
                </c:pt>
                <c:pt idx="331">
                  <c:v>8</c:v>
                </c:pt>
                <c:pt idx="332">
                  <c:v>10</c:v>
                </c:pt>
                <c:pt idx="333">
                  <c:v>13</c:v>
                </c:pt>
                <c:pt idx="334">
                  <c:v>10</c:v>
                </c:pt>
                <c:pt idx="335">
                  <c:v>9</c:v>
                </c:pt>
                <c:pt idx="336">
                  <c:v>11</c:v>
                </c:pt>
                <c:pt idx="337">
                  <c:v>7</c:v>
                </c:pt>
                <c:pt idx="338">
                  <c:v>20</c:v>
                </c:pt>
                <c:pt idx="339">
                  <c:v>8</c:v>
                </c:pt>
                <c:pt idx="340">
                  <c:v>8</c:v>
                </c:pt>
                <c:pt idx="341">
                  <c:v>17</c:v>
                </c:pt>
                <c:pt idx="342">
                  <c:v>13</c:v>
                </c:pt>
                <c:pt idx="343">
                  <c:v>7</c:v>
                </c:pt>
                <c:pt idx="344">
                  <c:v>18</c:v>
                </c:pt>
                <c:pt idx="345">
                  <c:v>17</c:v>
                </c:pt>
                <c:pt idx="346">
                  <c:v>12</c:v>
                </c:pt>
                <c:pt idx="347">
                  <c:v>10</c:v>
                </c:pt>
                <c:pt idx="348">
                  <c:v>15</c:v>
                </c:pt>
                <c:pt idx="349">
                  <c:v>12</c:v>
                </c:pt>
                <c:pt idx="350">
                  <c:v>10</c:v>
                </c:pt>
                <c:pt idx="351">
                  <c:v>19</c:v>
                </c:pt>
                <c:pt idx="352">
                  <c:v>2</c:v>
                </c:pt>
                <c:pt idx="353">
                  <c:v>21</c:v>
                </c:pt>
                <c:pt idx="354">
                  <c:v>14</c:v>
                </c:pt>
                <c:pt idx="355">
                  <c:v>13</c:v>
                </c:pt>
                <c:pt idx="356">
                  <c:v>11</c:v>
                </c:pt>
                <c:pt idx="357">
                  <c:v>15</c:v>
                </c:pt>
                <c:pt idx="358">
                  <c:v>10</c:v>
                </c:pt>
                <c:pt idx="359">
                  <c:v>20</c:v>
                </c:pt>
                <c:pt idx="360">
                  <c:v>3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9</c:v>
                </c:pt>
                <c:pt idx="366">
                  <c:v>8</c:v>
                </c:pt>
                <c:pt idx="367">
                  <c:v>4</c:v>
                </c:pt>
                <c:pt idx="368">
                  <c:v>2</c:v>
                </c:pt>
                <c:pt idx="369">
                  <c:v>2</c:v>
                </c:pt>
                <c:pt idx="370">
                  <c:v>3</c:v>
                </c:pt>
                <c:pt idx="371">
                  <c:v>5</c:v>
                </c:pt>
                <c:pt idx="372">
                  <c:v>4</c:v>
                </c:pt>
                <c:pt idx="373">
                  <c:v>2</c:v>
                </c:pt>
                <c:pt idx="374">
                  <c:v>2</c:v>
                </c:pt>
                <c:pt idx="375">
                  <c:v>3</c:v>
                </c:pt>
                <c:pt idx="376">
                  <c:v>5</c:v>
                </c:pt>
                <c:pt idx="377">
                  <c:v>3</c:v>
                </c:pt>
                <c:pt idx="378">
                  <c:v>4</c:v>
                </c:pt>
                <c:pt idx="379">
                  <c:v>4</c:v>
                </c:pt>
                <c:pt idx="380">
                  <c:v>3</c:v>
                </c:pt>
                <c:pt idx="381">
                  <c:v>3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4</c:v>
                </c:pt>
                <c:pt idx="387">
                  <c:v>2</c:v>
                </c:pt>
                <c:pt idx="388">
                  <c:v>3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4</c:v>
                </c:pt>
                <c:pt idx="393">
                  <c:v>2</c:v>
                </c:pt>
                <c:pt idx="394">
                  <c:v>3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3</c:v>
                </c:pt>
                <c:pt idx="400">
                  <c:v>3</c:v>
                </c:pt>
                <c:pt idx="401">
                  <c:v>11</c:v>
                </c:pt>
                <c:pt idx="402">
                  <c:v>5</c:v>
                </c:pt>
                <c:pt idx="403">
                  <c:v>8</c:v>
                </c:pt>
                <c:pt idx="404">
                  <c:v>9</c:v>
                </c:pt>
                <c:pt idx="405">
                  <c:v>10</c:v>
                </c:pt>
                <c:pt idx="406">
                  <c:v>4</c:v>
                </c:pt>
                <c:pt idx="407">
                  <c:v>6</c:v>
                </c:pt>
                <c:pt idx="408">
                  <c:v>8</c:v>
                </c:pt>
                <c:pt idx="409">
                  <c:v>7</c:v>
                </c:pt>
                <c:pt idx="410">
                  <c:v>7</c:v>
                </c:pt>
                <c:pt idx="411">
                  <c:v>6</c:v>
                </c:pt>
                <c:pt idx="412">
                  <c:v>13</c:v>
                </c:pt>
                <c:pt idx="413">
                  <c:v>9</c:v>
                </c:pt>
                <c:pt idx="414">
                  <c:v>4</c:v>
                </c:pt>
                <c:pt idx="415">
                  <c:v>5</c:v>
                </c:pt>
                <c:pt idx="416">
                  <c:v>8</c:v>
                </c:pt>
                <c:pt idx="417">
                  <c:v>4</c:v>
                </c:pt>
                <c:pt idx="418">
                  <c:v>5</c:v>
                </c:pt>
                <c:pt idx="419">
                  <c:v>6</c:v>
                </c:pt>
                <c:pt idx="420">
                  <c:v>6</c:v>
                </c:pt>
                <c:pt idx="421">
                  <c:v>8</c:v>
                </c:pt>
                <c:pt idx="422">
                  <c:v>2</c:v>
                </c:pt>
                <c:pt idx="423">
                  <c:v>5</c:v>
                </c:pt>
                <c:pt idx="424">
                  <c:v>3</c:v>
                </c:pt>
                <c:pt idx="425">
                  <c:v>3</c:v>
                </c:pt>
                <c:pt idx="426">
                  <c:v>8</c:v>
                </c:pt>
                <c:pt idx="427">
                  <c:v>8</c:v>
                </c:pt>
                <c:pt idx="428">
                  <c:v>6</c:v>
                </c:pt>
                <c:pt idx="429">
                  <c:v>12</c:v>
                </c:pt>
                <c:pt idx="430">
                  <c:v>2</c:v>
                </c:pt>
                <c:pt idx="431">
                  <c:v>2</c:v>
                </c:pt>
                <c:pt idx="432">
                  <c:v>5</c:v>
                </c:pt>
                <c:pt idx="433">
                  <c:v>4</c:v>
                </c:pt>
                <c:pt idx="434">
                  <c:v>2</c:v>
                </c:pt>
                <c:pt idx="435">
                  <c:v>5</c:v>
                </c:pt>
                <c:pt idx="436">
                  <c:v>4</c:v>
                </c:pt>
                <c:pt idx="437">
                  <c:v>3</c:v>
                </c:pt>
                <c:pt idx="438">
                  <c:v>8</c:v>
                </c:pt>
                <c:pt idx="439">
                  <c:v>7</c:v>
                </c:pt>
                <c:pt idx="440">
                  <c:v>8</c:v>
                </c:pt>
                <c:pt idx="441">
                  <c:v>5</c:v>
                </c:pt>
                <c:pt idx="442">
                  <c:v>8</c:v>
                </c:pt>
                <c:pt idx="443">
                  <c:v>8</c:v>
                </c:pt>
                <c:pt idx="444">
                  <c:v>12</c:v>
                </c:pt>
                <c:pt idx="445">
                  <c:v>7</c:v>
                </c:pt>
                <c:pt idx="446">
                  <c:v>7</c:v>
                </c:pt>
                <c:pt idx="447">
                  <c:v>9</c:v>
                </c:pt>
                <c:pt idx="448">
                  <c:v>13</c:v>
                </c:pt>
                <c:pt idx="449">
                  <c:v>5</c:v>
                </c:pt>
                <c:pt idx="450">
                  <c:v>6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4</c:v>
                </c:pt>
                <c:pt idx="457">
                  <c:v>4</c:v>
                </c:pt>
                <c:pt idx="458">
                  <c:v>4</c:v>
                </c:pt>
                <c:pt idx="459">
                  <c:v>6</c:v>
                </c:pt>
                <c:pt idx="460">
                  <c:v>4</c:v>
                </c:pt>
                <c:pt idx="461">
                  <c:v>4</c:v>
                </c:pt>
                <c:pt idx="462">
                  <c:v>6</c:v>
                </c:pt>
                <c:pt idx="463">
                  <c:v>8</c:v>
                </c:pt>
                <c:pt idx="464">
                  <c:v>8</c:v>
                </c:pt>
                <c:pt idx="465">
                  <c:v>11</c:v>
                </c:pt>
                <c:pt idx="466">
                  <c:v>6</c:v>
                </c:pt>
                <c:pt idx="467">
                  <c:v>7</c:v>
                </c:pt>
                <c:pt idx="468">
                  <c:v>3</c:v>
                </c:pt>
                <c:pt idx="469">
                  <c:v>4</c:v>
                </c:pt>
                <c:pt idx="470">
                  <c:v>3</c:v>
                </c:pt>
                <c:pt idx="471">
                  <c:v>3</c:v>
                </c:pt>
                <c:pt idx="472">
                  <c:v>13</c:v>
                </c:pt>
                <c:pt idx="473">
                  <c:v>7</c:v>
                </c:pt>
                <c:pt idx="474">
                  <c:v>4</c:v>
                </c:pt>
                <c:pt idx="475">
                  <c:v>3</c:v>
                </c:pt>
                <c:pt idx="476">
                  <c:v>3</c:v>
                </c:pt>
                <c:pt idx="477">
                  <c:v>14</c:v>
                </c:pt>
                <c:pt idx="478">
                  <c:v>6</c:v>
                </c:pt>
                <c:pt idx="479">
                  <c:v>3</c:v>
                </c:pt>
                <c:pt idx="480">
                  <c:v>4</c:v>
                </c:pt>
                <c:pt idx="481">
                  <c:v>2</c:v>
                </c:pt>
                <c:pt idx="482">
                  <c:v>3</c:v>
                </c:pt>
                <c:pt idx="483">
                  <c:v>3</c:v>
                </c:pt>
                <c:pt idx="484">
                  <c:v>5</c:v>
                </c:pt>
                <c:pt idx="485">
                  <c:v>12</c:v>
                </c:pt>
                <c:pt idx="486">
                  <c:v>2</c:v>
                </c:pt>
                <c:pt idx="487">
                  <c:v>3</c:v>
                </c:pt>
                <c:pt idx="488">
                  <c:v>6</c:v>
                </c:pt>
                <c:pt idx="489">
                  <c:v>2</c:v>
                </c:pt>
                <c:pt idx="490">
                  <c:v>2</c:v>
                </c:pt>
                <c:pt idx="491">
                  <c:v>5</c:v>
                </c:pt>
                <c:pt idx="492">
                  <c:v>2</c:v>
                </c:pt>
                <c:pt idx="493">
                  <c:v>4</c:v>
                </c:pt>
                <c:pt idx="494">
                  <c:v>4</c:v>
                </c:pt>
                <c:pt idx="495">
                  <c:v>2</c:v>
                </c:pt>
                <c:pt idx="496">
                  <c:v>4</c:v>
                </c:pt>
                <c:pt idx="497">
                  <c:v>3</c:v>
                </c:pt>
                <c:pt idx="498">
                  <c:v>4</c:v>
                </c:pt>
                <c:pt idx="499">
                  <c:v>7</c:v>
                </c:pt>
                <c:pt idx="500">
                  <c:v>8</c:v>
                </c:pt>
                <c:pt idx="501">
                  <c:v>8</c:v>
                </c:pt>
                <c:pt idx="502">
                  <c:v>7</c:v>
                </c:pt>
                <c:pt idx="503">
                  <c:v>4</c:v>
                </c:pt>
                <c:pt idx="504">
                  <c:v>9</c:v>
                </c:pt>
                <c:pt idx="505">
                  <c:v>5</c:v>
                </c:pt>
                <c:pt idx="506">
                  <c:v>5</c:v>
                </c:pt>
                <c:pt idx="507">
                  <c:v>6</c:v>
                </c:pt>
                <c:pt idx="508">
                  <c:v>9</c:v>
                </c:pt>
                <c:pt idx="509">
                  <c:v>7</c:v>
                </c:pt>
                <c:pt idx="510">
                  <c:v>16</c:v>
                </c:pt>
                <c:pt idx="511">
                  <c:v>8</c:v>
                </c:pt>
                <c:pt idx="512">
                  <c:v>4</c:v>
                </c:pt>
                <c:pt idx="513">
                  <c:v>5</c:v>
                </c:pt>
                <c:pt idx="514">
                  <c:v>2</c:v>
                </c:pt>
                <c:pt idx="515">
                  <c:v>2</c:v>
                </c:pt>
                <c:pt idx="516">
                  <c:v>2</c:v>
                </c:pt>
                <c:pt idx="517">
                  <c:v>2</c:v>
                </c:pt>
                <c:pt idx="518">
                  <c:v>2</c:v>
                </c:pt>
                <c:pt idx="519">
                  <c:v>2</c:v>
                </c:pt>
                <c:pt idx="520">
                  <c:v>7</c:v>
                </c:pt>
                <c:pt idx="521">
                  <c:v>4</c:v>
                </c:pt>
                <c:pt idx="522">
                  <c:v>7</c:v>
                </c:pt>
                <c:pt idx="523">
                  <c:v>5</c:v>
                </c:pt>
                <c:pt idx="524">
                  <c:v>8</c:v>
                </c:pt>
                <c:pt idx="525">
                  <c:v>7</c:v>
                </c:pt>
                <c:pt idx="526">
                  <c:v>7</c:v>
                </c:pt>
                <c:pt idx="527">
                  <c:v>8</c:v>
                </c:pt>
                <c:pt idx="528">
                  <c:v>3</c:v>
                </c:pt>
                <c:pt idx="529">
                  <c:v>8</c:v>
                </c:pt>
                <c:pt idx="530">
                  <c:v>5</c:v>
                </c:pt>
                <c:pt idx="531">
                  <c:v>6</c:v>
                </c:pt>
                <c:pt idx="532">
                  <c:v>4</c:v>
                </c:pt>
                <c:pt idx="533">
                  <c:v>4</c:v>
                </c:pt>
                <c:pt idx="534">
                  <c:v>7</c:v>
                </c:pt>
                <c:pt idx="535">
                  <c:v>10</c:v>
                </c:pt>
                <c:pt idx="536">
                  <c:v>4</c:v>
                </c:pt>
                <c:pt idx="537">
                  <c:v>5</c:v>
                </c:pt>
                <c:pt idx="538">
                  <c:v>5</c:v>
                </c:pt>
                <c:pt idx="539">
                  <c:v>11</c:v>
                </c:pt>
                <c:pt idx="540">
                  <c:v>4</c:v>
                </c:pt>
                <c:pt idx="541">
                  <c:v>4</c:v>
                </c:pt>
                <c:pt idx="542">
                  <c:v>9</c:v>
                </c:pt>
                <c:pt idx="543">
                  <c:v>8</c:v>
                </c:pt>
                <c:pt idx="544">
                  <c:v>9</c:v>
                </c:pt>
                <c:pt idx="545">
                  <c:v>8</c:v>
                </c:pt>
                <c:pt idx="546">
                  <c:v>8</c:v>
                </c:pt>
                <c:pt idx="547">
                  <c:v>5</c:v>
                </c:pt>
                <c:pt idx="548">
                  <c:v>6</c:v>
                </c:pt>
                <c:pt idx="549">
                  <c:v>6</c:v>
                </c:pt>
                <c:pt idx="550">
                  <c:v>12</c:v>
                </c:pt>
                <c:pt idx="551">
                  <c:v>11</c:v>
                </c:pt>
                <c:pt idx="552">
                  <c:v>12</c:v>
                </c:pt>
                <c:pt idx="553">
                  <c:v>9</c:v>
                </c:pt>
                <c:pt idx="554">
                  <c:v>6</c:v>
                </c:pt>
                <c:pt idx="555">
                  <c:v>5</c:v>
                </c:pt>
                <c:pt idx="556">
                  <c:v>7</c:v>
                </c:pt>
                <c:pt idx="557">
                  <c:v>3</c:v>
                </c:pt>
                <c:pt idx="558">
                  <c:v>7</c:v>
                </c:pt>
                <c:pt idx="559">
                  <c:v>12</c:v>
                </c:pt>
                <c:pt idx="560">
                  <c:v>12</c:v>
                </c:pt>
                <c:pt idx="561">
                  <c:v>19</c:v>
                </c:pt>
                <c:pt idx="562">
                  <c:v>18</c:v>
                </c:pt>
                <c:pt idx="563">
                  <c:v>10</c:v>
                </c:pt>
                <c:pt idx="564">
                  <c:v>4</c:v>
                </c:pt>
                <c:pt idx="565">
                  <c:v>11</c:v>
                </c:pt>
                <c:pt idx="566">
                  <c:v>9</c:v>
                </c:pt>
                <c:pt idx="567">
                  <c:v>10</c:v>
                </c:pt>
                <c:pt idx="568">
                  <c:v>2</c:v>
                </c:pt>
                <c:pt idx="569">
                  <c:v>3</c:v>
                </c:pt>
                <c:pt idx="570">
                  <c:v>5</c:v>
                </c:pt>
                <c:pt idx="571">
                  <c:v>4</c:v>
                </c:pt>
                <c:pt idx="572">
                  <c:v>3</c:v>
                </c:pt>
                <c:pt idx="573">
                  <c:v>5</c:v>
                </c:pt>
                <c:pt idx="574">
                  <c:v>5</c:v>
                </c:pt>
                <c:pt idx="575">
                  <c:v>3</c:v>
                </c:pt>
                <c:pt idx="576">
                  <c:v>2</c:v>
                </c:pt>
                <c:pt idx="577">
                  <c:v>2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3</c:v>
                </c:pt>
                <c:pt idx="582">
                  <c:v>4</c:v>
                </c:pt>
                <c:pt idx="583">
                  <c:v>3</c:v>
                </c:pt>
                <c:pt idx="584">
                  <c:v>7</c:v>
                </c:pt>
                <c:pt idx="585">
                  <c:v>9</c:v>
                </c:pt>
                <c:pt idx="586">
                  <c:v>8</c:v>
                </c:pt>
                <c:pt idx="587">
                  <c:v>6</c:v>
                </c:pt>
                <c:pt idx="588">
                  <c:v>12</c:v>
                </c:pt>
                <c:pt idx="589">
                  <c:v>7</c:v>
                </c:pt>
                <c:pt idx="590">
                  <c:v>8</c:v>
                </c:pt>
                <c:pt idx="591">
                  <c:v>7</c:v>
                </c:pt>
                <c:pt idx="592">
                  <c:v>4</c:v>
                </c:pt>
                <c:pt idx="593">
                  <c:v>9</c:v>
                </c:pt>
                <c:pt idx="594">
                  <c:v>4</c:v>
                </c:pt>
                <c:pt idx="595">
                  <c:v>4</c:v>
                </c:pt>
                <c:pt idx="596">
                  <c:v>8</c:v>
                </c:pt>
                <c:pt idx="597">
                  <c:v>4</c:v>
                </c:pt>
                <c:pt idx="598">
                  <c:v>5</c:v>
                </c:pt>
                <c:pt idx="599">
                  <c:v>3</c:v>
                </c:pt>
                <c:pt idx="600">
                  <c:v>4</c:v>
                </c:pt>
                <c:pt idx="601">
                  <c:v>3</c:v>
                </c:pt>
                <c:pt idx="602">
                  <c:v>3</c:v>
                </c:pt>
                <c:pt idx="603">
                  <c:v>3</c:v>
                </c:pt>
                <c:pt idx="604">
                  <c:v>10</c:v>
                </c:pt>
                <c:pt idx="605">
                  <c:v>5</c:v>
                </c:pt>
                <c:pt idx="606">
                  <c:v>5</c:v>
                </c:pt>
                <c:pt idx="607">
                  <c:v>6</c:v>
                </c:pt>
                <c:pt idx="608">
                  <c:v>3</c:v>
                </c:pt>
                <c:pt idx="609">
                  <c:v>11</c:v>
                </c:pt>
                <c:pt idx="610">
                  <c:v>4</c:v>
                </c:pt>
                <c:pt idx="611">
                  <c:v>6</c:v>
                </c:pt>
                <c:pt idx="612">
                  <c:v>3</c:v>
                </c:pt>
                <c:pt idx="613">
                  <c:v>9</c:v>
                </c:pt>
                <c:pt idx="614">
                  <c:v>5</c:v>
                </c:pt>
                <c:pt idx="615">
                  <c:v>2</c:v>
                </c:pt>
                <c:pt idx="616">
                  <c:v>5</c:v>
                </c:pt>
                <c:pt idx="617">
                  <c:v>4</c:v>
                </c:pt>
                <c:pt idx="618">
                  <c:v>5</c:v>
                </c:pt>
                <c:pt idx="619">
                  <c:v>3</c:v>
                </c:pt>
                <c:pt idx="620">
                  <c:v>10</c:v>
                </c:pt>
                <c:pt idx="621">
                  <c:v>8</c:v>
                </c:pt>
                <c:pt idx="622">
                  <c:v>4</c:v>
                </c:pt>
                <c:pt idx="623">
                  <c:v>15</c:v>
                </c:pt>
                <c:pt idx="624">
                  <c:v>14</c:v>
                </c:pt>
                <c:pt idx="625">
                  <c:v>4</c:v>
                </c:pt>
                <c:pt idx="626">
                  <c:v>4</c:v>
                </c:pt>
                <c:pt idx="627">
                  <c:v>5</c:v>
                </c:pt>
                <c:pt idx="628">
                  <c:v>3</c:v>
                </c:pt>
                <c:pt idx="629">
                  <c:v>12</c:v>
                </c:pt>
                <c:pt idx="630">
                  <c:v>4</c:v>
                </c:pt>
                <c:pt idx="631">
                  <c:v>4</c:v>
                </c:pt>
              </c:numCache>
            </c:numRef>
          </c:xVal>
          <c:yVal>
            <c:numRef>
              <c:f>data!$D$2:$D$633</c:f>
              <c:numCache>
                <c:formatCode>General</c:formatCode>
                <c:ptCount val="632"/>
                <c:pt idx="0">
                  <c:v>65.66</c:v>
                </c:pt>
                <c:pt idx="1">
                  <c:v>58.6</c:v>
                </c:pt>
                <c:pt idx="2">
                  <c:v>87.72</c:v>
                </c:pt>
                <c:pt idx="3">
                  <c:v>83.33</c:v>
                </c:pt>
                <c:pt idx="4">
                  <c:v>49.23</c:v>
                </c:pt>
                <c:pt idx="5">
                  <c:v>50.42</c:v>
                </c:pt>
                <c:pt idx="6">
                  <c:v>50</c:v>
                </c:pt>
                <c:pt idx="7">
                  <c:v>56.37</c:v>
                </c:pt>
                <c:pt idx="8">
                  <c:v>82.81</c:v>
                </c:pt>
                <c:pt idx="9">
                  <c:v>89.06</c:v>
                </c:pt>
                <c:pt idx="10">
                  <c:v>48.54</c:v>
                </c:pt>
                <c:pt idx="11">
                  <c:v>52.54</c:v>
                </c:pt>
                <c:pt idx="12">
                  <c:v>47.04</c:v>
                </c:pt>
                <c:pt idx="13">
                  <c:v>50.74</c:v>
                </c:pt>
                <c:pt idx="14">
                  <c:v>45.62</c:v>
                </c:pt>
                <c:pt idx="15">
                  <c:v>48.99</c:v>
                </c:pt>
                <c:pt idx="16">
                  <c:v>46.73</c:v>
                </c:pt>
                <c:pt idx="17">
                  <c:v>44.12</c:v>
                </c:pt>
                <c:pt idx="18">
                  <c:v>51.63</c:v>
                </c:pt>
                <c:pt idx="19">
                  <c:v>40.950000000000003</c:v>
                </c:pt>
                <c:pt idx="20">
                  <c:v>87.5</c:v>
                </c:pt>
                <c:pt idx="21">
                  <c:v>86.49</c:v>
                </c:pt>
                <c:pt idx="22">
                  <c:v>87.23</c:v>
                </c:pt>
                <c:pt idx="23">
                  <c:v>90.57</c:v>
                </c:pt>
                <c:pt idx="24">
                  <c:v>37.5</c:v>
                </c:pt>
                <c:pt idx="25">
                  <c:v>37.5</c:v>
                </c:pt>
                <c:pt idx="26">
                  <c:v>60.75</c:v>
                </c:pt>
                <c:pt idx="27">
                  <c:v>49.28</c:v>
                </c:pt>
                <c:pt idx="28">
                  <c:v>82.09</c:v>
                </c:pt>
                <c:pt idx="29">
                  <c:v>88.64</c:v>
                </c:pt>
                <c:pt idx="30">
                  <c:v>88.64</c:v>
                </c:pt>
                <c:pt idx="31">
                  <c:v>88.64</c:v>
                </c:pt>
                <c:pt idx="32">
                  <c:v>87.5</c:v>
                </c:pt>
                <c:pt idx="33">
                  <c:v>88.68</c:v>
                </c:pt>
                <c:pt idx="34">
                  <c:v>48.63</c:v>
                </c:pt>
                <c:pt idx="35">
                  <c:v>61.42</c:v>
                </c:pt>
                <c:pt idx="36">
                  <c:v>87.23</c:v>
                </c:pt>
                <c:pt idx="37">
                  <c:v>67.900000000000006</c:v>
                </c:pt>
                <c:pt idx="38">
                  <c:v>44.74</c:v>
                </c:pt>
                <c:pt idx="39">
                  <c:v>62.29</c:v>
                </c:pt>
                <c:pt idx="40">
                  <c:v>87.5</c:v>
                </c:pt>
                <c:pt idx="41">
                  <c:v>43.98</c:v>
                </c:pt>
                <c:pt idx="42">
                  <c:v>56.77</c:v>
                </c:pt>
                <c:pt idx="43">
                  <c:v>40.71</c:v>
                </c:pt>
                <c:pt idx="44">
                  <c:v>88.89</c:v>
                </c:pt>
                <c:pt idx="45">
                  <c:v>58.33</c:v>
                </c:pt>
                <c:pt idx="46">
                  <c:v>65.709999999999994</c:v>
                </c:pt>
                <c:pt idx="47">
                  <c:v>37.69</c:v>
                </c:pt>
                <c:pt idx="48">
                  <c:v>36.35</c:v>
                </c:pt>
                <c:pt idx="49">
                  <c:v>65</c:v>
                </c:pt>
                <c:pt idx="50">
                  <c:v>88.68</c:v>
                </c:pt>
                <c:pt idx="51">
                  <c:v>55.84</c:v>
                </c:pt>
                <c:pt idx="52">
                  <c:v>75.680000000000007</c:v>
                </c:pt>
                <c:pt idx="53">
                  <c:v>53.91</c:v>
                </c:pt>
                <c:pt idx="54">
                  <c:v>41.01</c:v>
                </c:pt>
                <c:pt idx="55">
                  <c:v>41.45</c:v>
                </c:pt>
                <c:pt idx="56">
                  <c:v>80.56</c:v>
                </c:pt>
                <c:pt idx="57">
                  <c:v>45.04</c:v>
                </c:pt>
                <c:pt idx="58">
                  <c:v>45.98</c:v>
                </c:pt>
                <c:pt idx="59">
                  <c:v>57.39</c:v>
                </c:pt>
                <c:pt idx="60">
                  <c:v>41.7</c:v>
                </c:pt>
                <c:pt idx="61">
                  <c:v>77.38</c:v>
                </c:pt>
                <c:pt idx="62">
                  <c:v>60.43</c:v>
                </c:pt>
                <c:pt idx="63">
                  <c:v>26.64</c:v>
                </c:pt>
                <c:pt idx="64">
                  <c:v>38.979999999999997</c:v>
                </c:pt>
                <c:pt idx="65">
                  <c:v>50.63</c:v>
                </c:pt>
                <c:pt idx="66">
                  <c:v>54.24</c:v>
                </c:pt>
                <c:pt idx="67">
                  <c:v>67.23</c:v>
                </c:pt>
                <c:pt idx="68">
                  <c:v>41.31</c:v>
                </c:pt>
                <c:pt idx="69">
                  <c:v>37.89</c:v>
                </c:pt>
                <c:pt idx="70">
                  <c:v>58.6</c:v>
                </c:pt>
                <c:pt idx="71">
                  <c:v>88.89</c:v>
                </c:pt>
                <c:pt idx="72">
                  <c:v>61.68</c:v>
                </c:pt>
                <c:pt idx="73">
                  <c:v>63.08</c:v>
                </c:pt>
                <c:pt idx="74">
                  <c:v>91.89</c:v>
                </c:pt>
                <c:pt idx="75">
                  <c:v>91.73</c:v>
                </c:pt>
                <c:pt idx="76">
                  <c:v>49.64</c:v>
                </c:pt>
                <c:pt idx="77">
                  <c:v>65.849999999999994</c:v>
                </c:pt>
                <c:pt idx="78">
                  <c:v>55.73</c:v>
                </c:pt>
                <c:pt idx="79">
                  <c:v>89.71</c:v>
                </c:pt>
                <c:pt idx="80">
                  <c:v>87.13</c:v>
                </c:pt>
                <c:pt idx="81">
                  <c:v>52.8</c:v>
                </c:pt>
                <c:pt idx="82">
                  <c:v>50.39</c:v>
                </c:pt>
                <c:pt idx="83">
                  <c:v>85</c:v>
                </c:pt>
                <c:pt idx="84">
                  <c:v>76</c:v>
                </c:pt>
                <c:pt idx="85">
                  <c:v>79.17</c:v>
                </c:pt>
                <c:pt idx="86">
                  <c:v>25.24</c:v>
                </c:pt>
                <c:pt idx="87">
                  <c:v>53.33</c:v>
                </c:pt>
                <c:pt idx="88">
                  <c:v>58.86</c:v>
                </c:pt>
                <c:pt idx="89">
                  <c:v>41.57</c:v>
                </c:pt>
                <c:pt idx="90">
                  <c:v>70.27</c:v>
                </c:pt>
                <c:pt idx="91">
                  <c:v>92.59</c:v>
                </c:pt>
                <c:pt idx="92">
                  <c:v>90.57</c:v>
                </c:pt>
                <c:pt idx="93">
                  <c:v>43.07</c:v>
                </c:pt>
                <c:pt idx="94">
                  <c:v>40.69</c:v>
                </c:pt>
                <c:pt idx="95">
                  <c:v>53.26</c:v>
                </c:pt>
                <c:pt idx="96">
                  <c:v>88.46</c:v>
                </c:pt>
                <c:pt idx="97">
                  <c:v>44.86</c:v>
                </c:pt>
                <c:pt idx="98">
                  <c:v>53.44</c:v>
                </c:pt>
                <c:pt idx="99">
                  <c:v>60.4</c:v>
                </c:pt>
                <c:pt idx="100">
                  <c:v>53.02</c:v>
                </c:pt>
                <c:pt idx="101">
                  <c:v>91.67</c:v>
                </c:pt>
                <c:pt idx="102">
                  <c:v>91.49</c:v>
                </c:pt>
                <c:pt idx="103">
                  <c:v>46.52</c:v>
                </c:pt>
                <c:pt idx="104">
                  <c:v>73.12</c:v>
                </c:pt>
                <c:pt idx="105">
                  <c:v>58.01</c:v>
                </c:pt>
                <c:pt idx="106">
                  <c:v>92.16</c:v>
                </c:pt>
                <c:pt idx="107">
                  <c:v>55.84</c:v>
                </c:pt>
                <c:pt idx="108">
                  <c:v>62.7</c:v>
                </c:pt>
                <c:pt idx="109">
                  <c:v>76.92</c:v>
                </c:pt>
                <c:pt idx="110">
                  <c:v>58.53</c:v>
                </c:pt>
                <c:pt idx="111">
                  <c:v>56.79</c:v>
                </c:pt>
                <c:pt idx="112">
                  <c:v>86.05</c:v>
                </c:pt>
                <c:pt idx="113">
                  <c:v>70.22</c:v>
                </c:pt>
                <c:pt idx="114">
                  <c:v>86.32</c:v>
                </c:pt>
                <c:pt idx="115">
                  <c:v>63.64</c:v>
                </c:pt>
                <c:pt idx="116">
                  <c:v>88.46</c:v>
                </c:pt>
                <c:pt idx="117">
                  <c:v>62.18</c:v>
                </c:pt>
                <c:pt idx="118">
                  <c:v>69.23</c:v>
                </c:pt>
                <c:pt idx="119">
                  <c:v>58.64</c:v>
                </c:pt>
                <c:pt idx="120">
                  <c:v>62.86</c:v>
                </c:pt>
                <c:pt idx="121">
                  <c:v>61.54</c:v>
                </c:pt>
                <c:pt idx="122">
                  <c:v>51.21</c:v>
                </c:pt>
                <c:pt idx="123">
                  <c:v>86.32</c:v>
                </c:pt>
                <c:pt idx="124">
                  <c:v>63.46</c:v>
                </c:pt>
                <c:pt idx="125">
                  <c:v>58.42</c:v>
                </c:pt>
                <c:pt idx="126">
                  <c:v>63.64</c:v>
                </c:pt>
                <c:pt idx="127">
                  <c:v>73.86</c:v>
                </c:pt>
                <c:pt idx="128">
                  <c:v>61.61</c:v>
                </c:pt>
                <c:pt idx="129">
                  <c:v>58.42</c:v>
                </c:pt>
                <c:pt idx="130">
                  <c:v>54.74</c:v>
                </c:pt>
                <c:pt idx="131">
                  <c:v>82.46</c:v>
                </c:pt>
                <c:pt idx="132">
                  <c:v>58.42</c:v>
                </c:pt>
                <c:pt idx="133">
                  <c:v>65.349999999999994</c:v>
                </c:pt>
                <c:pt idx="134">
                  <c:v>63.4</c:v>
                </c:pt>
                <c:pt idx="135">
                  <c:v>78.790000000000006</c:v>
                </c:pt>
                <c:pt idx="136">
                  <c:v>88</c:v>
                </c:pt>
                <c:pt idx="137">
                  <c:v>80.650000000000006</c:v>
                </c:pt>
                <c:pt idx="138">
                  <c:v>90.91</c:v>
                </c:pt>
                <c:pt idx="139">
                  <c:v>70.430000000000007</c:v>
                </c:pt>
                <c:pt idx="140">
                  <c:v>87.23</c:v>
                </c:pt>
                <c:pt idx="141">
                  <c:v>90.38</c:v>
                </c:pt>
                <c:pt idx="142">
                  <c:v>69.569999999999993</c:v>
                </c:pt>
                <c:pt idx="143">
                  <c:v>88.89</c:v>
                </c:pt>
                <c:pt idx="144">
                  <c:v>89.8</c:v>
                </c:pt>
                <c:pt idx="145">
                  <c:v>80.95</c:v>
                </c:pt>
                <c:pt idx="146">
                  <c:v>88</c:v>
                </c:pt>
                <c:pt idx="147">
                  <c:v>81.25</c:v>
                </c:pt>
                <c:pt idx="148">
                  <c:v>90</c:v>
                </c:pt>
                <c:pt idx="149">
                  <c:v>78.16</c:v>
                </c:pt>
                <c:pt idx="150">
                  <c:v>89.8</c:v>
                </c:pt>
                <c:pt idx="151">
                  <c:v>80.33</c:v>
                </c:pt>
                <c:pt idx="152">
                  <c:v>90</c:v>
                </c:pt>
                <c:pt idx="153">
                  <c:v>76.739999999999995</c:v>
                </c:pt>
                <c:pt idx="154">
                  <c:v>48.54</c:v>
                </c:pt>
                <c:pt idx="155">
                  <c:v>81.16</c:v>
                </c:pt>
                <c:pt idx="156">
                  <c:v>81.540000000000006</c:v>
                </c:pt>
                <c:pt idx="157">
                  <c:v>83.33</c:v>
                </c:pt>
                <c:pt idx="158">
                  <c:v>93.44</c:v>
                </c:pt>
                <c:pt idx="159">
                  <c:v>87.1</c:v>
                </c:pt>
                <c:pt idx="160">
                  <c:v>70.180000000000007</c:v>
                </c:pt>
                <c:pt idx="161">
                  <c:v>43.62</c:v>
                </c:pt>
                <c:pt idx="162">
                  <c:v>48.85</c:v>
                </c:pt>
                <c:pt idx="163">
                  <c:v>66.150000000000006</c:v>
                </c:pt>
                <c:pt idx="164">
                  <c:v>44.37</c:v>
                </c:pt>
                <c:pt idx="165">
                  <c:v>41.79</c:v>
                </c:pt>
                <c:pt idx="166">
                  <c:v>34.07</c:v>
                </c:pt>
                <c:pt idx="167">
                  <c:v>46.42</c:v>
                </c:pt>
                <c:pt idx="168">
                  <c:v>48.14</c:v>
                </c:pt>
                <c:pt idx="169">
                  <c:v>52.8</c:v>
                </c:pt>
                <c:pt idx="170">
                  <c:v>51.64</c:v>
                </c:pt>
                <c:pt idx="171">
                  <c:v>50.79</c:v>
                </c:pt>
                <c:pt idx="172">
                  <c:v>60.9</c:v>
                </c:pt>
                <c:pt idx="173">
                  <c:v>59.86</c:v>
                </c:pt>
                <c:pt idx="174">
                  <c:v>52.48</c:v>
                </c:pt>
                <c:pt idx="175">
                  <c:v>90.91</c:v>
                </c:pt>
                <c:pt idx="176">
                  <c:v>91.07</c:v>
                </c:pt>
                <c:pt idx="177">
                  <c:v>91.8</c:v>
                </c:pt>
                <c:pt idx="178">
                  <c:v>90</c:v>
                </c:pt>
                <c:pt idx="179">
                  <c:v>54.44</c:v>
                </c:pt>
                <c:pt idx="180">
                  <c:v>88.89</c:v>
                </c:pt>
                <c:pt idx="181">
                  <c:v>46.46</c:v>
                </c:pt>
                <c:pt idx="182">
                  <c:v>55.74</c:v>
                </c:pt>
                <c:pt idx="183">
                  <c:v>54.61</c:v>
                </c:pt>
                <c:pt idx="184">
                  <c:v>48.18</c:v>
                </c:pt>
                <c:pt idx="185">
                  <c:v>48.97</c:v>
                </c:pt>
                <c:pt idx="186">
                  <c:v>69.569999999999993</c:v>
                </c:pt>
                <c:pt idx="187">
                  <c:v>55.29</c:v>
                </c:pt>
                <c:pt idx="188">
                  <c:v>47.17</c:v>
                </c:pt>
                <c:pt idx="189">
                  <c:v>87.06</c:v>
                </c:pt>
                <c:pt idx="190">
                  <c:v>90.74</c:v>
                </c:pt>
                <c:pt idx="191">
                  <c:v>64.66</c:v>
                </c:pt>
                <c:pt idx="192">
                  <c:v>60.42</c:v>
                </c:pt>
                <c:pt idx="193">
                  <c:v>63.87</c:v>
                </c:pt>
                <c:pt idx="194">
                  <c:v>58.39</c:v>
                </c:pt>
                <c:pt idx="195">
                  <c:v>59.13</c:v>
                </c:pt>
                <c:pt idx="196">
                  <c:v>63.04</c:v>
                </c:pt>
                <c:pt idx="197">
                  <c:v>71.319999999999993</c:v>
                </c:pt>
                <c:pt idx="198">
                  <c:v>66.47</c:v>
                </c:pt>
                <c:pt idx="199">
                  <c:v>61.59</c:v>
                </c:pt>
                <c:pt idx="200">
                  <c:v>66.09</c:v>
                </c:pt>
                <c:pt idx="201">
                  <c:v>52.81</c:v>
                </c:pt>
                <c:pt idx="202">
                  <c:v>55.13</c:v>
                </c:pt>
                <c:pt idx="203">
                  <c:v>90.74</c:v>
                </c:pt>
                <c:pt idx="204">
                  <c:v>91.23</c:v>
                </c:pt>
                <c:pt idx="205">
                  <c:v>90.57</c:v>
                </c:pt>
                <c:pt idx="206">
                  <c:v>90.57</c:v>
                </c:pt>
                <c:pt idx="207">
                  <c:v>51.1</c:v>
                </c:pt>
                <c:pt idx="208">
                  <c:v>52.39</c:v>
                </c:pt>
                <c:pt idx="209">
                  <c:v>59.41</c:v>
                </c:pt>
                <c:pt idx="210">
                  <c:v>60.56</c:v>
                </c:pt>
                <c:pt idx="211">
                  <c:v>90</c:v>
                </c:pt>
                <c:pt idx="212">
                  <c:v>88.89</c:v>
                </c:pt>
                <c:pt idx="213">
                  <c:v>43.76</c:v>
                </c:pt>
                <c:pt idx="214">
                  <c:v>40.79</c:v>
                </c:pt>
                <c:pt idx="215">
                  <c:v>59.24</c:v>
                </c:pt>
                <c:pt idx="216">
                  <c:v>60.34</c:v>
                </c:pt>
                <c:pt idx="217">
                  <c:v>46.61</c:v>
                </c:pt>
                <c:pt idx="218">
                  <c:v>87.23</c:v>
                </c:pt>
                <c:pt idx="219">
                  <c:v>41.6</c:v>
                </c:pt>
                <c:pt idx="220">
                  <c:v>42.69</c:v>
                </c:pt>
                <c:pt idx="221">
                  <c:v>40.39</c:v>
                </c:pt>
                <c:pt idx="222">
                  <c:v>42.57</c:v>
                </c:pt>
                <c:pt idx="223">
                  <c:v>50</c:v>
                </c:pt>
                <c:pt idx="224">
                  <c:v>43.56</c:v>
                </c:pt>
                <c:pt idx="225">
                  <c:v>62.73</c:v>
                </c:pt>
                <c:pt idx="226">
                  <c:v>45.96</c:v>
                </c:pt>
                <c:pt idx="227">
                  <c:v>52.66</c:v>
                </c:pt>
                <c:pt idx="228">
                  <c:v>53.79</c:v>
                </c:pt>
                <c:pt idx="229">
                  <c:v>54.62</c:v>
                </c:pt>
                <c:pt idx="230">
                  <c:v>57.5</c:v>
                </c:pt>
                <c:pt idx="231">
                  <c:v>50</c:v>
                </c:pt>
                <c:pt idx="232">
                  <c:v>58.82</c:v>
                </c:pt>
                <c:pt idx="233">
                  <c:v>58.72</c:v>
                </c:pt>
                <c:pt idx="234">
                  <c:v>55.79</c:v>
                </c:pt>
                <c:pt idx="235">
                  <c:v>66.36</c:v>
                </c:pt>
                <c:pt idx="236">
                  <c:v>91.67</c:v>
                </c:pt>
                <c:pt idx="237">
                  <c:v>40.39</c:v>
                </c:pt>
                <c:pt idx="238">
                  <c:v>61.66</c:v>
                </c:pt>
                <c:pt idx="239">
                  <c:v>51.18</c:v>
                </c:pt>
                <c:pt idx="240">
                  <c:v>58.68</c:v>
                </c:pt>
                <c:pt idx="241">
                  <c:v>57.05</c:v>
                </c:pt>
                <c:pt idx="242">
                  <c:v>88.14</c:v>
                </c:pt>
                <c:pt idx="243">
                  <c:v>86.27</c:v>
                </c:pt>
                <c:pt idx="244">
                  <c:v>80.650000000000006</c:v>
                </c:pt>
                <c:pt idx="245">
                  <c:v>90.2</c:v>
                </c:pt>
                <c:pt idx="246">
                  <c:v>50.4</c:v>
                </c:pt>
                <c:pt idx="247">
                  <c:v>50.36</c:v>
                </c:pt>
                <c:pt idx="248">
                  <c:v>92.06</c:v>
                </c:pt>
                <c:pt idx="249">
                  <c:v>55.96</c:v>
                </c:pt>
                <c:pt idx="250">
                  <c:v>52.61</c:v>
                </c:pt>
                <c:pt idx="251">
                  <c:v>53.73</c:v>
                </c:pt>
                <c:pt idx="252">
                  <c:v>53.71</c:v>
                </c:pt>
                <c:pt idx="253">
                  <c:v>54.58</c:v>
                </c:pt>
                <c:pt idx="254">
                  <c:v>87.5</c:v>
                </c:pt>
                <c:pt idx="255">
                  <c:v>86.36</c:v>
                </c:pt>
                <c:pt idx="256">
                  <c:v>47.95</c:v>
                </c:pt>
                <c:pt idx="257">
                  <c:v>39.74</c:v>
                </c:pt>
                <c:pt idx="258">
                  <c:v>58.38</c:v>
                </c:pt>
                <c:pt idx="259">
                  <c:v>55.56</c:v>
                </c:pt>
                <c:pt idx="260">
                  <c:v>55.05</c:v>
                </c:pt>
                <c:pt idx="261">
                  <c:v>44.71</c:v>
                </c:pt>
                <c:pt idx="262">
                  <c:v>86.25</c:v>
                </c:pt>
                <c:pt idx="263">
                  <c:v>75</c:v>
                </c:pt>
                <c:pt idx="264">
                  <c:v>38.15</c:v>
                </c:pt>
                <c:pt idx="265">
                  <c:v>46.46</c:v>
                </c:pt>
                <c:pt idx="266">
                  <c:v>87.5</c:v>
                </c:pt>
                <c:pt idx="267">
                  <c:v>54.94</c:v>
                </c:pt>
                <c:pt idx="268">
                  <c:v>47.04</c:v>
                </c:pt>
                <c:pt idx="269">
                  <c:v>66.11</c:v>
                </c:pt>
                <c:pt idx="270">
                  <c:v>50.27</c:v>
                </c:pt>
                <c:pt idx="271">
                  <c:v>83.08</c:v>
                </c:pt>
                <c:pt idx="272">
                  <c:v>55.68</c:v>
                </c:pt>
                <c:pt idx="273">
                  <c:v>77.05</c:v>
                </c:pt>
                <c:pt idx="274">
                  <c:v>82.26</c:v>
                </c:pt>
                <c:pt idx="275">
                  <c:v>46.33</c:v>
                </c:pt>
                <c:pt idx="276">
                  <c:v>47.46</c:v>
                </c:pt>
                <c:pt idx="277">
                  <c:v>91.38</c:v>
                </c:pt>
                <c:pt idx="278">
                  <c:v>47.15</c:v>
                </c:pt>
                <c:pt idx="279">
                  <c:v>47.09</c:v>
                </c:pt>
                <c:pt idx="280">
                  <c:v>88.68</c:v>
                </c:pt>
                <c:pt idx="281">
                  <c:v>68.150000000000006</c:v>
                </c:pt>
                <c:pt idx="282">
                  <c:v>39.07</c:v>
                </c:pt>
                <c:pt idx="283">
                  <c:v>88.46</c:v>
                </c:pt>
                <c:pt idx="284">
                  <c:v>45.15</c:v>
                </c:pt>
                <c:pt idx="285">
                  <c:v>88.08</c:v>
                </c:pt>
                <c:pt idx="286">
                  <c:v>55.48</c:v>
                </c:pt>
                <c:pt idx="287">
                  <c:v>89.66</c:v>
                </c:pt>
                <c:pt idx="288">
                  <c:v>40.01</c:v>
                </c:pt>
                <c:pt idx="289">
                  <c:v>35.79</c:v>
                </c:pt>
                <c:pt idx="290">
                  <c:v>86.9</c:v>
                </c:pt>
                <c:pt idx="291">
                  <c:v>43.08</c:v>
                </c:pt>
                <c:pt idx="292">
                  <c:v>41.11</c:v>
                </c:pt>
                <c:pt idx="293">
                  <c:v>88.19</c:v>
                </c:pt>
                <c:pt idx="294">
                  <c:v>65.59</c:v>
                </c:pt>
                <c:pt idx="295">
                  <c:v>46.3</c:v>
                </c:pt>
                <c:pt idx="296">
                  <c:v>86.54</c:v>
                </c:pt>
                <c:pt idx="297">
                  <c:v>36.76</c:v>
                </c:pt>
                <c:pt idx="298">
                  <c:v>36.76</c:v>
                </c:pt>
                <c:pt idx="299">
                  <c:v>34.340000000000003</c:v>
                </c:pt>
                <c:pt idx="300">
                  <c:v>46.82</c:v>
                </c:pt>
                <c:pt idx="301">
                  <c:v>32.01</c:v>
                </c:pt>
                <c:pt idx="302">
                  <c:v>44.91</c:v>
                </c:pt>
                <c:pt idx="303">
                  <c:v>51.03</c:v>
                </c:pt>
                <c:pt idx="304">
                  <c:v>45.64</c:v>
                </c:pt>
                <c:pt idx="305">
                  <c:v>49.63</c:v>
                </c:pt>
                <c:pt idx="306">
                  <c:v>35.159999999999997</c:v>
                </c:pt>
                <c:pt idx="307">
                  <c:v>37.57</c:v>
                </c:pt>
                <c:pt idx="308">
                  <c:v>47.52</c:v>
                </c:pt>
                <c:pt idx="309">
                  <c:v>33.979999999999997</c:v>
                </c:pt>
                <c:pt idx="310">
                  <c:v>36.85</c:v>
                </c:pt>
                <c:pt idx="311">
                  <c:v>39.159999999999997</c:v>
                </c:pt>
                <c:pt idx="312">
                  <c:v>41.79</c:v>
                </c:pt>
                <c:pt idx="313">
                  <c:v>59.61</c:v>
                </c:pt>
                <c:pt idx="314">
                  <c:v>47.97</c:v>
                </c:pt>
                <c:pt idx="315">
                  <c:v>89.47</c:v>
                </c:pt>
                <c:pt idx="316">
                  <c:v>64.290000000000006</c:v>
                </c:pt>
                <c:pt idx="317">
                  <c:v>68.59</c:v>
                </c:pt>
                <c:pt idx="318">
                  <c:v>68.790000000000006</c:v>
                </c:pt>
                <c:pt idx="319">
                  <c:v>89.04</c:v>
                </c:pt>
                <c:pt idx="320">
                  <c:v>80.77</c:v>
                </c:pt>
                <c:pt idx="321">
                  <c:v>69.900000000000006</c:v>
                </c:pt>
                <c:pt idx="322">
                  <c:v>38.06</c:v>
                </c:pt>
                <c:pt idx="323">
                  <c:v>40.700000000000003</c:v>
                </c:pt>
                <c:pt idx="324">
                  <c:v>36.090000000000003</c:v>
                </c:pt>
                <c:pt idx="325">
                  <c:v>47.56</c:v>
                </c:pt>
                <c:pt idx="326">
                  <c:v>39.020000000000003</c:v>
                </c:pt>
                <c:pt idx="327">
                  <c:v>43.02</c:v>
                </c:pt>
                <c:pt idx="328">
                  <c:v>88.46</c:v>
                </c:pt>
                <c:pt idx="329">
                  <c:v>50.88</c:v>
                </c:pt>
                <c:pt idx="330">
                  <c:v>38.65</c:v>
                </c:pt>
                <c:pt idx="331">
                  <c:v>36.869999999999997</c:v>
                </c:pt>
                <c:pt idx="332">
                  <c:v>45.76</c:v>
                </c:pt>
                <c:pt idx="333">
                  <c:v>48.95</c:v>
                </c:pt>
                <c:pt idx="334">
                  <c:v>44.99</c:v>
                </c:pt>
                <c:pt idx="335">
                  <c:v>34.08</c:v>
                </c:pt>
                <c:pt idx="336">
                  <c:v>40.11</c:v>
                </c:pt>
                <c:pt idx="337">
                  <c:v>47.52</c:v>
                </c:pt>
                <c:pt idx="338">
                  <c:v>48.34</c:v>
                </c:pt>
                <c:pt idx="339">
                  <c:v>34.08</c:v>
                </c:pt>
                <c:pt idx="340">
                  <c:v>46.5</c:v>
                </c:pt>
                <c:pt idx="341">
                  <c:v>40.369999999999997</c:v>
                </c:pt>
                <c:pt idx="342">
                  <c:v>40.31</c:v>
                </c:pt>
                <c:pt idx="343">
                  <c:v>86.25</c:v>
                </c:pt>
                <c:pt idx="344">
                  <c:v>42.53</c:v>
                </c:pt>
                <c:pt idx="345">
                  <c:v>46.69</c:v>
                </c:pt>
                <c:pt idx="346">
                  <c:v>40.79</c:v>
                </c:pt>
                <c:pt idx="347">
                  <c:v>38.26</c:v>
                </c:pt>
                <c:pt idx="348">
                  <c:v>33.020000000000003</c:v>
                </c:pt>
                <c:pt idx="349">
                  <c:v>49.7</c:v>
                </c:pt>
                <c:pt idx="350">
                  <c:v>48.67</c:v>
                </c:pt>
                <c:pt idx="351">
                  <c:v>87.26</c:v>
                </c:pt>
                <c:pt idx="352">
                  <c:v>79.67</c:v>
                </c:pt>
                <c:pt idx="353">
                  <c:v>51.67</c:v>
                </c:pt>
                <c:pt idx="354">
                  <c:v>51.6</c:v>
                </c:pt>
                <c:pt idx="355">
                  <c:v>44.28</c:v>
                </c:pt>
                <c:pt idx="356">
                  <c:v>48.14</c:v>
                </c:pt>
                <c:pt idx="357">
                  <c:v>47.15</c:v>
                </c:pt>
                <c:pt idx="358">
                  <c:v>48.74</c:v>
                </c:pt>
                <c:pt idx="359">
                  <c:v>42.4</c:v>
                </c:pt>
                <c:pt idx="360">
                  <c:v>68.319999999999993</c:v>
                </c:pt>
                <c:pt idx="361">
                  <c:v>69.3</c:v>
                </c:pt>
                <c:pt idx="362">
                  <c:v>69.88</c:v>
                </c:pt>
                <c:pt idx="363">
                  <c:v>70.83</c:v>
                </c:pt>
                <c:pt idx="364">
                  <c:v>88.14</c:v>
                </c:pt>
                <c:pt idx="365">
                  <c:v>42.73</c:v>
                </c:pt>
                <c:pt idx="366">
                  <c:v>29.81</c:v>
                </c:pt>
                <c:pt idx="367">
                  <c:v>34.729999999999997</c:v>
                </c:pt>
                <c:pt idx="368">
                  <c:v>88.46</c:v>
                </c:pt>
                <c:pt idx="369">
                  <c:v>90</c:v>
                </c:pt>
                <c:pt idx="370">
                  <c:v>77.78</c:v>
                </c:pt>
                <c:pt idx="371">
                  <c:v>50.11</c:v>
                </c:pt>
                <c:pt idx="372">
                  <c:v>38.630000000000003</c:v>
                </c:pt>
                <c:pt idx="373">
                  <c:v>82.76</c:v>
                </c:pt>
                <c:pt idx="374">
                  <c:v>44.59</c:v>
                </c:pt>
                <c:pt idx="375">
                  <c:v>35.76</c:v>
                </c:pt>
                <c:pt idx="376">
                  <c:v>34.94</c:v>
                </c:pt>
                <c:pt idx="377">
                  <c:v>41.18</c:v>
                </c:pt>
                <c:pt idx="378">
                  <c:v>38.74</c:v>
                </c:pt>
                <c:pt idx="379">
                  <c:v>38.42</c:v>
                </c:pt>
                <c:pt idx="380">
                  <c:v>37.909999999999997</c:v>
                </c:pt>
                <c:pt idx="381">
                  <c:v>66.28</c:v>
                </c:pt>
                <c:pt idx="382">
                  <c:v>37.71</c:v>
                </c:pt>
                <c:pt idx="383">
                  <c:v>57</c:v>
                </c:pt>
                <c:pt idx="384">
                  <c:v>63.86</c:v>
                </c:pt>
                <c:pt idx="385">
                  <c:v>50.68</c:v>
                </c:pt>
                <c:pt idx="386">
                  <c:v>53.24</c:v>
                </c:pt>
                <c:pt idx="387">
                  <c:v>61.54</c:v>
                </c:pt>
                <c:pt idx="388">
                  <c:v>91.03</c:v>
                </c:pt>
                <c:pt idx="389">
                  <c:v>86</c:v>
                </c:pt>
                <c:pt idx="390">
                  <c:v>89.58</c:v>
                </c:pt>
                <c:pt idx="391">
                  <c:v>46.05</c:v>
                </c:pt>
                <c:pt idx="392">
                  <c:v>85</c:v>
                </c:pt>
                <c:pt idx="393">
                  <c:v>53.04</c:v>
                </c:pt>
                <c:pt idx="394">
                  <c:v>51.14</c:v>
                </c:pt>
                <c:pt idx="395">
                  <c:v>66.180000000000007</c:v>
                </c:pt>
                <c:pt idx="396">
                  <c:v>69.52</c:v>
                </c:pt>
                <c:pt idx="397">
                  <c:v>55.86</c:v>
                </c:pt>
                <c:pt idx="398">
                  <c:v>54.29</c:v>
                </c:pt>
                <c:pt idx="399">
                  <c:v>71.430000000000007</c:v>
                </c:pt>
                <c:pt idx="400">
                  <c:v>64.83</c:v>
                </c:pt>
                <c:pt idx="401">
                  <c:v>49.63</c:v>
                </c:pt>
                <c:pt idx="402">
                  <c:v>78.180000000000007</c:v>
                </c:pt>
                <c:pt idx="403">
                  <c:v>46.03</c:v>
                </c:pt>
                <c:pt idx="404">
                  <c:v>52.99</c:v>
                </c:pt>
                <c:pt idx="405">
                  <c:v>51.35</c:v>
                </c:pt>
                <c:pt idx="406">
                  <c:v>90.91</c:v>
                </c:pt>
                <c:pt idx="407">
                  <c:v>43.78</c:v>
                </c:pt>
                <c:pt idx="408">
                  <c:v>56.5</c:v>
                </c:pt>
                <c:pt idx="409">
                  <c:v>75.97</c:v>
                </c:pt>
                <c:pt idx="410">
                  <c:v>46.67</c:v>
                </c:pt>
                <c:pt idx="411">
                  <c:v>46.64</c:v>
                </c:pt>
                <c:pt idx="412">
                  <c:v>41.38</c:v>
                </c:pt>
                <c:pt idx="413">
                  <c:v>54.55</c:v>
                </c:pt>
                <c:pt idx="414">
                  <c:v>91.78</c:v>
                </c:pt>
                <c:pt idx="415">
                  <c:v>50.84</c:v>
                </c:pt>
                <c:pt idx="416">
                  <c:v>53.43</c:v>
                </c:pt>
                <c:pt idx="417">
                  <c:v>53.89</c:v>
                </c:pt>
                <c:pt idx="418">
                  <c:v>92.19</c:v>
                </c:pt>
                <c:pt idx="419">
                  <c:v>51.96</c:v>
                </c:pt>
                <c:pt idx="420">
                  <c:v>53.64</c:v>
                </c:pt>
                <c:pt idx="421">
                  <c:v>58.57</c:v>
                </c:pt>
                <c:pt idx="422">
                  <c:v>85</c:v>
                </c:pt>
                <c:pt idx="423">
                  <c:v>50.82</c:v>
                </c:pt>
                <c:pt idx="424">
                  <c:v>92.42</c:v>
                </c:pt>
                <c:pt idx="425">
                  <c:v>91.8</c:v>
                </c:pt>
                <c:pt idx="426">
                  <c:v>39.130000000000003</c:v>
                </c:pt>
                <c:pt idx="427">
                  <c:v>44.37</c:v>
                </c:pt>
                <c:pt idx="428">
                  <c:v>61.6</c:v>
                </c:pt>
                <c:pt idx="429">
                  <c:v>46.92</c:v>
                </c:pt>
                <c:pt idx="430">
                  <c:v>87.23</c:v>
                </c:pt>
                <c:pt idx="431">
                  <c:v>82.5</c:v>
                </c:pt>
                <c:pt idx="432">
                  <c:v>59.44</c:v>
                </c:pt>
                <c:pt idx="433">
                  <c:v>89.71</c:v>
                </c:pt>
                <c:pt idx="434">
                  <c:v>49.36</c:v>
                </c:pt>
                <c:pt idx="435">
                  <c:v>71.260000000000005</c:v>
                </c:pt>
                <c:pt idx="436">
                  <c:v>90.77</c:v>
                </c:pt>
                <c:pt idx="437">
                  <c:v>88.71</c:v>
                </c:pt>
                <c:pt idx="438">
                  <c:v>48.68</c:v>
                </c:pt>
                <c:pt idx="439">
                  <c:v>64.56</c:v>
                </c:pt>
                <c:pt idx="440">
                  <c:v>48.79</c:v>
                </c:pt>
                <c:pt idx="441">
                  <c:v>90.8</c:v>
                </c:pt>
                <c:pt idx="442">
                  <c:v>56.32</c:v>
                </c:pt>
                <c:pt idx="443">
                  <c:v>63.4</c:v>
                </c:pt>
                <c:pt idx="444">
                  <c:v>50.94</c:v>
                </c:pt>
                <c:pt idx="445">
                  <c:v>48.99</c:v>
                </c:pt>
                <c:pt idx="446">
                  <c:v>62.42</c:v>
                </c:pt>
                <c:pt idx="447">
                  <c:v>50.85</c:v>
                </c:pt>
                <c:pt idx="448">
                  <c:v>49.7</c:v>
                </c:pt>
                <c:pt idx="449">
                  <c:v>91.89</c:v>
                </c:pt>
                <c:pt idx="450">
                  <c:v>87.23</c:v>
                </c:pt>
                <c:pt idx="451">
                  <c:v>48.29</c:v>
                </c:pt>
                <c:pt idx="452">
                  <c:v>88.62</c:v>
                </c:pt>
                <c:pt idx="453">
                  <c:v>52.06</c:v>
                </c:pt>
                <c:pt idx="454">
                  <c:v>57.69</c:v>
                </c:pt>
                <c:pt idx="455">
                  <c:v>60</c:v>
                </c:pt>
                <c:pt idx="456">
                  <c:v>92.59</c:v>
                </c:pt>
                <c:pt idx="457">
                  <c:v>65.290000000000006</c:v>
                </c:pt>
                <c:pt idx="458">
                  <c:v>61.24</c:v>
                </c:pt>
                <c:pt idx="459">
                  <c:v>67.52</c:v>
                </c:pt>
                <c:pt idx="460">
                  <c:v>65.290000000000006</c:v>
                </c:pt>
                <c:pt idx="461">
                  <c:v>90.63</c:v>
                </c:pt>
                <c:pt idx="462">
                  <c:v>54.13</c:v>
                </c:pt>
                <c:pt idx="463">
                  <c:v>57.21</c:v>
                </c:pt>
                <c:pt idx="464">
                  <c:v>57.07</c:v>
                </c:pt>
                <c:pt idx="465">
                  <c:v>50.08</c:v>
                </c:pt>
                <c:pt idx="466">
                  <c:v>54.38</c:v>
                </c:pt>
                <c:pt idx="467">
                  <c:v>68.33</c:v>
                </c:pt>
                <c:pt idx="468">
                  <c:v>72</c:v>
                </c:pt>
                <c:pt idx="469">
                  <c:v>91.23</c:v>
                </c:pt>
                <c:pt idx="470">
                  <c:v>86.25</c:v>
                </c:pt>
                <c:pt idx="471">
                  <c:v>91.23</c:v>
                </c:pt>
                <c:pt idx="472">
                  <c:v>37.270000000000003</c:v>
                </c:pt>
                <c:pt idx="473">
                  <c:v>55.7</c:v>
                </c:pt>
                <c:pt idx="474">
                  <c:v>56.91</c:v>
                </c:pt>
                <c:pt idx="475">
                  <c:v>85.96</c:v>
                </c:pt>
                <c:pt idx="476">
                  <c:v>89.13</c:v>
                </c:pt>
                <c:pt idx="477">
                  <c:v>60.68</c:v>
                </c:pt>
                <c:pt idx="478">
                  <c:v>67.19</c:v>
                </c:pt>
                <c:pt idx="479">
                  <c:v>90.78</c:v>
                </c:pt>
                <c:pt idx="480">
                  <c:v>57.98</c:v>
                </c:pt>
                <c:pt idx="481">
                  <c:v>91.49</c:v>
                </c:pt>
                <c:pt idx="482">
                  <c:v>91.49</c:v>
                </c:pt>
                <c:pt idx="483">
                  <c:v>90.7</c:v>
                </c:pt>
                <c:pt idx="484">
                  <c:v>89.8</c:v>
                </c:pt>
                <c:pt idx="485">
                  <c:v>64.25</c:v>
                </c:pt>
                <c:pt idx="486">
                  <c:v>84.48</c:v>
                </c:pt>
                <c:pt idx="487">
                  <c:v>90.74</c:v>
                </c:pt>
                <c:pt idx="488">
                  <c:v>85.9</c:v>
                </c:pt>
                <c:pt idx="489">
                  <c:v>86.21</c:v>
                </c:pt>
                <c:pt idx="490">
                  <c:v>91.49</c:v>
                </c:pt>
                <c:pt idx="491">
                  <c:v>60.07</c:v>
                </c:pt>
                <c:pt idx="492">
                  <c:v>48.39</c:v>
                </c:pt>
                <c:pt idx="493">
                  <c:v>91.49</c:v>
                </c:pt>
                <c:pt idx="494">
                  <c:v>50</c:v>
                </c:pt>
                <c:pt idx="495">
                  <c:v>90.24</c:v>
                </c:pt>
                <c:pt idx="496">
                  <c:v>51.43</c:v>
                </c:pt>
                <c:pt idx="497">
                  <c:v>86.96</c:v>
                </c:pt>
                <c:pt idx="498">
                  <c:v>50.32</c:v>
                </c:pt>
                <c:pt idx="499">
                  <c:v>45.45</c:v>
                </c:pt>
                <c:pt idx="500">
                  <c:v>58.52</c:v>
                </c:pt>
                <c:pt idx="501">
                  <c:v>52.7</c:v>
                </c:pt>
                <c:pt idx="502">
                  <c:v>47.19</c:v>
                </c:pt>
                <c:pt idx="503">
                  <c:v>92</c:v>
                </c:pt>
                <c:pt idx="504">
                  <c:v>44.37</c:v>
                </c:pt>
                <c:pt idx="505">
                  <c:v>90.38</c:v>
                </c:pt>
                <c:pt idx="506">
                  <c:v>91.01</c:v>
                </c:pt>
                <c:pt idx="507">
                  <c:v>88.35</c:v>
                </c:pt>
                <c:pt idx="508">
                  <c:v>48.94</c:v>
                </c:pt>
                <c:pt idx="509">
                  <c:v>54.21</c:v>
                </c:pt>
                <c:pt idx="510">
                  <c:v>43.55</c:v>
                </c:pt>
                <c:pt idx="511">
                  <c:v>53.77</c:v>
                </c:pt>
                <c:pt idx="512">
                  <c:v>91.43</c:v>
                </c:pt>
                <c:pt idx="513">
                  <c:v>88.68</c:v>
                </c:pt>
                <c:pt idx="514">
                  <c:v>80.650000000000006</c:v>
                </c:pt>
                <c:pt idx="515">
                  <c:v>80.650000000000006</c:v>
                </c:pt>
                <c:pt idx="516">
                  <c:v>80.650000000000006</c:v>
                </c:pt>
                <c:pt idx="517">
                  <c:v>80.33</c:v>
                </c:pt>
                <c:pt idx="518">
                  <c:v>80.95</c:v>
                </c:pt>
                <c:pt idx="519">
                  <c:v>79.66</c:v>
                </c:pt>
                <c:pt idx="520">
                  <c:v>44.72</c:v>
                </c:pt>
                <c:pt idx="521">
                  <c:v>88.99</c:v>
                </c:pt>
                <c:pt idx="522">
                  <c:v>52.47</c:v>
                </c:pt>
                <c:pt idx="523">
                  <c:v>89.7</c:v>
                </c:pt>
                <c:pt idx="524">
                  <c:v>52.59</c:v>
                </c:pt>
                <c:pt idx="525">
                  <c:v>54.3</c:v>
                </c:pt>
                <c:pt idx="526">
                  <c:v>48.42</c:v>
                </c:pt>
                <c:pt idx="527">
                  <c:v>46.93</c:v>
                </c:pt>
                <c:pt idx="528">
                  <c:v>60.26</c:v>
                </c:pt>
                <c:pt idx="529">
                  <c:v>54.19</c:v>
                </c:pt>
                <c:pt idx="530">
                  <c:v>88.46</c:v>
                </c:pt>
                <c:pt idx="531">
                  <c:v>60.37</c:v>
                </c:pt>
                <c:pt idx="532">
                  <c:v>87.88</c:v>
                </c:pt>
                <c:pt idx="533">
                  <c:v>32.42</c:v>
                </c:pt>
                <c:pt idx="534">
                  <c:v>49.81</c:v>
                </c:pt>
                <c:pt idx="535">
                  <c:v>58.41</c:v>
                </c:pt>
                <c:pt idx="536">
                  <c:v>88.75</c:v>
                </c:pt>
                <c:pt idx="537">
                  <c:v>44.29</c:v>
                </c:pt>
                <c:pt idx="538">
                  <c:v>70.069999999999993</c:v>
                </c:pt>
                <c:pt idx="539">
                  <c:v>57.01</c:v>
                </c:pt>
                <c:pt idx="540">
                  <c:v>53.14</c:v>
                </c:pt>
                <c:pt idx="541">
                  <c:v>57.31</c:v>
                </c:pt>
                <c:pt idx="542">
                  <c:v>55.53</c:v>
                </c:pt>
                <c:pt idx="543">
                  <c:v>52.91</c:v>
                </c:pt>
                <c:pt idx="544">
                  <c:v>53.79</c:v>
                </c:pt>
                <c:pt idx="545">
                  <c:v>51.72</c:v>
                </c:pt>
                <c:pt idx="546">
                  <c:v>44.26</c:v>
                </c:pt>
                <c:pt idx="547">
                  <c:v>59.03</c:v>
                </c:pt>
                <c:pt idx="548">
                  <c:v>60.47</c:v>
                </c:pt>
                <c:pt idx="549">
                  <c:v>70.08</c:v>
                </c:pt>
                <c:pt idx="550">
                  <c:v>58.81</c:v>
                </c:pt>
                <c:pt idx="551">
                  <c:v>55</c:v>
                </c:pt>
                <c:pt idx="552">
                  <c:v>69.53</c:v>
                </c:pt>
                <c:pt idx="553">
                  <c:v>53.33</c:v>
                </c:pt>
                <c:pt idx="554">
                  <c:v>54.73</c:v>
                </c:pt>
                <c:pt idx="555">
                  <c:v>89.47</c:v>
                </c:pt>
                <c:pt idx="556">
                  <c:v>87.5</c:v>
                </c:pt>
                <c:pt idx="557">
                  <c:v>87.76</c:v>
                </c:pt>
                <c:pt idx="558">
                  <c:v>60.71</c:v>
                </c:pt>
                <c:pt idx="559">
                  <c:v>48</c:v>
                </c:pt>
                <c:pt idx="560">
                  <c:v>49.64</c:v>
                </c:pt>
                <c:pt idx="561">
                  <c:v>48.29</c:v>
                </c:pt>
                <c:pt idx="562">
                  <c:v>51.28</c:v>
                </c:pt>
                <c:pt idx="563">
                  <c:v>65.260000000000005</c:v>
                </c:pt>
                <c:pt idx="564">
                  <c:v>47.08</c:v>
                </c:pt>
                <c:pt idx="565">
                  <c:v>59</c:v>
                </c:pt>
                <c:pt idx="566">
                  <c:v>49.24</c:v>
                </c:pt>
                <c:pt idx="567">
                  <c:v>61.68</c:v>
                </c:pt>
                <c:pt idx="568">
                  <c:v>88.68</c:v>
                </c:pt>
                <c:pt idx="569">
                  <c:v>92.31</c:v>
                </c:pt>
                <c:pt idx="570">
                  <c:v>91.53</c:v>
                </c:pt>
                <c:pt idx="571">
                  <c:v>91.3</c:v>
                </c:pt>
                <c:pt idx="572">
                  <c:v>60.33</c:v>
                </c:pt>
                <c:pt idx="573">
                  <c:v>58.21</c:v>
                </c:pt>
                <c:pt idx="574">
                  <c:v>54.04</c:v>
                </c:pt>
                <c:pt idx="575">
                  <c:v>84.21</c:v>
                </c:pt>
                <c:pt idx="576">
                  <c:v>58.94</c:v>
                </c:pt>
                <c:pt idx="577">
                  <c:v>62.41</c:v>
                </c:pt>
                <c:pt idx="578">
                  <c:v>62.81</c:v>
                </c:pt>
                <c:pt idx="579">
                  <c:v>65.790000000000006</c:v>
                </c:pt>
                <c:pt idx="580">
                  <c:v>59.18</c:v>
                </c:pt>
                <c:pt idx="581">
                  <c:v>64.66</c:v>
                </c:pt>
                <c:pt idx="582">
                  <c:v>68.89</c:v>
                </c:pt>
                <c:pt idx="583">
                  <c:v>78.33</c:v>
                </c:pt>
                <c:pt idx="584">
                  <c:v>62.66</c:v>
                </c:pt>
                <c:pt idx="585">
                  <c:v>61.06</c:v>
                </c:pt>
                <c:pt idx="586">
                  <c:v>62.48</c:v>
                </c:pt>
                <c:pt idx="587">
                  <c:v>60</c:v>
                </c:pt>
                <c:pt idx="588">
                  <c:v>49.66</c:v>
                </c:pt>
                <c:pt idx="589">
                  <c:v>52.79</c:v>
                </c:pt>
                <c:pt idx="590">
                  <c:v>58.77</c:v>
                </c:pt>
                <c:pt idx="591">
                  <c:v>60.7</c:v>
                </c:pt>
                <c:pt idx="592">
                  <c:v>91.97</c:v>
                </c:pt>
                <c:pt idx="593">
                  <c:v>58.72</c:v>
                </c:pt>
                <c:pt idx="594">
                  <c:v>89.69</c:v>
                </c:pt>
                <c:pt idx="595">
                  <c:v>62.5</c:v>
                </c:pt>
                <c:pt idx="596">
                  <c:v>60.29</c:v>
                </c:pt>
                <c:pt idx="597">
                  <c:v>73.28</c:v>
                </c:pt>
                <c:pt idx="598">
                  <c:v>57.69</c:v>
                </c:pt>
                <c:pt idx="599">
                  <c:v>91.28</c:v>
                </c:pt>
                <c:pt idx="600">
                  <c:v>92.98</c:v>
                </c:pt>
                <c:pt idx="601">
                  <c:v>64.44</c:v>
                </c:pt>
                <c:pt idx="602">
                  <c:v>69.23</c:v>
                </c:pt>
                <c:pt idx="603">
                  <c:v>72.84</c:v>
                </c:pt>
                <c:pt idx="604">
                  <c:v>62.05</c:v>
                </c:pt>
                <c:pt idx="605">
                  <c:v>91.78</c:v>
                </c:pt>
                <c:pt idx="606">
                  <c:v>92.54</c:v>
                </c:pt>
                <c:pt idx="607">
                  <c:v>67.31</c:v>
                </c:pt>
                <c:pt idx="608">
                  <c:v>75.31</c:v>
                </c:pt>
                <c:pt idx="609">
                  <c:v>61.11</c:v>
                </c:pt>
                <c:pt idx="610">
                  <c:v>91.67</c:v>
                </c:pt>
                <c:pt idx="611">
                  <c:v>64.790000000000006</c:v>
                </c:pt>
                <c:pt idx="612">
                  <c:v>54.19</c:v>
                </c:pt>
                <c:pt idx="613">
                  <c:v>58.11</c:v>
                </c:pt>
                <c:pt idx="614">
                  <c:v>89.81</c:v>
                </c:pt>
                <c:pt idx="615">
                  <c:v>69.709999999999994</c:v>
                </c:pt>
                <c:pt idx="616">
                  <c:v>89.09</c:v>
                </c:pt>
                <c:pt idx="617">
                  <c:v>59.44</c:v>
                </c:pt>
                <c:pt idx="618">
                  <c:v>58.21</c:v>
                </c:pt>
                <c:pt idx="619">
                  <c:v>74.069999999999993</c:v>
                </c:pt>
                <c:pt idx="620">
                  <c:v>63.03</c:v>
                </c:pt>
                <c:pt idx="621">
                  <c:v>49.28</c:v>
                </c:pt>
                <c:pt idx="622">
                  <c:v>89.29</c:v>
                </c:pt>
                <c:pt idx="623">
                  <c:v>52.35</c:v>
                </c:pt>
                <c:pt idx="624">
                  <c:v>47.6</c:v>
                </c:pt>
                <c:pt idx="625">
                  <c:v>91.67</c:v>
                </c:pt>
                <c:pt idx="626">
                  <c:v>63.39</c:v>
                </c:pt>
                <c:pt idx="627">
                  <c:v>64.08</c:v>
                </c:pt>
                <c:pt idx="628">
                  <c:v>76.069999999999993</c:v>
                </c:pt>
                <c:pt idx="629">
                  <c:v>61.99</c:v>
                </c:pt>
                <c:pt idx="630">
                  <c:v>91.78</c:v>
                </c:pt>
                <c:pt idx="631">
                  <c:v>64.66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D5A-49AC-9508-847B1719B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323049"/>
        <c:axId val="35747561"/>
      </c:scatterChart>
      <c:valAx>
        <c:axId val="177832304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CA" b="0">
                    <a:solidFill>
                      <a:srgbClr val="000000"/>
                    </a:solidFill>
                    <a:latin typeface="+mn-lt"/>
                  </a:rPr>
                  <a:t>NoCom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5747561"/>
        <c:crosses val="autoZero"/>
        <c:crossBetween val="midCat"/>
      </c:valAx>
      <c:valAx>
        <c:axId val="357475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CA" b="0">
                    <a:solidFill>
                      <a:srgbClr val="000000"/>
                    </a:solidFill>
                    <a:latin typeface="+mn-lt"/>
                  </a:rPr>
                  <a:t>DCP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78323049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CA" b="0">
                <a:solidFill>
                  <a:srgbClr val="757575"/>
                </a:solidFill>
                <a:latin typeface="+mn-lt"/>
              </a:rPr>
              <a:t>DCP vs NCLOC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data!$D$1</c:f>
              <c:strCache>
                <c:ptCount val="1"/>
                <c:pt idx="0">
                  <c:v>DCP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000000"/>
                </a:solidFill>
              </a:ln>
            </c:spPr>
            <c:trendlineType val="log"/>
            <c:dispRSqr val="0"/>
            <c:dispEq val="0"/>
          </c:trendline>
          <c:xVal>
            <c:numRef>
              <c:f>data!$C$2:$C$633</c:f>
              <c:numCache>
                <c:formatCode>General</c:formatCode>
                <c:ptCount val="632"/>
                <c:pt idx="0">
                  <c:v>68</c:v>
                </c:pt>
                <c:pt idx="1">
                  <c:v>77</c:v>
                </c:pt>
                <c:pt idx="2">
                  <c:v>7</c:v>
                </c:pt>
                <c:pt idx="3">
                  <c:v>10</c:v>
                </c:pt>
                <c:pt idx="4">
                  <c:v>198</c:v>
                </c:pt>
                <c:pt idx="5">
                  <c:v>238</c:v>
                </c:pt>
                <c:pt idx="6">
                  <c:v>123</c:v>
                </c:pt>
                <c:pt idx="7">
                  <c:v>137</c:v>
                </c:pt>
                <c:pt idx="8">
                  <c:v>11</c:v>
                </c:pt>
                <c:pt idx="9">
                  <c:v>7</c:v>
                </c:pt>
                <c:pt idx="10">
                  <c:v>176</c:v>
                </c:pt>
                <c:pt idx="11">
                  <c:v>159</c:v>
                </c:pt>
                <c:pt idx="12">
                  <c:v>143</c:v>
                </c:pt>
                <c:pt idx="13">
                  <c:v>134</c:v>
                </c:pt>
                <c:pt idx="14">
                  <c:v>180</c:v>
                </c:pt>
                <c:pt idx="15">
                  <c:v>252</c:v>
                </c:pt>
                <c:pt idx="16">
                  <c:v>171</c:v>
                </c:pt>
                <c:pt idx="17">
                  <c:v>152</c:v>
                </c:pt>
                <c:pt idx="18">
                  <c:v>282</c:v>
                </c:pt>
                <c:pt idx="19">
                  <c:v>212</c:v>
                </c:pt>
                <c:pt idx="20">
                  <c:v>6</c:v>
                </c:pt>
                <c:pt idx="21">
                  <c:v>5</c:v>
                </c:pt>
                <c:pt idx="22">
                  <c:v>6</c:v>
                </c:pt>
                <c:pt idx="23">
                  <c:v>5</c:v>
                </c:pt>
                <c:pt idx="24">
                  <c:v>80</c:v>
                </c:pt>
                <c:pt idx="25">
                  <c:v>95</c:v>
                </c:pt>
                <c:pt idx="26">
                  <c:v>42</c:v>
                </c:pt>
                <c:pt idx="27">
                  <c:v>245</c:v>
                </c:pt>
                <c:pt idx="28">
                  <c:v>12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6</c:v>
                </c:pt>
                <c:pt idx="33">
                  <c:v>6</c:v>
                </c:pt>
                <c:pt idx="34">
                  <c:v>789</c:v>
                </c:pt>
                <c:pt idx="35">
                  <c:v>49</c:v>
                </c:pt>
                <c:pt idx="36">
                  <c:v>6</c:v>
                </c:pt>
                <c:pt idx="37">
                  <c:v>26</c:v>
                </c:pt>
                <c:pt idx="38">
                  <c:v>189</c:v>
                </c:pt>
                <c:pt idx="39">
                  <c:v>66</c:v>
                </c:pt>
                <c:pt idx="40">
                  <c:v>6</c:v>
                </c:pt>
                <c:pt idx="41">
                  <c:v>726</c:v>
                </c:pt>
                <c:pt idx="42">
                  <c:v>99</c:v>
                </c:pt>
                <c:pt idx="43">
                  <c:v>217</c:v>
                </c:pt>
                <c:pt idx="44">
                  <c:v>5</c:v>
                </c:pt>
                <c:pt idx="45">
                  <c:v>55</c:v>
                </c:pt>
                <c:pt idx="46">
                  <c:v>48</c:v>
                </c:pt>
                <c:pt idx="47">
                  <c:v>653</c:v>
                </c:pt>
                <c:pt idx="48">
                  <c:v>1063</c:v>
                </c:pt>
                <c:pt idx="49">
                  <c:v>42</c:v>
                </c:pt>
                <c:pt idx="50">
                  <c:v>6</c:v>
                </c:pt>
                <c:pt idx="51">
                  <c:v>140</c:v>
                </c:pt>
                <c:pt idx="52">
                  <c:v>18</c:v>
                </c:pt>
                <c:pt idx="53">
                  <c:v>106</c:v>
                </c:pt>
                <c:pt idx="54">
                  <c:v>561</c:v>
                </c:pt>
                <c:pt idx="55">
                  <c:v>565</c:v>
                </c:pt>
                <c:pt idx="56">
                  <c:v>14</c:v>
                </c:pt>
                <c:pt idx="57">
                  <c:v>133</c:v>
                </c:pt>
                <c:pt idx="58">
                  <c:v>215</c:v>
                </c:pt>
                <c:pt idx="59">
                  <c:v>98</c:v>
                </c:pt>
                <c:pt idx="60">
                  <c:v>597</c:v>
                </c:pt>
                <c:pt idx="61">
                  <c:v>19</c:v>
                </c:pt>
                <c:pt idx="62">
                  <c:v>55</c:v>
                </c:pt>
                <c:pt idx="63">
                  <c:v>157</c:v>
                </c:pt>
                <c:pt idx="64">
                  <c:v>670</c:v>
                </c:pt>
                <c:pt idx="65">
                  <c:v>158</c:v>
                </c:pt>
                <c:pt idx="66">
                  <c:v>81</c:v>
                </c:pt>
                <c:pt idx="67">
                  <c:v>39</c:v>
                </c:pt>
                <c:pt idx="68">
                  <c:v>233</c:v>
                </c:pt>
                <c:pt idx="69">
                  <c:v>423</c:v>
                </c:pt>
                <c:pt idx="70">
                  <c:v>65</c:v>
                </c:pt>
                <c:pt idx="71">
                  <c:v>5</c:v>
                </c:pt>
                <c:pt idx="72">
                  <c:v>64</c:v>
                </c:pt>
                <c:pt idx="73">
                  <c:v>72</c:v>
                </c:pt>
                <c:pt idx="74">
                  <c:v>6</c:v>
                </c:pt>
                <c:pt idx="75">
                  <c:v>11</c:v>
                </c:pt>
                <c:pt idx="76">
                  <c:v>767</c:v>
                </c:pt>
                <c:pt idx="77">
                  <c:v>42</c:v>
                </c:pt>
                <c:pt idx="78">
                  <c:v>259</c:v>
                </c:pt>
                <c:pt idx="79">
                  <c:v>7</c:v>
                </c:pt>
                <c:pt idx="80">
                  <c:v>13</c:v>
                </c:pt>
                <c:pt idx="81">
                  <c:v>101</c:v>
                </c:pt>
                <c:pt idx="82">
                  <c:v>126</c:v>
                </c:pt>
                <c:pt idx="83">
                  <c:v>9</c:v>
                </c:pt>
                <c:pt idx="84">
                  <c:v>30</c:v>
                </c:pt>
                <c:pt idx="85">
                  <c:v>15</c:v>
                </c:pt>
                <c:pt idx="86">
                  <c:v>382</c:v>
                </c:pt>
                <c:pt idx="87">
                  <c:v>140</c:v>
                </c:pt>
                <c:pt idx="88">
                  <c:v>72</c:v>
                </c:pt>
                <c:pt idx="89">
                  <c:v>208</c:v>
                </c:pt>
                <c:pt idx="90">
                  <c:v>33</c:v>
                </c:pt>
                <c:pt idx="91">
                  <c:v>4</c:v>
                </c:pt>
                <c:pt idx="92">
                  <c:v>5</c:v>
                </c:pt>
                <c:pt idx="93">
                  <c:v>234</c:v>
                </c:pt>
                <c:pt idx="94">
                  <c:v>242</c:v>
                </c:pt>
                <c:pt idx="95">
                  <c:v>179</c:v>
                </c:pt>
                <c:pt idx="96">
                  <c:v>6</c:v>
                </c:pt>
                <c:pt idx="97">
                  <c:v>118</c:v>
                </c:pt>
                <c:pt idx="98">
                  <c:v>149</c:v>
                </c:pt>
                <c:pt idx="99">
                  <c:v>59</c:v>
                </c:pt>
                <c:pt idx="100">
                  <c:v>70</c:v>
                </c:pt>
                <c:pt idx="101">
                  <c:v>4</c:v>
                </c:pt>
                <c:pt idx="102">
                  <c:v>4</c:v>
                </c:pt>
                <c:pt idx="103">
                  <c:v>1000</c:v>
                </c:pt>
                <c:pt idx="104">
                  <c:v>25</c:v>
                </c:pt>
                <c:pt idx="105">
                  <c:v>97</c:v>
                </c:pt>
                <c:pt idx="106">
                  <c:v>4</c:v>
                </c:pt>
                <c:pt idx="107">
                  <c:v>102</c:v>
                </c:pt>
                <c:pt idx="108">
                  <c:v>235</c:v>
                </c:pt>
                <c:pt idx="109">
                  <c:v>15</c:v>
                </c:pt>
                <c:pt idx="110">
                  <c:v>355</c:v>
                </c:pt>
                <c:pt idx="111">
                  <c:v>175</c:v>
                </c:pt>
                <c:pt idx="112">
                  <c:v>6</c:v>
                </c:pt>
                <c:pt idx="113">
                  <c:v>53</c:v>
                </c:pt>
                <c:pt idx="114">
                  <c:v>13</c:v>
                </c:pt>
                <c:pt idx="115">
                  <c:v>52</c:v>
                </c:pt>
                <c:pt idx="116">
                  <c:v>6</c:v>
                </c:pt>
                <c:pt idx="117">
                  <c:v>59</c:v>
                </c:pt>
                <c:pt idx="118">
                  <c:v>36</c:v>
                </c:pt>
                <c:pt idx="119">
                  <c:v>79</c:v>
                </c:pt>
                <c:pt idx="120">
                  <c:v>65</c:v>
                </c:pt>
                <c:pt idx="121">
                  <c:v>45</c:v>
                </c:pt>
                <c:pt idx="122">
                  <c:v>181</c:v>
                </c:pt>
                <c:pt idx="123">
                  <c:v>13</c:v>
                </c:pt>
                <c:pt idx="124">
                  <c:v>38</c:v>
                </c:pt>
                <c:pt idx="125">
                  <c:v>79</c:v>
                </c:pt>
                <c:pt idx="126">
                  <c:v>56</c:v>
                </c:pt>
                <c:pt idx="127">
                  <c:v>23</c:v>
                </c:pt>
                <c:pt idx="128">
                  <c:v>81</c:v>
                </c:pt>
                <c:pt idx="129">
                  <c:v>79</c:v>
                </c:pt>
                <c:pt idx="130">
                  <c:v>86</c:v>
                </c:pt>
                <c:pt idx="131">
                  <c:v>10</c:v>
                </c:pt>
                <c:pt idx="132">
                  <c:v>79</c:v>
                </c:pt>
                <c:pt idx="133">
                  <c:v>35</c:v>
                </c:pt>
                <c:pt idx="134">
                  <c:v>56</c:v>
                </c:pt>
                <c:pt idx="135">
                  <c:v>14</c:v>
                </c:pt>
                <c:pt idx="136">
                  <c:v>6</c:v>
                </c:pt>
                <c:pt idx="137">
                  <c:v>12</c:v>
                </c:pt>
                <c:pt idx="138">
                  <c:v>5</c:v>
                </c:pt>
                <c:pt idx="139">
                  <c:v>34</c:v>
                </c:pt>
                <c:pt idx="140">
                  <c:v>6</c:v>
                </c:pt>
                <c:pt idx="141">
                  <c:v>5</c:v>
                </c:pt>
                <c:pt idx="142">
                  <c:v>35</c:v>
                </c:pt>
                <c:pt idx="143">
                  <c:v>5</c:v>
                </c:pt>
                <c:pt idx="144">
                  <c:v>5</c:v>
                </c:pt>
                <c:pt idx="145">
                  <c:v>12</c:v>
                </c:pt>
                <c:pt idx="146">
                  <c:v>6</c:v>
                </c:pt>
                <c:pt idx="147">
                  <c:v>12</c:v>
                </c:pt>
                <c:pt idx="148">
                  <c:v>5</c:v>
                </c:pt>
                <c:pt idx="149">
                  <c:v>19</c:v>
                </c:pt>
                <c:pt idx="150">
                  <c:v>5</c:v>
                </c:pt>
                <c:pt idx="151">
                  <c:v>12</c:v>
                </c:pt>
                <c:pt idx="152">
                  <c:v>5</c:v>
                </c:pt>
                <c:pt idx="153">
                  <c:v>20</c:v>
                </c:pt>
                <c:pt idx="154">
                  <c:v>123</c:v>
                </c:pt>
                <c:pt idx="155">
                  <c:v>13</c:v>
                </c:pt>
                <c:pt idx="156">
                  <c:v>12</c:v>
                </c:pt>
                <c:pt idx="157">
                  <c:v>11</c:v>
                </c:pt>
                <c:pt idx="158">
                  <c:v>4</c:v>
                </c:pt>
                <c:pt idx="159">
                  <c:v>8</c:v>
                </c:pt>
                <c:pt idx="160">
                  <c:v>34</c:v>
                </c:pt>
                <c:pt idx="161">
                  <c:v>106</c:v>
                </c:pt>
                <c:pt idx="162">
                  <c:v>89</c:v>
                </c:pt>
                <c:pt idx="163">
                  <c:v>65</c:v>
                </c:pt>
                <c:pt idx="164">
                  <c:v>84</c:v>
                </c:pt>
                <c:pt idx="165">
                  <c:v>117</c:v>
                </c:pt>
                <c:pt idx="166">
                  <c:v>418</c:v>
                </c:pt>
                <c:pt idx="167">
                  <c:v>262</c:v>
                </c:pt>
                <c:pt idx="168">
                  <c:v>780</c:v>
                </c:pt>
                <c:pt idx="169">
                  <c:v>135</c:v>
                </c:pt>
                <c:pt idx="170">
                  <c:v>103</c:v>
                </c:pt>
                <c:pt idx="171">
                  <c:v>155</c:v>
                </c:pt>
                <c:pt idx="172">
                  <c:v>52</c:v>
                </c:pt>
                <c:pt idx="173">
                  <c:v>57</c:v>
                </c:pt>
                <c:pt idx="174">
                  <c:v>115</c:v>
                </c:pt>
                <c:pt idx="175">
                  <c:v>7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77</c:v>
                </c:pt>
                <c:pt idx="180">
                  <c:v>6</c:v>
                </c:pt>
                <c:pt idx="181">
                  <c:v>106</c:v>
                </c:pt>
                <c:pt idx="182">
                  <c:v>54</c:v>
                </c:pt>
                <c:pt idx="183">
                  <c:v>64</c:v>
                </c:pt>
                <c:pt idx="184">
                  <c:v>128</c:v>
                </c:pt>
                <c:pt idx="185">
                  <c:v>124</c:v>
                </c:pt>
                <c:pt idx="186">
                  <c:v>28</c:v>
                </c:pt>
                <c:pt idx="187">
                  <c:v>76</c:v>
                </c:pt>
                <c:pt idx="188">
                  <c:v>112</c:v>
                </c:pt>
                <c:pt idx="189">
                  <c:v>11</c:v>
                </c:pt>
                <c:pt idx="190">
                  <c:v>5</c:v>
                </c:pt>
                <c:pt idx="191">
                  <c:v>47</c:v>
                </c:pt>
                <c:pt idx="192">
                  <c:v>57</c:v>
                </c:pt>
                <c:pt idx="193">
                  <c:v>43</c:v>
                </c:pt>
                <c:pt idx="194">
                  <c:v>57</c:v>
                </c:pt>
                <c:pt idx="195">
                  <c:v>47</c:v>
                </c:pt>
                <c:pt idx="196">
                  <c:v>85</c:v>
                </c:pt>
                <c:pt idx="197">
                  <c:v>37</c:v>
                </c:pt>
                <c:pt idx="198">
                  <c:v>58</c:v>
                </c:pt>
                <c:pt idx="199">
                  <c:v>58</c:v>
                </c:pt>
                <c:pt idx="200">
                  <c:v>59</c:v>
                </c:pt>
                <c:pt idx="201">
                  <c:v>109</c:v>
                </c:pt>
                <c:pt idx="202">
                  <c:v>70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334</c:v>
                </c:pt>
                <c:pt idx="208">
                  <c:v>468</c:v>
                </c:pt>
                <c:pt idx="209">
                  <c:v>69</c:v>
                </c:pt>
                <c:pt idx="210">
                  <c:v>56</c:v>
                </c:pt>
                <c:pt idx="211">
                  <c:v>5</c:v>
                </c:pt>
                <c:pt idx="212">
                  <c:v>5</c:v>
                </c:pt>
                <c:pt idx="213">
                  <c:v>347</c:v>
                </c:pt>
                <c:pt idx="214">
                  <c:v>392</c:v>
                </c:pt>
                <c:pt idx="215">
                  <c:v>64</c:v>
                </c:pt>
                <c:pt idx="216">
                  <c:v>69</c:v>
                </c:pt>
                <c:pt idx="217">
                  <c:v>2415</c:v>
                </c:pt>
                <c:pt idx="218">
                  <c:v>6</c:v>
                </c:pt>
                <c:pt idx="219">
                  <c:v>358</c:v>
                </c:pt>
                <c:pt idx="220">
                  <c:v>396</c:v>
                </c:pt>
                <c:pt idx="221">
                  <c:v>307</c:v>
                </c:pt>
                <c:pt idx="222">
                  <c:v>371</c:v>
                </c:pt>
                <c:pt idx="223">
                  <c:v>78</c:v>
                </c:pt>
                <c:pt idx="224">
                  <c:v>438</c:v>
                </c:pt>
                <c:pt idx="225">
                  <c:v>41</c:v>
                </c:pt>
                <c:pt idx="226">
                  <c:v>87</c:v>
                </c:pt>
                <c:pt idx="227">
                  <c:v>178</c:v>
                </c:pt>
                <c:pt idx="228">
                  <c:v>61</c:v>
                </c:pt>
                <c:pt idx="229">
                  <c:v>59</c:v>
                </c:pt>
                <c:pt idx="230">
                  <c:v>51</c:v>
                </c:pt>
                <c:pt idx="231">
                  <c:v>70</c:v>
                </c:pt>
                <c:pt idx="232">
                  <c:v>49</c:v>
                </c:pt>
                <c:pt idx="233">
                  <c:v>45</c:v>
                </c:pt>
                <c:pt idx="234">
                  <c:v>298</c:v>
                </c:pt>
                <c:pt idx="235">
                  <c:v>109</c:v>
                </c:pt>
                <c:pt idx="236">
                  <c:v>5</c:v>
                </c:pt>
                <c:pt idx="237">
                  <c:v>276</c:v>
                </c:pt>
                <c:pt idx="238">
                  <c:v>74</c:v>
                </c:pt>
                <c:pt idx="239">
                  <c:v>228</c:v>
                </c:pt>
                <c:pt idx="240">
                  <c:v>100</c:v>
                </c:pt>
                <c:pt idx="241">
                  <c:v>131</c:v>
                </c:pt>
                <c:pt idx="242">
                  <c:v>7</c:v>
                </c:pt>
                <c:pt idx="243">
                  <c:v>14</c:v>
                </c:pt>
                <c:pt idx="244">
                  <c:v>12</c:v>
                </c:pt>
                <c:pt idx="245">
                  <c:v>5</c:v>
                </c:pt>
                <c:pt idx="246">
                  <c:v>373</c:v>
                </c:pt>
                <c:pt idx="247">
                  <c:v>279</c:v>
                </c:pt>
                <c:pt idx="248">
                  <c:v>5</c:v>
                </c:pt>
                <c:pt idx="249">
                  <c:v>159</c:v>
                </c:pt>
                <c:pt idx="250">
                  <c:v>327</c:v>
                </c:pt>
                <c:pt idx="251">
                  <c:v>149</c:v>
                </c:pt>
                <c:pt idx="252">
                  <c:v>181</c:v>
                </c:pt>
                <c:pt idx="253">
                  <c:v>417</c:v>
                </c:pt>
                <c:pt idx="254">
                  <c:v>6</c:v>
                </c:pt>
                <c:pt idx="255">
                  <c:v>12</c:v>
                </c:pt>
                <c:pt idx="256">
                  <c:v>507</c:v>
                </c:pt>
                <c:pt idx="257">
                  <c:v>455</c:v>
                </c:pt>
                <c:pt idx="258">
                  <c:v>82</c:v>
                </c:pt>
                <c:pt idx="259">
                  <c:v>268</c:v>
                </c:pt>
                <c:pt idx="260">
                  <c:v>89</c:v>
                </c:pt>
                <c:pt idx="261">
                  <c:v>643</c:v>
                </c:pt>
                <c:pt idx="262">
                  <c:v>11</c:v>
                </c:pt>
                <c:pt idx="263">
                  <c:v>24</c:v>
                </c:pt>
                <c:pt idx="264">
                  <c:v>355</c:v>
                </c:pt>
                <c:pt idx="265">
                  <c:v>106</c:v>
                </c:pt>
                <c:pt idx="266">
                  <c:v>6</c:v>
                </c:pt>
                <c:pt idx="267">
                  <c:v>114</c:v>
                </c:pt>
                <c:pt idx="268">
                  <c:v>1547</c:v>
                </c:pt>
                <c:pt idx="269">
                  <c:v>81</c:v>
                </c:pt>
                <c:pt idx="270">
                  <c:v>656</c:v>
                </c:pt>
                <c:pt idx="271">
                  <c:v>11</c:v>
                </c:pt>
                <c:pt idx="272">
                  <c:v>117</c:v>
                </c:pt>
                <c:pt idx="273">
                  <c:v>14</c:v>
                </c:pt>
                <c:pt idx="274">
                  <c:v>11</c:v>
                </c:pt>
                <c:pt idx="275">
                  <c:v>988</c:v>
                </c:pt>
                <c:pt idx="276">
                  <c:v>331</c:v>
                </c:pt>
                <c:pt idx="277">
                  <c:v>5</c:v>
                </c:pt>
                <c:pt idx="278">
                  <c:v>677</c:v>
                </c:pt>
                <c:pt idx="279">
                  <c:v>764</c:v>
                </c:pt>
                <c:pt idx="280">
                  <c:v>6</c:v>
                </c:pt>
                <c:pt idx="281">
                  <c:v>43</c:v>
                </c:pt>
                <c:pt idx="282">
                  <c:v>237</c:v>
                </c:pt>
                <c:pt idx="283">
                  <c:v>6</c:v>
                </c:pt>
                <c:pt idx="284">
                  <c:v>2732</c:v>
                </c:pt>
                <c:pt idx="285">
                  <c:v>18</c:v>
                </c:pt>
                <c:pt idx="286">
                  <c:v>1235</c:v>
                </c:pt>
                <c:pt idx="287">
                  <c:v>6</c:v>
                </c:pt>
                <c:pt idx="288">
                  <c:v>925</c:v>
                </c:pt>
                <c:pt idx="289">
                  <c:v>192</c:v>
                </c:pt>
                <c:pt idx="290">
                  <c:v>11</c:v>
                </c:pt>
                <c:pt idx="291">
                  <c:v>683</c:v>
                </c:pt>
                <c:pt idx="292">
                  <c:v>596</c:v>
                </c:pt>
                <c:pt idx="293">
                  <c:v>170</c:v>
                </c:pt>
                <c:pt idx="294">
                  <c:v>64</c:v>
                </c:pt>
                <c:pt idx="295">
                  <c:v>174</c:v>
                </c:pt>
                <c:pt idx="296">
                  <c:v>7</c:v>
                </c:pt>
                <c:pt idx="297">
                  <c:v>351</c:v>
                </c:pt>
                <c:pt idx="298">
                  <c:v>215</c:v>
                </c:pt>
                <c:pt idx="299">
                  <c:v>218</c:v>
                </c:pt>
                <c:pt idx="300">
                  <c:v>117</c:v>
                </c:pt>
                <c:pt idx="301">
                  <c:v>291</c:v>
                </c:pt>
                <c:pt idx="302">
                  <c:v>222</c:v>
                </c:pt>
                <c:pt idx="303">
                  <c:v>379</c:v>
                </c:pt>
                <c:pt idx="304">
                  <c:v>268</c:v>
                </c:pt>
                <c:pt idx="305">
                  <c:v>269</c:v>
                </c:pt>
                <c:pt idx="306">
                  <c:v>284</c:v>
                </c:pt>
                <c:pt idx="307">
                  <c:v>216</c:v>
                </c:pt>
                <c:pt idx="308">
                  <c:v>106</c:v>
                </c:pt>
                <c:pt idx="309">
                  <c:v>342</c:v>
                </c:pt>
                <c:pt idx="310">
                  <c:v>269</c:v>
                </c:pt>
                <c:pt idx="311">
                  <c:v>261</c:v>
                </c:pt>
                <c:pt idx="312">
                  <c:v>489</c:v>
                </c:pt>
                <c:pt idx="313">
                  <c:v>82</c:v>
                </c:pt>
                <c:pt idx="314">
                  <c:v>179</c:v>
                </c:pt>
                <c:pt idx="315">
                  <c:v>6</c:v>
                </c:pt>
                <c:pt idx="316">
                  <c:v>70</c:v>
                </c:pt>
                <c:pt idx="317">
                  <c:v>49</c:v>
                </c:pt>
                <c:pt idx="318">
                  <c:v>49</c:v>
                </c:pt>
                <c:pt idx="319">
                  <c:v>8</c:v>
                </c:pt>
                <c:pt idx="320">
                  <c:v>35</c:v>
                </c:pt>
                <c:pt idx="321">
                  <c:v>31</c:v>
                </c:pt>
                <c:pt idx="322">
                  <c:v>153</c:v>
                </c:pt>
                <c:pt idx="323">
                  <c:v>204</c:v>
                </c:pt>
                <c:pt idx="324">
                  <c:v>974</c:v>
                </c:pt>
                <c:pt idx="325">
                  <c:v>429</c:v>
                </c:pt>
                <c:pt idx="326">
                  <c:v>200</c:v>
                </c:pt>
                <c:pt idx="327">
                  <c:v>249</c:v>
                </c:pt>
                <c:pt idx="328">
                  <c:v>6</c:v>
                </c:pt>
                <c:pt idx="329">
                  <c:v>168</c:v>
                </c:pt>
                <c:pt idx="330">
                  <c:v>173</c:v>
                </c:pt>
                <c:pt idx="331">
                  <c:v>214</c:v>
                </c:pt>
                <c:pt idx="332">
                  <c:v>243</c:v>
                </c:pt>
                <c:pt idx="333">
                  <c:v>170</c:v>
                </c:pt>
                <c:pt idx="334">
                  <c:v>335</c:v>
                </c:pt>
                <c:pt idx="335">
                  <c:v>325</c:v>
                </c:pt>
                <c:pt idx="336">
                  <c:v>224</c:v>
                </c:pt>
                <c:pt idx="337">
                  <c:v>106</c:v>
                </c:pt>
                <c:pt idx="338">
                  <c:v>466</c:v>
                </c:pt>
                <c:pt idx="339">
                  <c:v>207</c:v>
                </c:pt>
                <c:pt idx="340">
                  <c:v>84</c:v>
                </c:pt>
                <c:pt idx="341">
                  <c:v>387</c:v>
                </c:pt>
                <c:pt idx="342">
                  <c:v>234</c:v>
                </c:pt>
                <c:pt idx="343">
                  <c:v>11</c:v>
                </c:pt>
                <c:pt idx="344">
                  <c:v>623</c:v>
                </c:pt>
                <c:pt idx="345">
                  <c:v>258</c:v>
                </c:pt>
                <c:pt idx="346">
                  <c:v>434</c:v>
                </c:pt>
                <c:pt idx="347">
                  <c:v>192</c:v>
                </c:pt>
                <c:pt idx="348">
                  <c:v>708</c:v>
                </c:pt>
                <c:pt idx="349">
                  <c:v>169</c:v>
                </c:pt>
                <c:pt idx="350">
                  <c:v>213</c:v>
                </c:pt>
                <c:pt idx="351">
                  <c:v>169</c:v>
                </c:pt>
                <c:pt idx="352">
                  <c:v>37</c:v>
                </c:pt>
                <c:pt idx="353">
                  <c:v>521</c:v>
                </c:pt>
                <c:pt idx="354">
                  <c:v>272</c:v>
                </c:pt>
                <c:pt idx="355">
                  <c:v>258</c:v>
                </c:pt>
                <c:pt idx="356">
                  <c:v>293</c:v>
                </c:pt>
                <c:pt idx="357">
                  <c:v>167</c:v>
                </c:pt>
                <c:pt idx="358">
                  <c:v>142</c:v>
                </c:pt>
                <c:pt idx="359">
                  <c:v>947</c:v>
                </c:pt>
                <c:pt idx="360">
                  <c:v>32</c:v>
                </c:pt>
                <c:pt idx="361">
                  <c:v>35</c:v>
                </c:pt>
                <c:pt idx="362">
                  <c:v>25</c:v>
                </c:pt>
                <c:pt idx="363">
                  <c:v>28</c:v>
                </c:pt>
                <c:pt idx="364">
                  <c:v>7</c:v>
                </c:pt>
                <c:pt idx="365">
                  <c:v>1575</c:v>
                </c:pt>
                <c:pt idx="366">
                  <c:v>398</c:v>
                </c:pt>
                <c:pt idx="367">
                  <c:v>156</c:v>
                </c:pt>
                <c:pt idx="368">
                  <c:v>6</c:v>
                </c:pt>
                <c:pt idx="369">
                  <c:v>5</c:v>
                </c:pt>
                <c:pt idx="370">
                  <c:v>18</c:v>
                </c:pt>
                <c:pt idx="371">
                  <c:v>221</c:v>
                </c:pt>
                <c:pt idx="372">
                  <c:v>143</c:v>
                </c:pt>
                <c:pt idx="373">
                  <c:v>10</c:v>
                </c:pt>
                <c:pt idx="374">
                  <c:v>82</c:v>
                </c:pt>
                <c:pt idx="375">
                  <c:v>97</c:v>
                </c:pt>
                <c:pt idx="376">
                  <c:v>365</c:v>
                </c:pt>
                <c:pt idx="377">
                  <c:v>110</c:v>
                </c:pt>
                <c:pt idx="378">
                  <c:v>155</c:v>
                </c:pt>
                <c:pt idx="379">
                  <c:v>226</c:v>
                </c:pt>
                <c:pt idx="380">
                  <c:v>113</c:v>
                </c:pt>
                <c:pt idx="381">
                  <c:v>29</c:v>
                </c:pt>
                <c:pt idx="382">
                  <c:v>147</c:v>
                </c:pt>
                <c:pt idx="383">
                  <c:v>43</c:v>
                </c:pt>
                <c:pt idx="384">
                  <c:v>30</c:v>
                </c:pt>
                <c:pt idx="385">
                  <c:v>72</c:v>
                </c:pt>
                <c:pt idx="386">
                  <c:v>65</c:v>
                </c:pt>
                <c:pt idx="387">
                  <c:v>30</c:v>
                </c:pt>
                <c:pt idx="388">
                  <c:v>7</c:v>
                </c:pt>
                <c:pt idx="389">
                  <c:v>7</c:v>
                </c:pt>
                <c:pt idx="390">
                  <c:v>5</c:v>
                </c:pt>
                <c:pt idx="391">
                  <c:v>116</c:v>
                </c:pt>
                <c:pt idx="392">
                  <c:v>24</c:v>
                </c:pt>
                <c:pt idx="393">
                  <c:v>85</c:v>
                </c:pt>
                <c:pt idx="394">
                  <c:v>43</c:v>
                </c:pt>
                <c:pt idx="395">
                  <c:v>46</c:v>
                </c:pt>
                <c:pt idx="396">
                  <c:v>32</c:v>
                </c:pt>
                <c:pt idx="397">
                  <c:v>98</c:v>
                </c:pt>
                <c:pt idx="398">
                  <c:v>229</c:v>
                </c:pt>
                <c:pt idx="399">
                  <c:v>18</c:v>
                </c:pt>
                <c:pt idx="400">
                  <c:v>51</c:v>
                </c:pt>
                <c:pt idx="401">
                  <c:v>137</c:v>
                </c:pt>
                <c:pt idx="402">
                  <c:v>12</c:v>
                </c:pt>
                <c:pt idx="403">
                  <c:v>204</c:v>
                </c:pt>
                <c:pt idx="404">
                  <c:v>126</c:v>
                </c:pt>
                <c:pt idx="405">
                  <c:v>108</c:v>
                </c:pt>
                <c:pt idx="406">
                  <c:v>4</c:v>
                </c:pt>
                <c:pt idx="407">
                  <c:v>393</c:v>
                </c:pt>
                <c:pt idx="408">
                  <c:v>97</c:v>
                </c:pt>
                <c:pt idx="409">
                  <c:v>37</c:v>
                </c:pt>
                <c:pt idx="410">
                  <c:v>176</c:v>
                </c:pt>
                <c:pt idx="411">
                  <c:v>119</c:v>
                </c:pt>
                <c:pt idx="412">
                  <c:v>469</c:v>
                </c:pt>
                <c:pt idx="413">
                  <c:v>180</c:v>
                </c:pt>
                <c:pt idx="414">
                  <c:v>6</c:v>
                </c:pt>
                <c:pt idx="415">
                  <c:v>88</c:v>
                </c:pt>
                <c:pt idx="416">
                  <c:v>95</c:v>
                </c:pt>
                <c:pt idx="417">
                  <c:v>89</c:v>
                </c:pt>
                <c:pt idx="418">
                  <c:v>5</c:v>
                </c:pt>
                <c:pt idx="419">
                  <c:v>86</c:v>
                </c:pt>
                <c:pt idx="420">
                  <c:v>70</c:v>
                </c:pt>
                <c:pt idx="421">
                  <c:v>58</c:v>
                </c:pt>
                <c:pt idx="422">
                  <c:v>9</c:v>
                </c:pt>
                <c:pt idx="423">
                  <c:v>90</c:v>
                </c:pt>
                <c:pt idx="424">
                  <c:v>5</c:v>
                </c:pt>
                <c:pt idx="425">
                  <c:v>5</c:v>
                </c:pt>
                <c:pt idx="426">
                  <c:v>182</c:v>
                </c:pt>
                <c:pt idx="427">
                  <c:v>158</c:v>
                </c:pt>
                <c:pt idx="428">
                  <c:v>48</c:v>
                </c:pt>
                <c:pt idx="429">
                  <c:v>112</c:v>
                </c:pt>
                <c:pt idx="430">
                  <c:v>6</c:v>
                </c:pt>
                <c:pt idx="431">
                  <c:v>7</c:v>
                </c:pt>
                <c:pt idx="432">
                  <c:v>144</c:v>
                </c:pt>
                <c:pt idx="433">
                  <c:v>7</c:v>
                </c:pt>
                <c:pt idx="434">
                  <c:v>79</c:v>
                </c:pt>
                <c:pt idx="435">
                  <c:v>25</c:v>
                </c:pt>
                <c:pt idx="436">
                  <c:v>6</c:v>
                </c:pt>
                <c:pt idx="437">
                  <c:v>7</c:v>
                </c:pt>
                <c:pt idx="438">
                  <c:v>155</c:v>
                </c:pt>
                <c:pt idx="439">
                  <c:v>146</c:v>
                </c:pt>
                <c:pt idx="440">
                  <c:v>380</c:v>
                </c:pt>
                <c:pt idx="441">
                  <c:v>8</c:v>
                </c:pt>
                <c:pt idx="442">
                  <c:v>152</c:v>
                </c:pt>
                <c:pt idx="443">
                  <c:v>56</c:v>
                </c:pt>
                <c:pt idx="444">
                  <c:v>209</c:v>
                </c:pt>
                <c:pt idx="445">
                  <c:v>126</c:v>
                </c:pt>
                <c:pt idx="446">
                  <c:v>56</c:v>
                </c:pt>
                <c:pt idx="447">
                  <c:v>203</c:v>
                </c:pt>
                <c:pt idx="448">
                  <c:v>255</c:v>
                </c:pt>
                <c:pt idx="449">
                  <c:v>6</c:v>
                </c:pt>
                <c:pt idx="450">
                  <c:v>6</c:v>
                </c:pt>
                <c:pt idx="451">
                  <c:v>181</c:v>
                </c:pt>
                <c:pt idx="452">
                  <c:v>14</c:v>
                </c:pt>
                <c:pt idx="453">
                  <c:v>93</c:v>
                </c:pt>
                <c:pt idx="454">
                  <c:v>66</c:v>
                </c:pt>
                <c:pt idx="455">
                  <c:v>56</c:v>
                </c:pt>
                <c:pt idx="456">
                  <c:v>4</c:v>
                </c:pt>
                <c:pt idx="457">
                  <c:v>42</c:v>
                </c:pt>
                <c:pt idx="458">
                  <c:v>50</c:v>
                </c:pt>
                <c:pt idx="459">
                  <c:v>38</c:v>
                </c:pt>
                <c:pt idx="460">
                  <c:v>42</c:v>
                </c:pt>
                <c:pt idx="461">
                  <c:v>15</c:v>
                </c:pt>
                <c:pt idx="462">
                  <c:v>283</c:v>
                </c:pt>
                <c:pt idx="463">
                  <c:v>98</c:v>
                </c:pt>
                <c:pt idx="464">
                  <c:v>79</c:v>
                </c:pt>
                <c:pt idx="465">
                  <c:v>316</c:v>
                </c:pt>
                <c:pt idx="466">
                  <c:v>203</c:v>
                </c:pt>
                <c:pt idx="467">
                  <c:v>70</c:v>
                </c:pt>
                <c:pt idx="468">
                  <c:v>28</c:v>
                </c:pt>
                <c:pt idx="469">
                  <c:v>5</c:v>
                </c:pt>
                <c:pt idx="470">
                  <c:v>11</c:v>
                </c:pt>
                <c:pt idx="471">
                  <c:v>5</c:v>
                </c:pt>
                <c:pt idx="472">
                  <c:v>1459</c:v>
                </c:pt>
                <c:pt idx="473">
                  <c:v>136</c:v>
                </c:pt>
                <c:pt idx="474">
                  <c:v>78</c:v>
                </c:pt>
                <c:pt idx="475">
                  <c:v>8</c:v>
                </c:pt>
                <c:pt idx="476">
                  <c:v>5</c:v>
                </c:pt>
                <c:pt idx="477">
                  <c:v>127</c:v>
                </c:pt>
                <c:pt idx="478">
                  <c:v>42</c:v>
                </c:pt>
                <c:pt idx="479">
                  <c:v>13</c:v>
                </c:pt>
                <c:pt idx="480">
                  <c:v>50</c:v>
                </c:pt>
                <c:pt idx="481">
                  <c:v>4</c:v>
                </c:pt>
                <c:pt idx="482">
                  <c:v>4</c:v>
                </c:pt>
                <c:pt idx="483">
                  <c:v>4</c:v>
                </c:pt>
                <c:pt idx="484">
                  <c:v>5</c:v>
                </c:pt>
                <c:pt idx="485">
                  <c:v>79</c:v>
                </c:pt>
                <c:pt idx="486">
                  <c:v>9</c:v>
                </c:pt>
                <c:pt idx="487">
                  <c:v>5</c:v>
                </c:pt>
                <c:pt idx="488">
                  <c:v>11</c:v>
                </c:pt>
                <c:pt idx="489">
                  <c:v>8</c:v>
                </c:pt>
                <c:pt idx="490">
                  <c:v>4</c:v>
                </c:pt>
                <c:pt idx="491">
                  <c:v>109</c:v>
                </c:pt>
                <c:pt idx="492">
                  <c:v>96</c:v>
                </c:pt>
                <c:pt idx="493">
                  <c:v>4</c:v>
                </c:pt>
                <c:pt idx="494">
                  <c:v>72</c:v>
                </c:pt>
                <c:pt idx="495">
                  <c:v>4</c:v>
                </c:pt>
                <c:pt idx="496">
                  <c:v>85</c:v>
                </c:pt>
                <c:pt idx="497">
                  <c:v>6</c:v>
                </c:pt>
                <c:pt idx="498">
                  <c:v>156</c:v>
                </c:pt>
                <c:pt idx="499">
                  <c:v>102</c:v>
                </c:pt>
                <c:pt idx="500">
                  <c:v>56</c:v>
                </c:pt>
                <c:pt idx="501">
                  <c:v>149</c:v>
                </c:pt>
                <c:pt idx="502">
                  <c:v>244</c:v>
                </c:pt>
                <c:pt idx="503">
                  <c:v>4</c:v>
                </c:pt>
                <c:pt idx="504">
                  <c:v>84</c:v>
                </c:pt>
                <c:pt idx="505">
                  <c:v>5</c:v>
                </c:pt>
                <c:pt idx="506">
                  <c:v>8</c:v>
                </c:pt>
                <c:pt idx="507">
                  <c:v>12</c:v>
                </c:pt>
                <c:pt idx="508">
                  <c:v>72</c:v>
                </c:pt>
                <c:pt idx="509">
                  <c:v>49</c:v>
                </c:pt>
                <c:pt idx="510">
                  <c:v>162</c:v>
                </c:pt>
                <c:pt idx="511">
                  <c:v>196</c:v>
                </c:pt>
                <c:pt idx="512">
                  <c:v>6</c:v>
                </c:pt>
                <c:pt idx="513">
                  <c:v>6</c:v>
                </c:pt>
                <c:pt idx="514">
                  <c:v>12</c:v>
                </c:pt>
                <c:pt idx="515">
                  <c:v>12</c:v>
                </c:pt>
                <c:pt idx="516">
                  <c:v>12</c:v>
                </c:pt>
                <c:pt idx="517">
                  <c:v>12</c:v>
                </c:pt>
                <c:pt idx="518">
                  <c:v>12</c:v>
                </c:pt>
                <c:pt idx="519">
                  <c:v>12</c:v>
                </c:pt>
                <c:pt idx="520">
                  <c:v>110</c:v>
                </c:pt>
                <c:pt idx="521">
                  <c:v>24</c:v>
                </c:pt>
                <c:pt idx="522">
                  <c:v>125</c:v>
                </c:pt>
                <c:pt idx="523">
                  <c:v>17</c:v>
                </c:pt>
                <c:pt idx="524">
                  <c:v>412</c:v>
                </c:pt>
                <c:pt idx="525">
                  <c:v>239</c:v>
                </c:pt>
                <c:pt idx="526">
                  <c:v>196</c:v>
                </c:pt>
                <c:pt idx="527">
                  <c:v>363</c:v>
                </c:pt>
                <c:pt idx="528">
                  <c:v>62</c:v>
                </c:pt>
                <c:pt idx="529">
                  <c:v>213</c:v>
                </c:pt>
                <c:pt idx="530">
                  <c:v>6</c:v>
                </c:pt>
                <c:pt idx="531">
                  <c:v>65</c:v>
                </c:pt>
                <c:pt idx="532">
                  <c:v>8</c:v>
                </c:pt>
                <c:pt idx="533">
                  <c:v>223</c:v>
                </c:pt>
                <c:pt idx="534">
                  <c:v>130</c:v>
                </c:pt>
                <c:pt idx="535">
                  <c:v>188</c:v>
                </c:pt>
                <c:pt idx="536">
                  <c:v>9</c:v>
                </c:pt>
                <c:pt idx="537">
                  <c:v>234</c:v>
                </c:pt>
                <c:pt idx="538">
                  <c:v>44</c:v>
                </c:pt>
                <c:pt idx="539">
                  <c:v>187</c:v>
                </c:pt>
                <c:pt idx="540">
                  <c:v>403</c:v>
                </c:pt>
                <c:pt idx="541">
                  <c:v>111</c:v>
                </c:pt>
                <c:pt idx="542">
                  <c:v>197</c:v>
                </c:pt>
                <c:pt idx="543">
                  <c:v>194</c:v>
                </c:pt>
                <c:pt idx="544">
                  <c:v>207</c:v>
                </c:pt>
                <c:pt idx="545">
                  <c:v>239</c:v>
                </c:pt>
                <c:pt idx="546">
                  <c:v>165</c:v>
                </c:pt>
                <c:pt idx="547">
                  <c:v>59</c:v>
                </c:pt>
                <c:pt idx="548">
                  <c:v>51</c:v>
                </c:pt>
                <c:pt idx="549">
                  <c:v>38</c:v>
                </c:pt>
                <c:pt idx="550">
                  <c:v>187</c:v>
                </c:pt>
                <c:pt idx="551">
                  <c:v>198</c:v>
                </c:pt>
                <c:pt idx="552">
                  <c:v>110</c:v>
                </c:pt>
                <c:pt idx="553">
                  <c:v>196</c:v>
                </c:pt>
                <c:pt idx="554">
                  <c:v>91</c:v>
                </c:pt>
                <c:pt idx="555">
                  <c:v>6</c:v>
                </c:pt>
                <c:pt idx="556">
                  <c:v>6</c:v>
                </c:pt>
                <c:pt idx="557">
                  <c:v>6</c:v>
                </c:pt>
                <c:pt idx="558">
                  <c:v>66</c:v>
                </c:pt>
                <c:pt idx="559">
                  <c:v>221</c:v>
                </c:pt>
                <c:pt idx="560">
                  <c:v>207</c:v>
                </c:pt>
                <c:pt idx="561">
                  <c:v>606</c:v>
                </c:pt>
                <c:pt idx="562">
                  <c:v>323</c:v>
                </c:pt>
                <c:pt idx="563">
                  <c:v>66</c:v>
                </c:pt>
                <c:pt idx="564">
                  <c:v>127</c:v>
                </c:pt>
                <c:pt idx="565">
                  <c:v>230</c:v>
                </c:pt>
                <c:pt idx="566">
                  <c:v>302</c:v>
                </c:pt>
                <c:pt idx="567">
                  <c:v>141</c:v>
                </c:pt>
                <c:pt idx="568">
                  <c:v>6</c:v>
                </c:pt>
                <c:pt idx="569">
                  <c:v>4</c:v>
                </c:pt>
                <c:pt idx="570">
                  <c:v>5</c:v>
                </c:pt>
                <c:pt idx="571">
                  <c:v>6</c:v>
                </c:pt>
                <c:pt idx="572">
                  <c:v>48</c:v>
                </c:pt>
                <c:pt idx="573">
                  <c:v>56</c:v>
                </c:pt>
                <c:pt idx="574">
                  <c:v>74</c:v>
                </c:pt>
                <c:pt idx="575">
                  <c:v>9</c:v>
                </c:pt>
                <c:pt idx="576">
                  <c:v>62</c:v>
                </c:pt>
                <c:pt idx="577">
                  <c:v>53</c:v>
                </c:pt>
                <c:pt idx="578">
                  <c:v>45</c:v>
                </c:pt>
                <c:pt idx="579">
                  <c:v>39</c:v>
                </c:pt>
                <c:pt idx="580">
                  <c:v>60</c:v>
                </c:pt>
                <c:pt idx="581">
                  <c:v>41</c:v>
                </c:pt>
                <c:pt idx="582">
                  <c:v>28</c:v>
                </c:pt>
                <c:pt idx="583">
                  <c:v>13</c:v>
                </c:pt>
                <c:pt idx="584">
                  <c:v>143</c:v>
                </c:pt>
                <c:pt idx="585">
                  <c:v>155</c:v>
                </c:pt>
                <c:pt idx="586">
                  <c:v>197</c:v>
                </c:pt>
                <c:pt idx="587">
                  <c:v>128</c:v>
                </c:pt>
                <c:pt idx="588">
                  <c:v>293</c:v>
                </c:pt>
                <c:pt idx="589">
                  <c:v>186</c:v>
                </c:pt>
                <c:pt idx="590">
                  <c:v>148</c:v>
                </c:pt>
                <c:pt idx="591">
                  <c:v>158</c:v>
                </c:pt>
                <c:pt idx="592">
                  <c:v>11</c:v>
                </c:pt>
                <c:pt idx="593">
                  <c:v>180</c:v>
                </c:pt>
                <c:pt idx="594">
                  <c:v>10</c:v>
                </c:pt>
                <c:pt idx="595">
                  <c:v>75</c:v>
                </c:pt>
                <c:pt idx="596">
                  <c:v>108</c:v>
                </c:pt>
                <c:pt idx="597">
                  <c:v>35</c:v>
                </c:pt>
                <c:pt idx="598">
                  <c:v>77</c:v>
                </c:pt>
                <c:pt idx="599">
                  <c:v>13</c:v>
                </c:pt>
                <c:pt idx="600">
                  <c:v>4</c:v>
                </c:pt>
                <c:pt idx="601">
                  <c:v>48</c:v>
                </c:pt>
                <c:pt idx="602">
                  <c:v>36</c:v>
                </c:pt>
                <c:pt idx="603">
                  <c:v>44</c:v>
                </c:pt>
                <c:pt idx="604">
                  <c:v>115</c:v>
                </c:pt>
                <c:pt idx="605">
                  <c:v>6</c:v>
                </c:pt>
                <c:pt idx="606">
                  <c:v>5</c:v>
                </c:pt>
                <c:pt idx="607">
                  <c:v>34</c:v>
                </c:pt>
                <c:pt idx="608">
                  <c:v>40</c:v>
                </c:pt>
                <c:pt idx="609">
                  <c:v>140</c:v>
                </c:pt>
                <c:pt idx="610">
                  <c:v>6</c:v>
                </c:pt>
                <c:pt idx="611">
                  <c:v>125</c:v>
                </c:pt>
                <c:pt idx="612">
                  <c:v>71</c:v>
                </c:pt>
                <c:pt idx="613">
                  <c:v>93</c:v>
                </c:pt>
                <c:pt idx="614">
                  <c:v>11</c:v>
                </c:pt>
                <c:pt idx="615">
                  <c:v>73</c:v>
                </c:pt>
                <c:pt idx="616">
                  <c:v>6</c:v>
                </c:pt>
                <c:pt idx="617">
                  <c:v>58</c:v>
                </c:pt>
                <c:pt idx="618">
                  <c:v>56</c:v>
                </c:pt>
                <c:pt idx="619">
                  <c:v>49</c:v>
                </c:pt>
                <c:pt idx="620">
                  <c:v>132</c:v>
                </c:pt>
                <c:pt idx="621">
                  <c:v>70</c:v>
                </c:pt>
                <c:pt idx="622">
                  <c:v>6</c:v>
                </c:pt>
                <c:pt idx="623">
                  <c:v>425</c:v>
                </c:pt>
                <c:pt idx="624">
                  <c:v>371</c:v>
                </c:pt>
                <c:pt idx="625">
                  <c:v>5</c:v>
                </c:pt>
                <c:pt idx="626">
                  <c:v>41</c:v>
                </c:pt>
                <c:pt idx="627">
                  <c:v>37</c:v>
                </c:pt>
                <c:pt idx="628">
                  <c:v>39</c:v>
                </c:pt>
                <c:pt idx="629">
                  <c:v>122</c:v>
                </c:pt>
                <c:pt idx="630">
                  <c:v>6</c:v>
                </c:pt>
                <c:pt idx="631">
                  <c:v>41</c:v>
                </c:pt>
              </c:numCache>
            </c:numRef>
          </c:xVal>
          <c:yVal>
            <c:numRef>
              <c:f>data!$D$2:$D$633</c:f>
              <c:numCache>
                <c:formatCode>General</c:formatCode>
                <c:ptCount val="632"/>
                <c:pt idx="0">
                  <c:v>65.66</c:v>
                </c:pt>
                <c:pt idx="1">
                  <c:v>58.6</c:v>
                </c:pt>
                <c:pt idx="2">
                  <c:v>87.72</c:v>
                </c:pt>
                <c:pt idx="3">
                  <c:v>83.33</c:v>
                </c:pt>
                <c:pt idx="4">
                  <c:v>49.23</c:v>
                </c:pt>
                <c:pt idx="5">
                  <c:v>50.42</c:v>
                </c:pt>
                <c:pt idx="6">
                  <c:v>50</c:v>
                </c:pt>
                <c:pt idx="7">
                  <c:v>56.37</c:v>
                </c:pt>
                <c:pt idx="8">
                  <c:v>82.81</c:v>
                </c:pt>
                <c:pt idx="9">
                  <c:v>89.06</c:v>
                </c:pt>
                <c:pt idx="10">
                  <c:v>48.54</c:v>
                </c:pt>
                <c:pt idx="11">
                  <c:v>52.54</c:v>
                </c:pt>
                <c:pt idx="12">
                  <c:v>47.04</c:v>
                </c:pt>
                <c:pt idx="13">
                  <c:v>50.74</c:v>
                </c:pt>
                <c:pt idx="14">
                  <c:v>45.62</c:v>
                </c:pt>
                <c:pt idx="15">
                  <c:v>48.99</c:v>
                </c:pt>
                <c:pt idx="16">
                  <c:v>46.73</c:v>
                </c:pt>
                <c:pt idx="17">
                  <c:v>44.12</c:v>
                </c:pt>
                <c:pt idx="18">
                  <c:v>51.63</c:v>
                </c:pt>
                <c:pt idx="19">
                  <c:v>40.950000000000003</c:v>
                </c:pt>
                <c:pt idx="20">
                  <c:v>87.5</c:v>
                </c:pt>
                <c:pt idx="21">
                  <c:v>86.49</c:v>
                </c:pt>
                <c:pt idx="22">
                  <c:v>87.23</c:v>
                </c:pt>
                <c:pt idx="23">
                  <c:v>90.57</c:v>
                </c:pt>
                <c:pt idx="24">
                  <c:v>37.5</c:v>
                </c:pt>
                <c:pt idx="25">
                  <c:v>37.5</c:v>
                </c:pt>
                <c:pt idx="26">
                  <c:v>60.75</c:v>
                </c:pt>
                <c:pt idx="27">
                  <c:v>49.28</c:v>
                </c:pt>
                <c:pt idx="28">
                  <c:v>82.09</c:v>
                </c:pt>
                <c:pt idx="29">
                  <c:v>88.64</c:v>
                </c:pt>
                <c:pt idx="30">
                  <c:v>88.64</c:v>
                </c:pt>
                <c:pt idx="31">
                  <c:v>88.64</c:v>
                </c:pt>
                <c:pt idx="32">
                  <c:v>87.5</c:v>
                </c:pt>
                <c:pt idx="33">
                  <c:v>88.68</c:v>
                </c:pt>
                <c:pt idx="34">
                  <c:v>48.63</c:v>
                </c:pt>
                <c:pt idx="35">
                  <c:v>61.42</c:v>
                </c:pt>
                <c:pt idx="36">
                  <c:v>87.23</c:v>
                </c:pt>
                <c:pt idx="37">
                  <c:v>67.900000000000006</c:v>
                </c:pt>
                <c:pt idx="38">
                  <c:v>44.74</c:v>
                </c:pt>
                <c:pt idx="39">
                  <c:v>62.29</c:v>
                </c:pt>
                <c:pt idx="40">
                  <c:v>87.5</c:v>
                </c:pt>
                <c:pt idx="41">
                  <c:v>43.98</c:v>
                </c:pt>
                <c:pt idx="42">
                  <c:v>56.77</c:v>
                </c:pt>
                <c:pt idx="43">
                  <c:v>40.71</c:v>
                </c:pt>
                <c:pt idx="44">
                  <c:v>88.89</c:v>
                </c:pt>
                <c:pt idx="45">
                  <c:v>58.33</c:v>
                </c:pt>
                <c:pt idx="46">
                  <c:v>65.709999999999994</c:v>
                </c:pt>
                <c:pt idx="47">
                  <c:v>37.69</c:v>
                </c:pt>
                <c:pt idx="48">
                  <c:v>36.35</c:v>
                </c:pt>
                <c:pt idx="49">
                  <c:v>65</c:v>
                </c:pt>
                <c:pt idx="50">
                  <c:v>88.68</c:v>
                </c:pt>
                <c:pt idx="51">
                  <c:v>55.84</c:v>
                </c:pt>
                <c:pt idx="52">
                  <c:v>75.680000000000007</c:v>
                </c:pt>
                <c:pt idx="53">
                  <c:v>53.91</c:v>
                </c:pt>
                <c:pt idx="54">
                  <c:v>41.01</c:v>
                </c:pt>
                <c:pt idx="55">
                  <c:v>41.45</c:v>
                </c:pt>
                <c:pt idx="56">
                  <c:v>80.56</c:v>
                </c:pt>
                <c:pt idx="57">
                  <c:v>45.04</c:v>
                </c:pt>
                <c:pt idx="58">
                  <c:v>45.98</c:v>
                </c:pt>
                <c:pt idx="59">
                  <c:v>57.39</c:v>
                </c:pt>
                <c:pt idx="60">
                  <c:v>41.7</c:v>
                </c:pt>
                <c:pt idx="61">
                  <c:v>77.38</c:v>
                </c:pt>
                <c:pt idx="62">
                  <c:v>60.43</c:v>
                </c:pt>
                <c:pt idx="63">
                  <c:v>26.64</c:v>
                </c:pt>
                <c:pt idx="64">
                  <c:v>38.979999999999997</c:v>
                </c:pt>
                <c:pt idx="65">
                  <c:v>50.63</c:v>
                </c:pt>
                <c:pt idx="66">
                  <c:v>54.24</c:v>
                </c:pt>
                <c:pt idx="67">
                  <c:v>67.23</c:v>
                </c:pt>
                <c:pt idx="68">
                  <c:v>41.31</c:v>
                </c:pt>
                <c:pt idx="69">
                  <c:v>37.89</c:v>
                </c:pt>
                <c:pt idx="70">
                  <c:v>58.6</c:v>
                </c:pt>
                <c:pt idx="71">
                  <c:v>88.89</c:v>
                </c:pt>
                <c:pt idx="72">
                  <c:v>61.68</c:v>
                </c:pt>
                <c:pt idx="73">
                  <c:v>63.08</c:v>
                </c:pt>
                <c:pt idx="74">
                  <c:v>91.89</c:v>
                </c:pt>
                <c:pt idx="75">
                  <c:v>91.73</c:v>
                </c:pt>
                <c:pt idx="76">
                  <c:v>49.64</c:v>
                </c:pt>
                <c:pt idx="77">
                  <c:v>65.849999999999994</c:v>
                </c:pt>
                <c:pt idx="78">
                  <c:v>55.73</c:v>
                </c:pt>
                <c:pt idx="79">
                  <c:v>89.71</c:v>
                </c:pt>
                <c:pt idx="80">
                  <c:v>87.13</c:v>
                </c:pt>
                <c:pt idx="81">
                  <c:v>52.8</c:v>
                </c:pt>
                <c:pt idx="82">
                  <c:v>50.39</c:v>
                </c:pt>
                <c:pt idx="83">
                  <c:v>85</c:v>
                </c:pt>
                <c:pt idx="84">
                  <c:v>76</c:v>
                </c:pt>
                <c:pt idx="85">
                  <c:v>79.17</c:v>
                </c:pt>
                <c:pt idx="86">
                  <c:v>25.24</c:v>
                </c:pt>
                <c:pt idx="87">
                  <c:v>53.33</c:v>
                </c:pt>
                <c:pt idx="88">
                  <c:v>58.86</c:v>
                </c:pt>
                <c:pt idx="89">
                  <c:v>41.57</c:v>
                </c:pt>
                <c:pt idx="90">
                  <c:v>70.27</c:v>
                </c:pt>
                <c:pt idx="91">
                  <c:v>92.59</c:v>
                </c:pt>
                <c:pt idx="92">
                  <c:v>90.57</c:v>
                </c:pt>
                <c:pt idx="93">
                  <c:v>43.07</c:v>
                </c:pt>
                <c:pt idx="94">
                  <c:v>40.69</c:v>
                </c:pt>
                <c:pt idx="95">
                  <c:v>53.26</c:v>
                </c:pt>
                <c:pt idx="96">
                  <c:v>88.46</c:v>
                </c:pt>
                <c:pt idx="97">
                  <c:v>44.86</c:v>
                </c:pt>
                <c:pt idx="98">
                  <c:v>53.44</c:v>
                </c:pt>
                <c:pt idx="99">
                  <c:v>60.4</c:v>
                </c:pt>
                <c:pt idx="100">
                  <c:v>53.02</c:v>
                </c:pt>
                <c:pt idx="101">
                  <c:v>91.67</c:v>
                </c:pt>
                <c:pt idx="102">
                  <c:v>91.49</c:v>
                </c:pt>
                <c:pt idx="103">
                  <c:v>46.52</c:v>
                </c:pt>
                <c:pt idx="104">
                  <c:v>73.12</c:v>
                </c:pt>
                <c:pt idx="105">
                  <c:v>58.01</c:v>
                </c:pt>
                <c:pt idx="106">
                  <c:v>92.16</c:v>
                </c:pt>
                <c:pt idx="107">
                  <c:v>55.84</c:v>
                </c:pt>
                <c:pt idx="108">
                  <c:v>62.7</c:v>
                </c:pt>
                <c:pt idx="109">
                  <c:v>76.92</c:v>
                </c:pt>
                <c:pt idx="110">
                  <c:v>58.53</c:v>
                </c:pt>
                <c:pt idx="111">
                  <c:v>56.79</c:v>
                </c:pt>
                <c:pt idx="112">
                  <c:v>86.05</c:v>
                </c:pt>
                <c:pt idx="113">
                  <c:v>70.22</c:v>
                </c:pt>
                <c:pt idx="114">
                  <c:v>86.32</c:v>
                </c:pt>
                <c:pt idx="115">
                  <c:v>63.64</c:v>
                </c:pt>
                <c:pt idx="116">
                  <c:v>88.46</c:v>
                </c:pt>
                <c:pt idx="117">
                  <c:v>62.18</c:v>
                </c:pt>
                <c:pt idx="118">
                  <c:v>69.23</c:v>
                </c:pt>
                <c:pt idx="119">
                  <c:v>58.64</c:v>
                </c:pt>
                <c:pt idx="120">
                  <c:v>62.86</c:v>
                </c:pt>
                <c:pt idx="121">
                  <c:v>61.54</c:v>
                </c:pt>
                <c:pt idx="122">
                  <c:v>51.21</c:v>
                </c:pt>
                <c:pt idx="123">
                  <c:v>86.32</c:v>
                </c:pt>
                <c:pt idx="124">
                  <c:v>63.46</c:v>
                </c:pt>
                <c:pt idx="125">
                  <c:v>58.42</c:v>
                </c:pt>
                <c:pt idx="126">
                  <c:v>63.64</c:v>
                </c:pt>
                <c:pt idx="127">
                  <c:v>73.86</c:v>
                </c:pt>
                <c:pt idx="128">
                  <c:v>61.61</c:v>
                </c:pt>
                <c:pt idx="129">
                  <c:v>58.42</c:v>
                </c:pt>
                <c:pt idx="130">
                  <c:v>54.74</c:v>
                </c:pt>
                <c:pt idx="131">
                  <c:v>82.46</c:v>
                </c:pt>
                <c:pt idx="132">
                  <c:v>58.42</c:v>
                </c:pt>
                <c:pt idx="133">
                  <c:v>65.349999999999994</c:v>
                </c:pt>
                <c:pt idx="134">
                  <c:v>63.4</c:v>
                </c:pt>
                <c:pt idx="135">
                  <c:v>78.790000000000006</c:v>
                </c:pt>
                <c:pt idx="136">
                  <c:v>88</c:v>
                </c:pt>
                <c:pt idx="137">
                  <c:v>80.650000000000006</c:v>
                </c:pt>
                <c:pt idx="138">
                  <c:v>90.91</c:v>
                </c:pt>
                <c:pt idx="139">
                  <c:v>70.430000000000007</c:v>
                </c:pt>
                <c:pt idx="140">
                  <c:v>87.23</c:v>
                </c:pt>
                <c:pt idx="141">
                  <c:v>90.38</c:v>
                </c:pt>
                <c:pt idx="142">
                  <c:v>69.569999999999993</c:v>
                </c:pt>
                <c:pt idx="143">
                  <c:v>88.89</c:v>
                </c:pt>
                <c:pt idx="144">
                  <c:v>89.8</c:v>
                </c:pt>
                <c:pt idx="145">
                  <c:v>80.95</c:v>
                </c:pt>
                <c:pt idx="146">
                  <c:v>88</c:v>
                </c:pt>
                <c:pt idx="147">
                  <c:v>81.25</c:v>
                </c:pt>
                <c:pt idx="148">
                  <c:v>90</c:v>
                </c:pt>
                <c:pt idx="149">
                  <c:v>78.16</c:v>
                </c:pt>
                <c:pt idx="150">
                  <c:v>89.8</c:v>
                </c:pt>
                <c:pt idx="151">
                  <c:v>80.33</c:v>
                </c:pt>
                <c:pt idx="152">
                  <c:v>90</c:v>
                </c:pt>
                <c:pt idx="153">
                  <c:v>76.739999999999995</c:v>
                </c:pt>
                <c:pt idx="154">
                  <c:v>48.54</c:v>
                </c:pt>
                <c:pt idx="155">
                  <c:v>81.16</c:v>
                </c:pt>
                <c:pt idx="156">
                  <c:v>81.540000000000006</c:v>
                </c:pt>
                <c:pt idx="157">
                  <c:v>83.33</c:v>
                </c:pt>
                <c:pt idx="158">
                  <c:v>93.44</c:v>
                </c:pt>
                <c:pt idx="159">
                  <c:v>87.1</c:v>
                </c:pt>
                <c:pt idx="160">
                  <c:v>70.180000000000007</c:v>
                </c:pt>
                <c:pt idx="161">
                  <c:v>43.62</c:v>
                </c:pt>
                <c:pt idx="162">
                  <c:v>48.85</c:v>
                </c:pt>
                <c:pt idx="163">
                  <c:v>66.150000000000006</c:v>
                </c:pt>
                <c:pt idx="164">
                  <c:v>44.37</c:v>
                </c:pt>
                <c:pt idx="165">
                  <c:v>41.79</c:v>
                </c:pt>
                <c:pt idx="166">
                  <c:v>34.07</c:v>
                </c:pt>
                <c:pt idx="167">
                  <c:v>46.42</c:v>
                </c:pt>
                <c:pt idx="168">
                  <c:v>48.14</c:v>
                </c:pt>
                <c:pt idx="169">
                  <c:v>52.8</c:v>
                </c:pt>
                <c:pt idx="170">
                  <c:v>51.64</c:v>
                </c:pt>
                <c:pt idx="171">
                  <c:v>50.79</c:v>
                </c:pt>
                <c:pt idx="172">
                  <c:v>60.9</c:v>
                </c:pt>
                <c:pt idx="173">
                  <c:v>59.86</c:v>
                </c:pt>
                <c:pt idx="174">
                  <c:v>52.48</c:v>
                </c:pt>
                <c:pt idx="175">
                  <c:v>90.91</c:v>
                </c:pt>
                <c:pt idx="176">
                  <c:v>91.07</c:v>
                </c:pt>
                <c:pt idx="177">
                  <c:v>91.8</c:v>
                </c:pt>
                <c:pt idx="178">
                  <c:v>90</c:v>
                </c:pt>
                <c:pt idx="179">
                  <c:v>54.44</c:v>
                </c:pt>
                <c:pt idx="180">
                  <c:v>88.89</c:v>
                </c:pt>
                <c:pt idx="181">
                  <c:v>46.46</c:v>
                </c:pt>
                <c:pt idx="182">
                  <c:v>55.74</c:v>
                </c:pt>
                <c:pt idx="183">
                  <c:v>54.61</c:v>
                </c:pt>
                <c:pt idx="184">
                  <c:v>48.18</c:v>
                </c:pt>
                <c:pt idx="185">
                  <c:v>48.97</c:v>
                </c:pt>
                <c:pt idx="186">
                  <c:v>69.569999999999993</c:v>
                </c:pt>
                <c:pt idx="187">
                  <c:v>55.29</c:v>
                </c:pt>
                <c:pt idx="188">
                  <c:v>47.17</c:v>
                </c:pt>
                <c:pt idx="189">
                  <c:v>87.06</c:v>
                </c:pt>
                <c:pt idx="190">
                  <c:v>90.74</c:v>
                </c:pt>
                <c:pt idx="191">
                  <c:v>64.66</c:v>
                </c:pt>
                <c:pt idx="192">
                  <c:v>60.42</c:v>
                </c:pt>
                <c:pt idx="193">
                  <c:v>63.87</c:v>
                </c:pt>
                <c:pt idx="194">
                  <c:v>58.39</c:v>
                </c:pt>
                <c:pt idx="195">
                  <c:v>59.13</c:v>
                </c:pt>
                <c:pt idx="196">
                  <c:v>63.04</c:v>
                </c:pt>
                <c:pt idx="197">
                  <c:v>71.319999999999993</c:v>
                </c:pt>
                <c:pt idx="198">
                  <c:v>66.47</c:v>
                </c:pt>
                <c:pt idx="199">
                  <c:v>61.59</c:v>
                </c:pt>
                <c:pt idx="200">
                  <c:v>66.09</c:v>
                </c:pt>
                <c:pt idx="201">
                  <c:v>52.81</c:v>
                </c:pt>
                <c:pt idx="202">
                  <c:v>55.13</c:v>
                </c:pt>
                <c:pt idx="203">
                  <c:v>90.74</c:v>
                </c:pt>
                <c:pt idx="204">
                  <c:v>91.23</c:v>
                </c:pt>
                <c:pt idx="205">
                  <c:v>90.57</c:v>
                </c:pt>
                <c:pt idx="206">
                  <c:v>90.57</c:v>
                </c:pt>
                <c:pt idx="207">
                  <c:v>51.1</c:v>
                </c:pt>
                <c:pt idx="208">
                  <c:v>52.39</c:v>
                </c:pt>
                <c:pt idx="209">
                  <c:v>59.41</c:v>
                </c:pt>
                <c:pt idx="210">
                  <c:v>60.56</c:v>
                </c:pt>
                <c:pt idx="211">
                  <c:v>90</c:v>
                </c:pt>
                <c:pt idx="212">
                  <c:v>88.89</c:v>
                </c:pt>
                <c:pt idx="213">
                  <c:v>43.76</c:v>
                </c:pt>
                <c:pt idx="214">
                  <c:v>40.79</c:v>
                </c:pt>
                <c:pt idx="215">
                  <c:v>59.24</c:v>
                </c:pt>
                <c:pt idx="216">
                  <c:v>60.34</c:v>
                </c:pt>
                <c:pt idx="217">
                  <c:v>46.61</c:v>
                </c:pt>
                <c:pt idx="218">
                  <c:v>87.23</c:v>
                </c:pt>
                <c:pt idx="219">
                  <c:v>41.6</c:v>
                </c:pt>
                <c:pt idx="220">
                  <c:v>42.69</c:v>
                </c:pt>
                <c:pt idx="221">
                  <c:v>40.39</c:v>
                </c:pt>
                <c:pt idx="222">
                  <c:v>42.57</c:v>
                </c:pt>
                <c:pt idx="223">
                  <c:v>50</c:v>
                </c:pt>
                <c:pt idx="224">
                  <c:v>43.56</c:v>
                </c:pt>
                <c:pt idx="225">
                  <c:v>62.73</c:v>
                </c:pt>
                <c:pt idx="226">
                  <c:v>45.96</c:v>
                </c:pt>
                <c:pt idx="227">
                  <c:v>52.66</c:v>
                </c:pt>
                <c:pt idx="228">
                  <c:v>53.79</c:v>
                </c:pt>
                <c:pt idx="229">
                  <c:v>54.62</c:v>
                </c:pt>
                <c:pt idx="230">
                  <c:v>57.5</c:v>
                </c:pt>
                <c:pt idx="231">
                  <c:v>50</c:v>
                </c:pt>
                <c:pt idx="232">
                  <c:v>58.82</c:v>
                </c:pt>
                <c:pt idx="233">
                  <c:v>58.72</c:v>
                </c:pt>
                <c:pt idx="234">
                  <c:v>55.79</c:v>
                </c:pt>
                <c:pt idx="235">
                  <c:v>66.36</c:v>
                </c:pt>
                <c:pt idx="236">
                  <c:v>91.67</c:v>
                </c:pt>
                <c:pt idx="237">
                  <c:v>40.39</c:v>
                </c:pt>
                <c:pt idx="238">
                  <c:v>61.66</c:v>
                </c:pt>
                <c:pt idx="239">
                  <c:v>51.18</c:v>
                </c:pt>
                <c:pt idx="240">
                  <c:v>58.68</c:v>
                </c:pt>
                <c:pt idx="241">
                  <c:v>57.05</c:v>
                </c:pt>
                <c:pt idx="242">
                  <c:v>88.14</c:v>
                </c:pt>
                <c:pt idx="243">
                  <c:v>86.27</c:v>
                </c:pt>
                <c:pt idx="244">
                  <c:v>80.650000000000006</c:v>
                </c:pt>
                <c:pt idx="245">
                  <c:v>90.2</c:v>
                </c:pt>
                <c:pt idx="246">
                  <c:v>50.4</c:v>
                </c:pt>
                <c:pt idx="247">
                  <c:v>50.36</c:v>
                </c:pt>
                <c:pt idx="248">
                  <c:v>92.06</c:v>
                </c:pt>
                <c:pt idx="249">
                  <c:v>55.96</c:v>
                </c:pt>
                <c:pt idx="250">
                  <c:v>52.61</c:v>
                </c:pt>
                <c:pt idx="251">
                  <c:v>53.73</c:v>
                </c:pt>
                <c:pt idx="252">
                  <c:v>53.71</c:v>
                </c:pt>
                <c:pt idx="253">
                  <c:v>54.58</c:v>
                </c:pt>
                <c:pt idx="254">
                  <c:v>87.5</c:v>
                </c:pt>
                <c:pt idx="255">
                  <c:v>86.36</c:v>
                </c:pt>
                <c:pt idx="256">
                  <c:v>47.95</c:v>
                </c:pt>
                <c:pt idx="257">
                  <c:v>39.74</c:v>
                </c:pt>
                <c:pt idx="258">
                  <c:v>58.38</c:v>
                </c:pt>
                <c:pt idx="259">
                  <c:v>55.56</c:v>
                </c:pt>
                <c:pt idx="260">
                  <c:v>55.05</c:v>
                </c:pt>
                <c:pt idx="261">
                  <c:v>44.71</c:v>
                </c:pt>
                <c:pt idx="262">
                  <c:v>86.25</c:v>
                </c:pt>
                <c:pt idx="263">
                  <c:v>75</c:v>
                </c:pt>
                <c:pt idx="264">
                  <c:v>38.15</c:v>
                </c:pt>
                <c:pt idx="265">
                  <c:v>46.46</c:v>
                </c:pt>
                <c:pt idx="266">
                  <c:v>87.5</c:v>
                </c:pt>
                <c:pt idx="267">
                  <c:v>54.94</c:v>
                </c:pt>
                <c:pt idx="268">
                  <c:v>47.04</c:v>
                </c:pt>
                <c:pt idx="269">
                  <c:v>66.11</c:v>
                </c:pt>
                <c:pt idx="270">
                  <c:v>50.27</c:v>
                </c:pt>
                <c:pt idx="271">
                  <c:v>83.08</c:v>
                </c:pt>
                <c:pt idx="272">
                  <c:v>55.68</c:v>
                </c:pt>
                <c:pt idx="273">
                  <c:v>77.05</c:v>
                </c:pt>
                <c:pt idx="274">
                  <c:v>82.26</c:v>
                </c:pt>
                <c:pt idx="275">
                  <c:v>46.33</c:v>
                </c:pt>
                <c:pt idx="276">
                  <c:v>47.46</c:v>
                </c:pt>
                <c:pt idx="277">
                  <c:v>91.38</c:v>
                </c:pt>
                <c:pt idx="278">
                  <c:v>47.15</c:v>
                </c:pt>
                <c:pt idx="279">
                  <c:v>47.09</c:v>
                </c:pt>
                <c:pt idx="280">
                  <c:v>88.68</c:v>
                </c:pt>
                <c:pt idx="281">
                  <c:v>68.150000000000006</c:v>
                </c:pt>
                <c:pt idx="282">
                  <c:v>39.07</c:v>
                </c:pt>
                <c:pt idx="283">
                  <c:v>88.46</c:v>
                </c:pt>
                <c:pt idx="284">
                  <c:v>45.15</c:v>
                </c:pt>
                <c:pt idx="285">
                  <c:v>88.08</c:v>
                </c:pt>
                <c:pt idx="286">
                  <c:v>55.48</c:v>
                </c:pt>
                <c:pt idx="287">
                  <c:v>89.66</c:v>
                </c:pt>
                <c:pt idx="288">
                  <c:v>40.01</c:v>
                </c:pt>
                <c:pt idx="289">
                  <c:v>35.79</c:v>
                </c:pt>
                <c:pt idx="290">
                  <c:v>86.9</c:v>
                </c:pt>
                <c:pt idx="291">
                  <c:v>43.08</c:v>
                </c:pt>
                <c:pt idx="292">
                  <c:v>41.11</c:v>
                </c:pt>
                <c:pt idx="293">
                  <c:v>88.19</c:v>
                </c:pt>
                <c:pt idx="294">
                  <c:v>65.59</c:v>
                </c:pt>
                <c:pt idx="295">
                  <c:v>46.3</c:v>
                </c:pt>
                <c:pt idx="296">
                  <c:v>86.54</c:v>
                </c:pt>
                <c:pt idx="297">
                  <c:v>36.76</c:v>
                </c:pt>
                <c:pt idx="298">
                  <c:v>36.76</c:v>
                </c:pt>
                <c:pt idx="299">
                  <c:v>34.340000000000003</c:v>
                </c:pt>
                <c:pt idx="300">
                  <c:v>46.82</c:v>
                </c:pt>
                <c:pt idx="301">
                  <c:v>32.01</c:v>
                </c:pt>
                <c:pt idx="302">
                  <c:v>44.91</c:v>
                </c:pt>
                <c:pt idx="303">
                  <c:v>51.03</c:v>
                </c:pt>
                <c:pt idx="304">
                  <c:v>45.64</c:v>
                </c:pt>
                <c:pt idx="305">
                  <c:v>49.63</c:v>
                </c:pt>
                <c:pt idx="306">
                  <c:v>35.159999999999997</c:v>
                </c:pt>
                <c:pt idx="307">
                  <c:v>37.57</c:v>
                </c:pt>
                <c:pt idx="308">
                  <c:v>47.52</c:v>
                </c:pt>
                <c:pt idx="309">
                  <c:v>33.979999999999997</c:v>
                </c:pt>
                <c:pt idx="310">
                  <c:v>36.85</c:v>
                </c:pt>
                <c:pt idx="311">
                  <c:v>39.159999999999997</c:v>
                </c:pt>
                <c:pt idx="312">
                  <c:v>41.79</c:v>
                </c:pt>
                <c:pt idx="313">
                  <c:v>59.61</c:v>
                </c:pt>
                <c:pt idx="314">
                  <c:v>47.97</c:v>
                </c:pt>
                <c:pt idx="315">
                  <c:v>89.47</c:v>
                </c:pt>
                <c:pt idx="316">
                  <c:v>64.290000000000006</c:v>
                </c:pt>
                <c:pt idx="317">
                  <c:v>68.59</c:v>
                </c:pt>
                <c:pt idx="318">
                  <c:v>68.790000000000006</c:v>
                </c:pt>
                <c:pt idx="319">
                  <c:v>89.04</c:v>
                </c:pt>
                <c:pt idx="320">
                  <c:v>80.77</c:v>
                </c:pt>
                <c:pt idx="321">
                  <c:v>69.900000000000006</c:v>
                </c:pt>
                <c:pt idx="322">
                  <c:v>38.06</c:v>
                </c:pt>
                <c:pt idx="323">
                  <c:v>40.700000000000003</c:v>
                </c:pt>
                <c:pt idx="324">
                  <c:v>36.090000000000003</c:v>
                </c:pt>
                <c:pt idx="325">
                  <c:v>47.56</c:v>
                </c:pt>
                <c:pt idx="326">
                  <c:v>39.020000000000003</c:v>
                </c:pt>
                <c:pt idx="327">
                  <c:v>43.02</c:v>
                </c:pt>
                <c:pt idx="328">
                  <c:v>88.46</c:v>
                </c:pt>
                <c:pt idx="329">
                  <c:v>50.88</c:v>
                </c:pt>
                <c:pt idx="330">
                  <c:v>38.65</c:v>
                </c:pt>
                <c:pt idx="331">
                  <c:v>36.869999999999997</c:v>
                </c:pt>
                <c:pt idx="332">
                  <c:v>45.76</c:v>
                </c:pt>
                <c:pt idx="333">
                  <c:v>48.95</c:v>
                </c:pt>
                <c:pt idx="334">
                  <c:v>44.99</c:v>
                </c:pt>
                <c:pt idx="335">
                  <c:v>34.08</c:v>
                </c:pt>
                <c:pt idx="336">
                  <c:v>40.11</c:v>
                </c:pt>
                <c:pt idx="337">
                  <c:v>47.52</c:v>
                </c:pt>
                <c:pt idx="338">
                  <c:v>48.34</c:v>
                </c:pt>
                <c:pt idx="339">
                  <c:v>34.08</c:v>
                </c:pt>
                <c:pt idx="340">
                  <c:v>46.5</c:v>
                </c:pt>
                <c:pt idx="341">
                  <c:v>40.369999999999997</c:v>
                </c:pt>
                <c:pt idx="342">
                  <c:v>40.31</c:v>
                </c:pt>
                <c:pt idx="343">
                  <c:v>86.25</c:v>
                </c:pt>
                <c:pt idx="344">
                  <c:v>42.53</c:v>
                </c:pt>
                <c:pt idx="345">
                  <c:v>46.69</c:v>
                </c:pt>
                <c:pt idx="346">
                  <c:v>40.79</c:v>
                </c:pt>
                <c:pt idx="347">
                  <c:v>38.26</c:v>
                </c:pt>
                <c:pt idx="348">
                  <c:v>33.020000000000003</c:v>
                </c:pt>
                <c:pt idx="349">
                  <c:v>49.7</c:v>
                </c:pt>
                <c:pt idx="350">
                  <c:v>48.67</c:v>
                </c:pt>
                <c:pt idx="351">
                  <c:v>87.26</c:v>
                </c:pt>
                <c:pt idx="352">
                  <c:v>79.67</c:v>
                </c:pt>
                <c:pt idx="353">
                  <c:v>51.67</c:v>
                </c:pt>
                <c:pt idx="354">
                  <c:v>51.6</c:v>
                </c:pt>
                <c:pt idx="355">
                  <c:v>44.28</c:v>
                </c:pt>
                <c:pt idx="356">
                  <c:v>48.14</c:v>
                </c:pt>
                <c:pt idx="357">
                  <c:v>47.15</c:v>
                </c:pt>
                <c:pt idx="358">
                  <c:v>48.74</c:v>
                </c:pt>
                <c:pt idx="359">
                  <c:v>42.4</c:v>
                </c:pt>
                <c:pt idx="360">
                  <c:v>68.319999999999993</c:v>
                </c:pt>
                <c:pt idx="361">
                  <c:v>69.3</c:v>
                </c:pt>
                <c:pt idx="362">
                  <c:v>69.88</c:v>
                </c:pt>
                <c:pt idx="363">
                  <c:v>70.83</c:v>
                </c:pt>
                <c:pt idx="364">
                  <c:v>88.14</c:v>
                </c:pt>
                <c:pt idx="365">
                  <c:v>42.73</c:v>
                </c:pt>
                <c:pt idx="366">
                  <c:v>29.81</c:v>
                </c:pt>
                <c:pt idx="367">
                  <c:v>34.729999999999997</c:v>
                </c:pt>
                <c:pt idx="368">
                  <c:v>88.46</c:v>
                </c:pt>
                <c:pt idx="369">
                  <c:v>90</c:v>
                </c:pt>
                <c:pt idx="370">
                  <c:v>77.78</c:v>
                </c:pt>
                <c:pt idx="371">
                  <c:v>50.11</c:v>
                </c:pt>
                <c:pt idx="372">
                  <c:v>38.630000000000003</c:v>
                </c:pt>
                <c:pt idx="373">
                  <c:v>82.76</c:v>
                </c:pt>
                <c:pt idx="374">
                  <c:v>44.59</c:v>
                </c:pt>
                <c:pt idx="375">
                  <c:v>35.76</c:v>
                </c:pt>
                <c:pt idx="376">
                  <c:v>34.94</c:v>
                </c:pt>
                <c:pt idx="377">
                  <c:v>41.18</c:v>
                </c:pt>
                <c:pt idx="378">
                  <c:v>38.74</c:v>
                </c:pt>
                <c:pt idx="379">
                  <c:v>38.42</c:v>
                </c:pt>
                <c:pt idx="380">
                  <c:v>37.909999999999997</c:v>
                </c:pt>
                <c:pt idx="381">
                  <c:v>66.28</c:v>
                </c:pt>
                <c:pt idx="382">
                  <c:v>37.71</c:v>
                </c:pt>
                <c:pt idx="383">
                  <c:v>57</c:v>
                </c:pt>
                <c:pt idx="384">
                  <c:v>63.86</c:v>
                </c:pt>
                <c:pt idx="385">
                  <c:v>50.68</c:v>
                </c:pt>
                <c:pt idx="386">
                  <c:v>53.24</c:v>
                </c:pt>
                <c:pt idx="387">
                  <c:v>61.54</c:v>
                </c:pt>
                <c:pt idx="388">
                  <c:v>91.03</c:v>
                </c:pt>
                <c:pt idx="389">
                  <c:v>86</c:v>
                </c:pt>
                <c:pt idx="390">
                  <c:v>89.58</c:v>
                </c:pt>
                <c:pt idx="391">
                  <c:v>46.05</c:v>
                </c:pt>
                <c:pt idx="392">
                  <c:v>85</c:v>
                </c:pt>
                <c:pt idx="393">
                  <c:v>53.04</c:v>
                </c:pt>
                <c:pt idx="394">
                  <c:v>51.14</c:v>
                </c:pt>
                <c:pt idx="395">
                  <c:v>66.180000000000007</c:v>
                </c:pt>
                <c:pt idx="396">
                  <c:v>69.52</c:v>
                </c:pt>
                <c:pt idx="397">
                  <c:v>55.86</c:v>
                </c:pt>
                <c:pt idx="398">
                  <c:v>54.29</c:v>
                </c:pt>
                <c:pt idx="399">
                  <c:v>71.430000000000007</c:v>
                </c:pt>
                <c:pt idx="400">
                  <c:v>64.83</c:v>
                </c:pt>
                <c:pt idx="401">
                  <c:v>49.63</c:v>
                </c:pt>
                <c:pt idx="402">
                  <c:v>78.180000000000007</c:v>
                </c:pt>
                <c:pt idx="403">
                  <c:v>46.03</c:v>
                </c:pt>
                <c:pt idx="404">
                  <c:v>52.99</c:v>
                </c:pt>
                <c:pt idx="405">
                  <c:v>51.35</c:v>
                </c:pt>
                <c:pt idx="406">
                  <c:v>90.91</c:v>
                </c:pt>
                <c:pt idx="407">
                  <c:v>43.78</c:v>
                </c:pt>
                <c:pt idx="408">
                  <c:v>56.5</c:v>
                </c:pt>
                <c:pt idx="409">
                  <c:v>75.97</c:v>
                </c:pt>
                <c:pt idx="410">
                  <c:v>46.67</c:v>
                </c:pt>
                <c:pt idx="411">
                  <c:v>46.64</c:v>
                </c:pt>
                <c:pt idx="412">
                  <c:v>41.38</c:v>
                </c:pt>
                <c:pt idx="413">
                  <c:v>54.55</c:v>
                </c:pt>
                <c:pt idx="414">
                  <c:v>91.78</c:v>
                </c:pt>
                <c:pt idx="415">
                  <c:v>50.84</c:v>
                </c:pt>
                <c:pt idx="416">
                  <c:v>53.43</c:v>
                </c:pt>
                <c:pt idx="417">
                  <c:v>53.89</c:v>
                </c:pt>
                <c:pt idx="418">
                  <c:v>92.19</c:v>
                </c:pt>
                <c:pt idx="419">
                  <c:v>51.96</c:v>
                </c:pt>
                <c:pt idx="420">
                  <c:v>53.64</c:v>
                </c:pt>
                <c:pt idx="421">
                  <c:v>58.57</c:v>
                </c:pt>
                <c:pt idx="422">
                  <c:v>85</c:v>
                </c:pt>
                <c:pt idx="423">
                  <c:v>50.82</c:v>
                </c:pt>
                <c:pt idx="424">
                  <c:v>92.42</c:v>
                </c:pt>
                <c:pt idx="425">
                  <c:v>91.8</c:v>
                </c:pt>
                <c:pt idx="426">
                  <c:v>39.130000000000003</c:v>
                </c:pt>
                <c:pt idx="427">
                  <c:v>44.37</c:v>
                </c:pt>
                <c:pt idx="428">
                  <c:v>61.6</c:v>
                </c:pt>
                <c:pt idx="429">
                  <c:v>46.92</c:v>
                </c:pt>
                <c:pt idx="430">
                  <c:v>87.23</c:v>
                </c:pt>
                <c:pt idx="431">
                  <c:v>82.5</c:v>
                </c:pt>
                <c:pt idx="432">
                  <c:v>59.44</c:v>
                </c:pt>
                <c:pt idx="433">
                  <c:v>89.71</c:v>
                </c:pt>
                <c:pt idx="434">
                  <c:v>49.36</c:v>
                </c:pt>
                <c:pt idx="435">
                  <c:v>71.260000000000005</c:v>
                </c:pt>
                <c:pt idx="436">
                  <c:v>90.77</c:v>
                </c:pt>
                <c:pt idx="437">
                  <c:v>88.71</c:v>
                </c:pt>
                <c:pt idx="438">
                  <c:v>48.68</c:v>
                </c:pt>
                <c:pt idx="439">
                  <c:v>64.56</c:v>
                </c:pt>
                <c:pt idx="440">
                  <c:v>48.79</c:v>
                </c:pt>
                <c:pt idx="441">
                  <c:v>90.8</c:v>
                </c:pt>
                <c:pt idx="442">
                  <c:v>56.32</c:v>
                </c:pt>
                <c:pt idx="443">
                  <c:v>63.4</c:v>
                </c:pt>
                <c:pt idx="444">
                  <c:v>50.94</c:v>
                </c:pt>
                <c:pt idx="445">
                  <c:v>48.99</c:v>
                </c:pt>
                <c:pt idx="446">
                  <c:v>62.42</c:v>
                </c:pt>
                <c:pt idx="447">
                  <c:v>50.85</c:v>
                </c:pt>
                <c:pt idx="448">
                  <c:v>49.7</c:v>
                </c:pt>
                <c:pt idx="449">
                  <c:v>91.89</c:v>
                </c:pt>
                <c:pt idx="450">
                  <c:v>87.23</c:v>
                </c:pt>
                <c:pt idx="451">
                  <c:v>48.29</c:v>
                </c:pt>
                <c:pt idx="452">
                  <c:v>88.62</c:v>
                </c:pt>
                <c:pt idx="453">
                  <c:v>52.06</c:v>
                </c:pt>
                <c:pt idx="454">
                  <c:v>57.69</c:v>
                </c:pt>
                <c:pt idx="455">
                  <c:v>60</c:v>
                </c:pt>
                <c:pt idx="456">
                  <c:v>92.59</c:v>
                </c:pt>
                <c:pt idx="457">
                  <c:v>65.290000000000006</c:v>
                </c:pt>
                <c:pt idx="458">
                  <c:v>61.24</c:v>
                </c:pt>
                <c:pt idx="459">
                  <c:v>67.52</c:v>
                </c:pt>
                <c:pt idx="460">
                  <c:v>65.290000000000006</c:v>
                </c:pt>
                <c:pt idx="461">
                  <c:v>90.63</c:v>
                </c:pt>
                <c:pt idx="462">
                  <c:v>54.13</c:v>
                </c:pt>
                <c:pt idx="463">
                  <c:v>57.21</c:v>
                </c:pt>
                <c:pt idx="464">
                  <c:v>57.07</c:v>
                </c:pt>
                <c:pt idx="465">
                  <c:v>50.08</c:v>
                </c:pt>
                <c:pt idx="466">
                  <c:v>54.38</c:v>
                </c:pt>
                <c:pt idx="467">
                  <c:v>68.33</c:v>
                </c:pt>
                <c:pt idx="468">
                  <c:v>72</c:v>
                </c:pt>
                <c:pt idx="469">
                  <c:v>91.23</c:v>
                </c:pt>
                <c:pt idx="470">
                  <c:v>86.25</c:v>
                </c:pt>
                <c:pt idx="471">
                  <c:v>91.23</c:v>
                </c:pt>
                <c:pt idx="472">
                  <c:v>37.270000000000003</c:v>
                </c:pt>
                <c:pt idx="473">
                  <c:v>55.7</c:v>
                </c:pt>
                <c:pt idx="474">
                  <c:v>56.91</c:v>
                </c:pt>
                <c:pt idx="475">
                  <c:v>85.96</c:v>
                </c:pt>
                <c:pt idx="476">
                  <c:v>89.13</c:v>
                </c:pt>
                <c:pt idx="477">
                  <c:v>60.68</c:v>
                </c:pt>
                <c:pt idx="478">
                  <c:v>67.19</c:v>
                </c:pt>
                <c:pt idx="479">
                  <c:v>90.78</c:v>
                </c:pt>
                <c:pt idx="480">
                  <c:v>57.98</c:v>
                </c:pt>
                <c:pt idx="481">
                  <c:v>91.49</c:v>
                </c:pt>
                <c:pt idx="482">
                  <c:v>91.49</c:v>
                </c:pt>
                <c:pt idx="483">
                  <c:v>90.7</c:v>
                </c:pt>
                <c:pt idx="484">
                  <c:v>89.8</c:v>
                </c:pt>
                <c:pt idx="485">
                  <c:v>64.25</c:v>
                </c:pt>
                <c:pt idx="486">
                  <c:v>84.48</c:v>
                </c:pt>
                <c:pt idx="487">
                  <c:v>90.74</c:v>
                </c:pt>
                <c:pt idx="488">
                  <c:v>85.9</c:v>
                </c:pt>
                <c:pt idx="489">
                  <c:v>86.21</c:v>
                </c:pt>
                <c:pt idx="490">
                  <c:v>91.49</c:v>
                </c:pt>
                <c:pt idx="491">
                  <c:v>60.07</c:v>
                </c:pt>
                <c:pt idx="492">
                  <c:v>48.39</c:v>
                </c:pt>
                <c:pt idx="493">
                  <c:v>91.49</c:v>
                </c:pt>
                <c:pt idx="494">
                  <c:v>50</c:v>
                </c:pt>
                <c:pt idx="495">
                  <c:v>90.24</c:v>
                </c:pt>
                <c:pt idx="496">
                  <c:v>51.43</c:v>
                </c:pt>
                <c:pt idx="497">
                  <c:v>86.96</c:v>
                </c:pt>
                <c:pt idx="498">
                  <c:v>50.32</c:v>
                </c:pt>
                <c:pt idx="499">
                  <c:v>45.45</c:v>
                </c:pt>
                <c:pt idx="500">
                  <c:v>58.52</c:v>
                </c:pt>
                <c:pt idx="501">
                  <c:v>52.7</c:v>
                </c:pt>
                <c:pt idx="502">
                  <c:v>47.19</c:v>
                </c:pt>
                <c:pt idx="503">
                  <c:v>92</c:v>
                </c:pt>
                <c:pt idx="504">
                  <c:v>44.37</c:v>
                </c:pt>
                <c:pt idx="505">
                  <c:v>90.38</c:v>
                </c:pt>
                <c:pt idx="506">
                  <c:v>91.01</c:v>
                </c:pt>
                <c:pt idx="507">
                  <c:v>88.35</c:v>
                </c:pt>
                <c:pt idx="508">
                  <c:v>48.94</c:v>
                </c:pt>
                <c:pt idx="509">
                  <c:v>54.21</c:v>
                </c:pt>
                <c:pt idx="510">
                  <c:v>43.55</c:v>
                </c:pt>
                <c:pt idx="511">
                  <c:v>53.77</c:v>
                </c:pt>
                <c:pt idx="512">
                  <c:v>91.43</c:v>
                </c:pt>
                <c:pt idx="513">
                  <c:v>88.68</c:v>
                </c:pt>
                <c:pt idx="514">
                  <c:v>80.650000000000006</c:v>
                </c:pt>
                <c:pt idx="515">
                  <c:v>80.650000000000006</c:v>
                </c:pt>
                <c:pt idx="516">
                  <c:v>80.650000000000006</c:v>
                </c:pt>
                <c:pt idx="517">
                  <c:v>80.33</c:v>
                </c:pt>
                <c:pt idx="518">
                  <c:v>80.95</c:v>
                </c:pt>
                <c:pt idx="519">
                  <c:v>79.66</c:v>
                </c:pt>
                <c:pt idx="520">
                  <c:v>44.72</c:v>
                </c:pt>
                <c:pt idx="521">
                  <c:v>88.99</c:v>
                </c:pt>
                <c:pt idx="522">
                  <c:v>52.47</c:v>
                </c:pt>
                <c:pt idx="523">
                  <c:v>89.7</c:v>
                </c:pt>
                <c:pt idx="524">
                  <c:v>52.59</c:v>
                </c:pt>
                <c:pt idx="525">
                  <c:v>54.3</c:v>
                </c:pt>
                <c:pt idx="526">
                  <c:v>48.42</c:v>
                </c:pt>
                <c:pt idx="527">
                  <c:v>46.93</c:v>
                </c:pt>
                <c:pt idx="528">
                  <c:v>60.26</c:v>
                </c:pt>
                <c:pt idx="529">
                  <c:v>54.19</c:v>
                </c:pt>
                <c:pt idx="530">
                  <c:v>88.46</c:v>
                </c:pt>
                <c:pt idx="531">
                  <c:v>60.37</c:v>
                </c:pt>
                <c:pt idx="532">
                  <c:v>87.88</c:v>
                </c:pt>
                <c:pt idx="533">
                  <c:v>32.42</c:v>
                </c:pt>
                <c:pt idx="534">
                  <c:v>49.81</c:v>
                </c:pt>
                <c:pt idx="535">
                  <c:v>58.41</c:v>
                </c:pt>
                <c:pt idx="536">
                  <c:v>88.75</c:v>
                </c:pt>
                <c:pt idx="537">
                  <c:v>44.29</c:v>
                </c:pt>
                <c:pt idx="538">
                  <c:v>70.069999999999993</c:v>
                </c:pt>
                <c:pt idx="539">
                  <c:v>57.01</c:v>
                </c:pt>
                <c:pt idx="540">
                  <c:v>53.14</c:v>
                </c:pt>
                <c:pt idx="541">
                  <c:v>57.31</c:v>
                </c:pt>
                <c:pt idx="542">
                  <c:v>55.53</c:v>
                </c:pt>
                <c:pt idx="543">
                  <c:v>52.91</c:v>
                </c:pt>
                <c:pt idx="544">
                  <c:v>53.79</c:v>
                </c:pt>
                <c:pt idx="545">
                  <c:v>51.72</c:v>
                </c:pt>
                <c:pt idx="546">
                  <c:v>44.26</c:v>
                </c:pt>
                <c:pt idx="547">
                  <c:v>59.03</c:v>
                </c:pt>
                <c:pt idx="548">
                  <c:v>60.47</c:v>
                </c:pt>
                <c:pt idx="549">
                  <c:v>70.08</c:v>
                </c:pt>
                <c:pt idx="550">
                  <c:v>58.81</c:v>
                </c:pt>
                <c:pt idx="551">
                  <c:v>55</c:v>
                </c:pt>
                <c:pt idx="552">
                  <c:v>69.53</c:v>
                </c:pt>
                <c:pt idx="553">
                  <c:v>53.33</c:v>
                </c:pt>
                <c:pt idx="554">
                  <c:v>54.73</c:v>
                </c:pt>
                <c:pt idx="555">
                  <c:v>89.47</c:v>
                </c:pt>
                <c:pt idx="556">
                  <c:v>87.5</c:v>
                </c:pt>
                <c:pt idx="557">
                  <c:v>87.76</c:v>
                </c:pt>
                <c:pt idx="558">
                  <c:v>60.71</c:v>
                </c:pt>
                <c:pt idx="559">
                  <c:v>48</c:v>
                </c:pt>
                <c:pt idx="560">
                  <c:v>49.64</c:v>
                </c:pt>
                <c:pt idx="561">
                  <c:v>48.29</c:v>
                </c:pt>
                <c:pt idx="562">
                  <c:v>51.28</c:v>
                </c:pt>
                <c:pt idx="563">
                  <c:v>65.260000000000005</c:v>
                </c:pt>
                <c:pt idx="564">
                  <c:v>47.08</c:v>
                </c:pt>
                <c:pt idx="565">
                  <c:v>59</c:v>
                </c:pt>
                <c:pt idx="566">
                  <c:v>49.24</c:v>
                </c:pt>
                <c:pt idx="567">
                  <c:v>61.68</c:v>
                </c:pt>
                <c:pt idx="568">
                  <c:v>88.68</c:v>
                </c:pt>
                <c:pt idx="569">
                  <c:v>92.31</c:v>
                </c:pt>
                <c:pt idx="570">
                  <c:v>91.53</c:v>
                </c:pt>
                <c:pt idx="571">
                  <c:v>91.3</c:v>
                </c:pt>
                <c:pt idx="572">
                  <c:v>60.33</c:v>
                </c:pt>
                <c:pt idx="573">
                  <c:v>58.21</c:v>
                </c:pt>
                <c:pt idx="574">
                  <c:v>54.04</c:v>
                </c:pt>
                <c:pt idx="575">
                  <c:v>84.21</c:v>
                </c:pt>
                <c:pt idx="576">
                  <c:v>58.94</c:v>
                </c:pt>
                <c:pt idx="577">
                  <c:v>62.41</c:v>
                </c:pt>
                <c:pt idx="578">
                  <c:v>62.81</c:v>
                </c:pt>
                <c:pt idx="579">
                  <c:v>65.790000000000006</c:v>
                </c:pt>
                <c:pt idx="580">
                  <c:v>59.18</c:v>
                </c:pt>
                <c:pt idx="581">
                  <c:v>64.66</c:v>
                </c:pt>
                <c:pt idx="582">
                  <c:v>68.89</c:v>
                </c:pt>
                <c:pt idx="583">
                  <c:v>78.33</c:v>
                </c:pt>
                <c:pt idx="584">
                  <c:v>62.66</c:v>
                </c:pt>
                <c:pt idx="585">
                  <c:v>61.06</c:v>
                </c:pt>
                <c:pt idx="586">
                  <c:v>62.48</c:v>
                </c:pt>
                <c:pt idx="587">
                  <c:v>60</c:v>
                </c:pt>
                <c:pt idx="588">
                  <c:v>49.66</c:v>
                </c:pt>
                <c:pt idx="589">
                  <c:v>52.79</c:v>
                </c:pt>
                <c:pt idx="590">
                  <c:v>58.77</c:v>
                </c:pt>
                <c:pt idx="591">
                  <c:v>60.7</c:v>
                </c:pt>
                <c:pt idx="592">
                  <c:v>91.97</c:v>
                </c:pt>
                <c:pt idx="593">
                  <c:v>58.72</c:v>
                </c:pt>
                <c:pt idx="594">
                  <c:v>89.69</c:v>
                </c:pt>
                <c:pt idx="595">
                  <c:v>62.5</c:v>
                </c:pt>
                <c:pt idx="596">
                  <c:v>60.29</c:v>
                </c:pt>
                <c:pt idx="597">
                  <c:v>73.28</c:v>
                </c:pt>
                <c:pt idx="598">
                  <c:v>57.69</c:v>
                </c:pt>
                <c:pt idx="599">
                  <c:v>91.28</c:v>
                </c:pt>
                <c:pt idx="600">
                  <c:v>92.98</c:v>
                </c:pt>
                <c:pt idx="601">
                  <c:v>64.44</c:v>
                </c:pt>
                <c:pt idx="602">
                  <c:v>69.23</c:v>
                </c:pt>
                <c:pt idx="603">
                  <c:v>72.84</c:v>
                </c:pt>
                <c:pt idx="604">
                  <c:v>62.05</c:v>
                </c:pt>
                <c:pt idx="605">
                  <c:v>91.78</c:v>
                </c:pt>
                <c:pt idx="606">
                  <c:v>92.54</c:v>
                </c:pt>
                <c:pt idx="607">
                  <c:v>67.31</c:v>
                </c:pt>
                <c:pt idx="608">
                  <c:v>75.31</c:v>
                </c:pt>
                <c:pt idx="609">
                  <c:v>61.11</c:v>
                </c:pt>
                <c:pt idx="610">
                  <c:v>91.67</c:v>
                </c:pt>
                <c:pt idx="611">
                  <c:v>64.790000000000006</c:v>
                </c:pt>
                <c:pt idx="612">
                  <c:v>54.19</c:v>
                </c:pt>
                <c:pt idx="613">
                  <c:v>58.11</c:v>
                </c:pt>
                <c:pt idx="614">
                  <c:v>89.81</c:v>
                </c:pt>
                <c:pt idx="615">
                  <c:v>69.709999999999994</c:v>
                </c:pt>
                <c:pt idx="616">
                  <c:v>89.09</c:v>
                </c:pt>
                <c:pt idx="617">
                  <c:v>59.44</c:v>
                </c:pt>
                <c:pt idx="618">
                  <c:v>58.21</c:v>
                </c:pt>
                <c:pt idx="619">
                  <c:v>74.069999999999993</c:v>
                </c:pt>
                <c:pt idx="620">
                  <c:v>63.03</c:v>
                </c:pt>
                <c:pt idx="621">
                  <c:v>49.28</c:v>
                </c:pt>
                <c:pt idx="622">
                  <c:v>89.29</c:v>
                </c:pt>
                <c:pt idx="623">
                  <c:v>52.35</c:v>
                </c:pt>
                <c:pt idx="624">
                  <c:v>47.6</c:v>
                </c:pt>
                <c:pt idx="625">
                  <c:v>91.67</c:v>
                </c:pt>
                <c:pt idx="626">
                  <c:v>63.39</c:v>
                </c:pt>
                <c:pt idx="627">
                  <c:v>64.08</c:v>
                </c:pt>
                <c:pt idx="628">
                  <c:v>76.069999999999993</c:v>
                </c:pt>
                <c:pt idx="629">
                  <c:v>61.99</c:v>
                </c:pt>
                <c:pt idx="630">
                  <c:v>91.78</c:v>
                </c:pt>
                <c:pt idx="631">
                  <c:v>64.66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B0D-4DC2-A321-99C8C9F913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7652445"/>
        <c:axId val="1191124226"/>
      </c:scatterChart>
      <c:valAx>
        <c:axId val="1917652445"/>
        <c:scaling>
          <c:logBase val="2"/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CA" b="0">
                    <a:solidFill>
                      <a:srgbClr val="000000"/>
                    </a:solidFill>
                    <a:latin typeface="+mn-lt"/>
                  </a:rPr>
                  <a:t>NCLOC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91124226"/>
        <c:crosses val="autoZero"/>
        <c:crossBetween val="midCat"/>
      </c:valAx>
      <c:valAx>
        <c:axId val="11911242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CA" b="0">
                    <a:solidFill>
                      <a:srgbClr val="000000"/>
                    </a:solidFill>
                    <a:latin typeface="+mn-lt"/>
                  </a:rPr>
                  <a:t>DCP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17652445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NoCom Normal Distribution</a:t>
            </a:r>
          </a:p>
        </c:rich>
      </c:tx>
      <c:layout>
        <c:manualLayout>
          <c:xMode val="edge"/>
          <c:yMode val="edge"/>
          <c:x val="2.9250000000000002E-2"/>
          <c:y val="0.05"/>
        </c:manualLayout>
      </c:layout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NoComNormal!$C$2:$C$3</c:f>
              <c:strCache>
                <c:ptCount val="2"/>
                <c:pt idx="0">
                  <c:v>NoCom Frequency Chart:</c:v>
                </c:pt>
                <c:pt idx="1">
                  <c:v>Frequency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NoComNormal!$B$4:$B$30</c:f>
              <c:numCache>
                <c:formatCode>General</c:formatCode>
                <c:ptCount val="2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24</c:v>
                </c:pt>
                <c:pt idx="22">
                  <c:v>27</c:v>
                </c:pt>
                <c:pt idx="23">
                  <c:v>28</c:v>
                </c:pt>
                <c:pt idx="24">
                  <c:v>30</c:v>
                </c:pt>
                <c:pt idx="25">
                  <c:v>31</c:v>
                </c:pt>
                <c:pt idx="26">
                  <c:v>32</c:v>
                </c:pt>
              </c:numCache>
            </c:numRef>
          </c:cat>
          <c:val>
            <c:numRef>
              <c:f>NoComNormal!$C$4:$C$30</c:f>
              <c:numCache>
                <c:formatCode>General</c:formatCode>
                <c:ptCount val="27"/>
                <c:pt idx="0">
                  <c:v>94</c:v>
                </c:pt>
                <c:pt idx="1">
                  <c:v>73</c:v>
                </c:pt>
                <c:pt idx="2">
                  <c:v>86</c:v>
                </c:pt>
                <c:pt idx="3">
                  <c:v>69</c:v>
                </c:pt>
                <c:pt idx="4">
                  <c:v>52</c:v>
                </c:pt>
                <c:pt idx="5">
                  <c:v>48</c:v>
                </c:pt>
                <c:pt idx="6">
                  <c:v>46</c:v>
                </c:pt>
                <c:pt idx="7">
                  <c:v>26</c:v>
                </c:pt>
                <c:pt idx="8">
                  <c:v>30</c:v>
                </c:pt>
                <c:pt idx="9">
                  <c:v>21</c:v>
                </c:pt>
                <c:pt idx="10">
                  <c:v>26</c:v>
                </c:pt>
                <c:pt idx="11">
                  <c:v>11</c:v>
                </c:pt>
                <c:pt idx="12">
                  <c:v>9</c:v>
                </c:pt>
                <c:pt idx="13">
                  <c:v>8</c:v>
                </c:pt>
                <c:pt idx="14">
                  <c:v>9</c:v>
                </c:pt>
                <c:pt idx="15">
                  <c:v>3</c:v>
                </c:pt>
                <c:pt idx="16">
                  <c:v>2</c:v>
                </c:pt>
                <c:pt idx="17">
                  <c:v>3</c:v>
                </c:pt>
                <c:pt idx="18">
                  <c:v>3</c:v>
                </c:pt>
                <c:pt idx="19">
                  <c:v>1</c:v>
                </c:pt>
                <c:pt idx="20">
                  <c:v>4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BAAB-488E-AD76-B10DF4C75F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8397603"/>
        <c:axId val="1844559218"/>
      </c:barChart>
      <c:lineChart>
        <c:grouping val="standard"/>
        <c:varyColors val="0"/>
        <c:ser>
          <c:idx val="1"/>
          <c:order val="1"/>
          <c:tx>
            <c:strRef>
              <c:f>NoComNormal!$F$2:$F$3</c:f>
              <c:strCache>
                <c:ptCount val="2"/>
                <c:pt idx="0">
                  <c:v>Std Deviation:</c:v>
                </c:pt>
                <c:pt idx="1">
                  <c:v>Normal Distribution: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NoComNormal!$B$4:$B$30</c:f>
              <c:numCache>
                <c:formatCode>General</c:formatCode>
                <c:ptCount val="2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24</c:v>
                </c:pt>
                <c:pt idx="22">
                  <c:v>27</c:v>
                </c:pt>
                <c:pt idx="23">
                  <c:v>28</c:v>
                </c:pt>
                <c:pt idx="24">
                  <c:v>30</c:v>
                </c:pt>
                <c:pt idx="25">
                  <c:v>31</c:v>
                </c:pt>
                <c:pt idx="26">
                  <c:v>32</c:v>
                </c:pt>
              </c:numCache>
            </c:numRef>
          </c:cat>
          <c:val>
            <c:numRef>
              <c:f>NoComNormal!$F$4:$F$30</c:f>
              <c:numCache>
                <c:formatCode>General</c:formatCode>
                <c:ptCount val="27"/>
                <c:pt idx="0">
                  <c:v>32.247911161465289</c:v>
                </c:pt>
                <c:pt idx="1">
                  <c:v>38.877566632958889</c:v>
                </c:pt>
                <c:pt idx="2">
                  <c:v>44.849296836016251</c:v>
                </c:pt>
                <c:pt idx="3">
                  <c:v>49.507532446003879</c:v>
                </c:pt>
                <c:pt idx="4">
                  <c:v>52.293294266038792</c:v>
                </c:pt>
                <c:pt idx="5">
                  <c:v>52.854236122941956</c:v>
                </c:pt>
                <c:pt idx="6">
                  <c:v>51.117861620582694</c:v>
                </c:pt>
                <c:pt idx="7">
                  <c:v>47.306915674167634</c:v>
                </c:pt>
                <c:pt idx="8">
                  <c:v>41.892441114939636</c:v>
                </c:pt>
                <c:pt idx="9">
                  <c:v>35.498154915435329</c:v>
                </c:pt>
                <c:pt idx="10">
                  <c:v>28.782927991684016</c:v>
                </c:pt>
                <c:pt idx="11">
                  <c:v>22.331774836666529</c:v>
                </c:pt>
                <c:pt idx="12">
                  <c:v>16.57946788730904</c:v>
                </c:pt>
                <c:pt idx="13">
                  <c:v>11.778148178261434</c:v>
                </c:pt>
                <c:pt idx="14">
                  <c:v>8.0064964978017965</c:v>
                </c:pt>
                <c:pt idx="15">
                  <c:v>5.2079535322606443</c:v>
                </c:pt>
                <c:pt idx="16">
                  <c:v>3.2415353459357319</c:v>
                </c:pt>
                <c:pt idx="17">
                  <c:v>1.9306053299191697</c:v>
                </c:pt>
                <c:pt idx="18">
                  <c:v>1.1002599848644625</c:v>
                </c:pt>
                <c:pt idx="19">
                  <c:v>0.60000685818074639</c:v>
                </c:pt>
                <c:pt idx="20">
                  <c:v>0.31309504084254558</c:v>
                </c:pt>
                <c:pt idx="21">
                  <c:v>7.4695316631483766E-2</c:v>
                </c:pt>
                <c:pt idx="22">
                  <c:v>6.2540627703738718E-3</c:v>
                </c:pt>
                <c:pt idx="23">
                  <c:v>2.5051669889311423E-3</c:v>
                </c:pt>
                <c:pt idx="24">
                  <c:v>3.521784715193003E-4</c:v>
                </c:pt>
                <c:pt idx="25">
                  <c:v>1.2359886531092848E-4</c:v>
                </c:pt>
                <c:pt idx="26">
                  <c:v>4.150737241350007E-5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AB-488E-AD76-B10DF4C75F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397603"/>
        <c:axId val="1844559218"/>
      </c:lineChart>
      <c:catAx>
        <c:axId val="2383976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44559218"/>
        <c:crosses val="autoZero"/>
        <c:auto val="1"/>
        <c:lblAlgn val="ctr"/>
        <c:lblOffset val="100"/>
        <c:noMultiLvlLbl val="1"/>
      </c:catAx>
      <c:valAx>
        <c:axId val="18445592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3839760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NCLOC Normal Distribution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NCLOCNormal!$C$2:$C$3</c:f>
              <c:strCache>
                <c:ptCount val="2"/>
                <c:pt idx="0">
                  <c:v>NCLOC Frequency Chart:</c:v>
                </c:pt>
                <c:pt idx="1">
                  <c:v>Frequency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NCLOCNormal!$B$4:$B$284</c:f>
              <c:numCache>
                <c:formatCode>General</c:formatCode>
                <c:ptCount val="281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23</c:v>
                </c:pt>
                <c:pt idx="17">
                  <c:v>24</c:v>
                </c:pt>
                <c:pt idx="18">
                  <c:v>25</c:v>
                </c:pt>
                <c:pt idx="19">
                  <c:v>26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53</c:v>
                </c:pt>
                <c:pt idx="46">
                  <c:v>54</c:v>
                </c:pt>
                <c:pt idx="47">
                  <c:v>55</c:v>
                </c:pt>
                <c:pt idx="48">
                  <c:v>56</c:v>
                </c:pt>
                <c:pt idx="49">
                  <c:v>57</c:v>
                </c:pt>
                <c:pt idx="50">
                  <c:v>58</c:v>
                </c:pt>
                <c:pt idx="51">
                  <c:v>59</c:v>
                </c:pt>
                <c:pt idx="52">
                  <c:v>60</c:v>
                </c:pt>
                <c:pt idx="53">
                  <c:v>61</c:v>
                </c:pt>
                <c:pt idx="54">
                  <c:v>62</c:v>
                </c:pt>
                <c:pt idx="55">
                  <c:v>64</c:v>
                </c:pt>
                <c:pt idx="56">
                  <c:v>65</c:v>
                </c:pt>
                <c:pt idx="57">
                  <c:v>66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84</c:v>
                </c:pt>
                <c:pt idx="74">
                  <c:v>85</c:v>
                </c:pt>
                <c:pt idx="75">
                  <c:v>86</c:v>
                </c:pt>
                <c:pt idx="76">
                  <c:v>87</c:v>
                </c:pt>
                <c:pt idx="77">
                  <c:v>88</c:v>
                </c:pt>
                <c:pt idx="78">
                  <c:v>89</c:v>
                </c:pt>
                <c:pt idx="79">
                  <c:v>90</c:v>
                </c:pt>
                <c:pt idx="80">
                  <c:v>91</c:v>
                </c:pt>
                <c:pt idx="81">
                  <c:v>93</c:v>
                </c:pt>
                <c:pt idx="82">
                  <c:v>95</c:v>
                </c:pt>
                <c:pt idx="83">
                  <c:v>96</c:v>
                </c:pt>
                <c:pt idx="84">
                  <c:v>97</c:v>
                </c:pt>
                <c:pt idx="85">
                  <c:v>98</c:v>
                </c:pt>
                <c:pt idx="86">
                  <c:v>99</c:v>
                </c:pt>
                <c:pt idx="87">
                  <c:v>100</c:v>
                </c:pt>
                <c:pt idx="88">
                  <c:v>101</c:v>
                </c:pt>
                <c:pt idx="89">
                  <c:v>102</c:v>
                </c:pt>
                <c:pt idx="90">
                  <c:v>103</c:v>
                </c:pt>
                <c:pt idx="91">
                  <c:v>106</c:v>
                </c:pt>
                <c:pt idx="92">
                  <c:v>108</c:v>
                </c:pt>
                <c:pt idx="93">
                  <c:v>109</c:v>
                </c:pt>
                <c:pt idx="94">
                  <c:v>110</c:v>
                </c:pt>
                <c:pt idx="95">
                  <c:v>111</c:v>
                </c:pt>
                <c:pt idx="96">
                  <c:v>112</c:v>
                </c:pt>
                <c:pt idx="97">
                  <c:v>113</c:v>
                </c:pt>
                <c:pt idx="98">
                  <c:v>114</c:v>
                </c:pt>
                <c:pt idx="99">
                  <c:v>115</c:v>
                </c:pt>
                <c:pt idx="100">
                  <c:v>116</c:v>
                </c:pt>
                <c:pt idx="101">
                  <c:v>117</c:v>
                </c:pt>
                <c:pt idx="102">
                  <c:v>118</c:v>
                </c:pt>
                <c:pt idx="103">
                  <c:v>119</c:v>
                </c:pt>
                <c:pt idx="104">
                  <c:v>122</c:v>
                </c:pt>
                <c:pt idx="105">
                  <c:v>123</c:v>
                </c:pt>
                <c:pt idx="106">
                  <c:v>124</c:v>
                </c:pt>
                <c:pt idx="107">
                  <c:v>125</c:v>
                </c:pt>
                <c:pt idx="108">
                  <c:v>126</c:v>
                </c:pt>
                <c:pt idx="109">
                  <c:v>127</c:v>
                </c:pt>
                <c:pt idx="110">
                  <c:v>128</c:v>
                </c:pt>
                <c:pt idx="111">
                  <c:v>130</c:v>
                </c:pt>
                <c:pt idx="112">
                  <c:v>131</c:v>
                </c:pt>
                <c:pt idx="113">
                  <c:v>132</c:v>
                </c:pt>
                <c:pt idx="114">
                  <c:v>133</c:v>
                </c:pt>
                <c:pt idx="115">
                  <c:v>134</c:v>
                </c:pt>
                <c:pt idx="116">
                  <c:v>135</c:v>
                </c:pt>
                <c:pt idx="117">
                  <c:v>136</c:v>
                </c:pt>
                <c:pt idx="118">
                  <c:v>137</c:v>
                </c:pt>
                <c:pt idx="119">
                  <c:v>140</c:v>
                </c:pt>
                <c:pt idx="120">
                  <c:v>141</c:v>
                </c:pt>
                <c:pt idx="121">
                  <c:v>142</c:v>
                </c:pt>
                <c:pt idx="122">
                  <c:v>143</c:v>
                </c:pt>
                <c:pt idx="123">
                  <c:v>144</c:v>
                </c:pt>
                <c:pt idx="124">
                  <c:v>146</c:v>
                </c:pt>
                <c:pt idx="125">
                  <c:v>147</c:v>
                </c:pt>
                <c:pt idx="126">
                  <c:v>148</c:v>
                </c:pt>
                <c:pt idx="127">
                  <c:v>149</c:v>
                </c:pt>
                <c:pt idx="128">
                  <c:v>152</c:v>
                </c:pt>
                <c:pt idx="129">
                  <c:v>153</c:v>
                </c:pt>
                <c:pt idx="130">
                  <c:v>155</c:v>
                </c:pt>
                <c:pt idx="131">
                  <c:v>156</c:v>
                </c:pt>
                <c:pt idx="132">
                  <c:v>157</c:v>
                </c:pt>
                <c:pt idx="133">
                  <c:v>158</c:v>
                </c:pt>
                <c:pt idx="134">
                  <c:v>159</c:v>
                </c:pt>
                <c:pt idx="135">
                  <c:v>162</c:v>
                </c:pt>
                <c:pt idx="136">
                  <c:v>165</c:v>
                </c:pt>
                <c:pt idx="137">
                  <c:v>167</c:v>
                </c:pt>
                <c:pt idx="138">
                  <c:v>168</c:v>
                </c:pt>
                <c:pt idx="139">
                  <c:v>169</c:v>
                </c:pt>
                <c:pt idx="140">
                  <c:v>170</c:v>
                </c:pt>
                <c:pt idx="141">
                  <c:v>171</c:v>
                </c:pt>
                <c:pt idx="142">
                  <c:v>173</c:v>
                </c:pt>
                <c:pt idx="143">
                  <c:v>174</c:v>
                </c:pt>
                <c:pt idx="144">
                  <c:v>175</c:v>
                </c:pt>
                <c:pt idx="145">
                  <c:v>176</c:v>
                </c:pt>
                <c:pt idx="146">
                  <c:v>178</c:v>
                </c:pt>
                <c:pt idx="147">
                  <c:v>179</c:v>
                </c:pt>
                <c:pt idx="148">
                  <c:v>180</c:v>
                </c:pt>
                <c:pt idx="149">
                  <c:v>181</c:v>
                </c:pt>
                <c:pt idx="150">
                  <c:v>182</c:v>
                </c:pt>
                <c:pt idx="151">
                  <c:v>186</c:v>
                </c:pt>
                <c:pt idx="152">
                  <c:v>187</c:v>
                </c:pt>
                <c:pt idx="153">
                  <c:v>188</c:v>
                </c:pt>
                <c:pt idx="154">
                  <c:v>189</c:v>
                </c:pt>
                <c:pt idx="155">
                  <c:v>192</c:v>
                </c:pt>
                <c:pt idx="156">
                  <c:v>194</c:v>
                </c:pt>
                <c:pt idx="157">
                  <c:v>196</c:v>
                </c:pt>
                <c:pt idx="158">
                  <c:v>197</c:v>
                </c:pt>
                <c:pt idx="159">
                  <c:v>198</c:v>
                </c:pt>
                <c:pt idx="160">
                  <c:v>200</c:v>
                </c:pt>
                <c:pt idx="161">
                  <c:v>203</c:v>
                </c:pt>
                <c:pt idx="162">
                  <c:v>204</c:v>
                </c:pt>
                <c:pt idx="163">
                  <c:v>207</c:v>
                </c:pt>
                <c:pt idx="164">
                  <c:v>208</c:v>
                </c:pt>
                <c:pt idx="165">
                  <c:v>209</c:v>
                </c:pt>
                <c:pt idx="166">
                  <c:v>212</c:v>
                </c:pt>
                <c:pt idx="167">
                  <c:v>213</c:v>
                </c:pt>
                <c:pt idx="168">
                  <c:v>214</c:v>
                </c:pt>
                <c:pt idx="169">
                  <c:v>215</c:v>
                </c:pt>
                <c:pt idx="170">
                  <c:v>216</c:v>
                </c:pt>
                <c:pt idx="171">
                  <c:v>217</c:v>
                </c:pt>
                <c:pt idx="172">
                  <c:v>218</c:v>
                </c:pt>
                <c:pt idx="173">
                  <c:v>221</c:v>
                </c:pt>
                <c:pt idx="174">
                  <c:v>222</c:v>
                </c:pt>
                <c:pt idx="175">
                  <c:v>223</c:v>
                </c:pt>
                <c:pt idx="176">
                  <c:v>224</c:v>
                </c:pt>
                <c:pt idx="177">
                  <c:v>226</c:v>
                </c:pt>
                <c:pt idx="178">
                  <c:v>228</c:v>
                </c:pt>
                <c:pt idx="179">
                  <c:v>229</c:v>
                </c:pt>
                <c:pt idx="180">
                  <c:v>230</c:v>
                </c:pt>
                <c:pt idx="181">
                  <c:v>233</c:v>
                </c:pt>
                <c:pt idx="182">
                  <c:v>234</c:v>
                </c:pt>
                <c:pt idx="183">
                  <c:v>235</c:v>
                </c:pt>
                <c:pt idx="184">
                  <c:v>237</c:v>
                </c:pt>
                <c:pt idx="185">
                  <c:v>238</c:v>
                </c:pt>
                <c:pt idx="186">
                  <c:v>239</c:v>
                </c:pt>
                <c:pt idx="187">
                  <c:v>242</c:v>
                </c:pt>
                <c:pt idx="188">
                  <c:v>243</c:v>
                </c:pt>
                <c:pt idx="189">
                  <c:v>244</c:v>
                </c:pt>
                <c:pt idx="190">
                  <c:v>245</c:v>
                </c:pt>
                <c:pt idx="191">
                  <c:v>249</c:v>
                </c:pt>
                <c:pt idx="192">
                  <c:v>252</c:v>
                </c:pt>
                <c:pt idx="193">
                  <c:v>255</c:v>
                </c:pt>
                <c:pt idx="194">
                  <c:v>258</c:v>
                </c:pt>
                <c:pt idx="195">
                  <c:v>259</c:v>
                </c:pt>
                <c:pt idx="196">
                  <c:v>261</c:v>
                </c:pt>
                <c:pt idx="197">
                  <c:v>262</c:v>
                </c:pt>
                <c:pt idx="198">
                  <c:v>268</c:v>
                </c:pt>
                <c:pt idx="199">
                  <c:v>269</c:v>
                </c:pt>
                <c:pt idx="200">
                  <c:v>272</c:v>
                </c:pt>
                <c:pt idx="201">
                  <c:v>276</c:v>
                </c:pt>
                <c:pt idx="202">
                  <c:v>279</c:v>
                </c:pt>
                <c:pt idx="203">
                  <c:v>282</c:v>
                </c:pt>
                <c:pt idx="204">
                  <c:v>283</c:v>
                </c:pt>
                <c:pt idx="205">
                  <c:v>284</c:v>
                </c:pt>
                <c:pt idx="206">
                  <c:v>291</c:v>
                </c:pt>
                <c:pt idx="207">
                  <c:v>293</c:v>
                </c:pt>
                <c:pt idx="208">
                  <c:v>298</c:v>
                </c:pt>
                <c:pt idx="209">
                  <c:v>302</c:v>
                </c:pt>
                <c:pt idx="210">
                  <c:v>307</c:v>
                </c:pt>
                <c:pt idx="211">
                  <c:v>316</c:v>
                </c:pt>
                <c:pt idx="212">
                  <c:v>323</c:v>
                </c:pt>
                <c:pt idx="213">
                  <c:v>325</c:v>
                </c:pt>
                <c:pt idx="214">
                  <c:v>327</c:v>
                </c:pt>
                <c:pt idx="215">
                  <c:v>331</c:v>
                </c:pt>
                <c:pt idx="216">
                  <c:v>334</c:v>
                </c:pt>
                <c:pt idx="217">
                  <c:v>335</c:v>
                </c:pt>
                <c:pt idx="218">
                  <c:v>342</c:v>
                </c:pt>
                <c:pt idx="219">
                  <c:v>347</c:v>
                </c:pt>
                <c:pt idx="220">
                  <c:v>351</c:v>
                </c:pt>
                <c:pt idx="221">
                  <c:v>355</c:v>
                </c:pt>
                <c:pt idx="222">
                  <c:v>358</c:v>
                </c:pt>
                <c:pt idx="223">
                  <c:v>363</c:v>
                </c:pt>
                <c:pt idx="224">
                  <c:v>365</c:v>
                </c:pt>
                <c:pt idx="225">
                  <c:v>371</c:v>
                </c:pt>
                <c:pt idx="226">
                  <c:v>373</c:v>
                </c:pt>
                <c:pt idx="227">
                  <c:v>379</c:v>
                </c:pt>
                <c:pt idx="228">
                  <c:v>380</c:v>
                </c:pt>
                <c:pt idx="229">
                  <c:v>382</c:v>
                </c:pt>
                <c:pt idx="230">
                  <c:v>387</c:v>
                </c:pt>
                <c:pt idx="231">
                  <c:v>392</c:v>
                </c:pt>
                <c:pt idx="232">
                  <c:v>393</c:v>
                </c:pt>
                <c:pt idx="233">
                  <c:v>396</c:v>
                </c:pt>
                <c:pt idx="234">
                  <c:v>398</c:v>
                </c:pt>
                <c:pt idx="235">
                  <c:v>403</c:v>
                </c:pt>
                <c:pt idx="236">
                  <c:v>412</c:v>
                </c:pt>
                <c:pt idx="237">
                  <c:v>417</c:v>
                </c:pt>
                <c:pt idx="238">
                  <c:v>418</c:v>
                </c:pt>
                <c:pt idx="239">
                  <c:v>423</c:v>
                </c:pt>
                <c:pt idx="240">
                  <c:v>425</c:v>
                </c:pt>
                <c:pt idx="241">
                  <c:v>429</c:v>
                </c:pt>
                <c:pt idx="242">
                  <c:v>434</c:v>
                </c:pt>
                <c:pt idx="243">
                  <c:v>438</c:v>
                </c:pt>
                <c:pt idx="244">
                  <c:v>455</c:v>
                </c:pt>
                <c:pt idx="245">
                  <c:v>466</c:v>
                </c:pt>
                <c:pt idx="246">
                  <c:v>468</c:v>
                </c:pt>
                <c:pt idx="247">
                  <c:v>469</c:v>
                </c:pt>
                <c:pt idx="248">
                  <c:v>489</c:v>
                </c:pt>
                <c:pt idx="249">
                  <c:v>507</c:v>
                </c:pt>
                <c:pt idx="250">
                  <c:v>521</c:v>
                </c:pt>
                <c:pt idx="251">
                  <c:v>561</c:v>
                </c:pt>
                <c:pt idx="252">
                  <c:v>565</c:v>
                </c:pt>
                <c:pt idx="253">
                  <c:v>596</c:v>
                </c:pt>
                <c:pt idx="254">
                  <c:v>597</c:v>
                </c:pt>
                <c:pt idx="255">
                  <c:v>606</c:v>
                </c:pt>
                <c:pt idx="256">
                  <c:v>623</c:v>
                </c:pt>
                <c:pt idx="257">
                  <c:v>643</c:v>
                </c:pt>
                <c:pt idx="258">
                  <c:v>653</c:v>
                </c:pt>
                <c:pt idx="259">
                  <c:v>656</c:v>
                </c:pt>
                <c:pt idx="260">
                  <c:v>670</c:v>
                </c:pt>
                <c:pt idx="261">
                  <c:v>677</c:v>
                </c:pt>
                <c:pt idx="262">
                  <c:v>683</c:v>
                </c:pt>
                <c:pt idx="263">
                  <c:v>708</c:v>
                </c:pt>
                <c:pt idx="264">
                  <c:v>726</c:v>
                </c:pt>
                <c:pt idx="265">
                  <c:v>764</c:v>
                </c:pt>
                <c:pt idx="266">
                  <c:v>767</c:v>
                </c:pt>
                <c:pt idx="267">
                  <c:v>780</c:v>
                </c:pt>
                <c:pt idx="268">
                  <c:v>789</c:v>
                </c:pt>
                <c:pt idx="269">
                  <c:v>925</c:v>
                </c:pt>
                <c:pt idx="270">
                  <c:v>947</c:v>
                </c:pt>
                <c:pt idx="271">
                  <c:v>974</c:v>
                </c:pt>
                <c:pt idx="272">
                  <c:v>988</c:v>
                </c:pt>
                <c:pt idx="273">
                  <c:v>1000</c:v>
                </c:pt>
                <c:pt idx="274">
                  <c:v>1063</c:v>
                </c:pt>
                <c:pt idx="275">
                  <c:v>1235</c:v>
                </c:pt>
                <c:pt idx="276">
                  <c:v>1459</c:v>
                </c:pt>
                <c:pt idx="277">
                  <c:v>1547</c:v>
                </c:pt>
                <c:pt idx="278">
                  <c:v>1575</c:v>
                </c:pt>
                <c:pt idx="279">
                  <c:v>2415</c:v>
                </c:pt>
                <c:pt idx="280">
                  <c:v>2732</c:v>
                </c:pt>
              </c:numCache>
            </c:numRef>
          </c:cat>
          <c:val>
            <c:numRef>
              <c:f>NCLOCNormal!$C$4:$C$284</c:f>
              <c:numCache>
                <c:formatCode>General</c:formatCode>
                <c:ptCount val="281"/>
                <c:pt idx="0">
                  <c:v>16</c:v>
                </c:pt>
                <c:pt idx="1">
                  <c:v>43</c:v>
                </c:pt>
                <c:pt idx="2">
                  <c:v>43</c:v>
                </c:pt>
                <c:pt idx="3">
                  <c:v>12</c:v>
                </c:pt>
                <c:pt idx="4">
                  <c:v>7</c:v>
                </c:pt>
                <c:pt idx="5">
                  <c:v>5</c:v>
                </c:pt>
                <c:pt idx="6">
                  <c:v>4</c:v>
                </c:pt>
                <c:pt idx="7">
                  <c:v>13</c:v>
                </c:pt>
                <c:pt idx="8">
                  <c:v>16</c:v>
                </c:pt>
                <c:pt idx="9">
                  <c:v>7</c:v>
                </c:pt>
                <c:pt idx="10">
                  <c:v>5</c:v>
                </c:pt>
                <c:pt idx="11">
                  <c:v>3</c:v>
                </c:pt>
                <c:pt idx="12">
                  <c:v>1</c:v>
                </c:pt>
                <c:pt idx="13">
                  <c:v>4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3</c:v>
                </c:pt>
                <c:pt idx="18">
                  <c:v>3</c:v>
                </c:pt>
                <c:pt idx="19">
                  <c:v>1</c:v>
                </c:pt>
                <c:pt idx="20">
                  <c:v>4</c:v>
                </c:pt>
                <c:pt idx="21">
                  <c:v>1</c:v>
                </c:pt>
                <c:pt idx="22">
                  <c:v>3</c:v>
                </c:pt>
                <c:pt idx="23">
                  <c:v>1</c:v>
                </c:pt>
                <c:pt idx="24">
                  <c:v>2</c:v>
                </c:pt>
                <c:pt idx="25">
                  <c:v>1</c:v>
                </c:pt>
                <c:pt idx="26">
                  <c:v>3</c:v>
                </c:pt>
                <c:pt idx="27">
                  <c:v>5</c:v>
                </c:pt>
                <c:pt idx="28">
                  <c:v>2</c:v>
                </c:pt>
                <c:pt idx="29">
                  <c:v>4</c:v>
                </c:pt>
                <c:pt idx="30">
                  <c:v>3</c:v>
                </c:pt>
                <c:pt idx="31">
                  <c:v>3</c:v>
                </c:pt>
                <c:pt idx="32">
                  <c:v>1</c:v>
                </c:pt>
                <c:pt idx="33">
                  <c:v>4</c:v>
                </c:pt>
                <c:pt idx="34">
                  <c:v>6</c:v>
                </c:pt>
                <c:pt idx="35">
                  <c:v>4</c:v>
                </c:pt>
                <c:pt idx="36">
                  <c:v>2</c:v>
                </c:pt>
                <c:pt idx="37">
                  <c:v>3</c:v>
                </c:pt>
                <c:pt idx="38">
                  <c:v>1</c:v>
                </c:pt>
                <c:pt idx="39">
                  <c:v>2</c:v>
                </c:pt>
                <c:pt idx="40">
                  <c:v>4</c:v>
                </c:pt>
                <c:pt idx="41">
                  <c:v>6</c:v>
                </c:pt>
                <c:pt idx="42">
                  <c:v>2</c:v>
                </c:pt>
                <c:pt idx="43">
                  <c:v>3</c:v>
                </c:pt>
                <c:pt idx="44">
                  <c:v>2</c:v>
                </c:pt>
                <c:pt idx="45">
                  <c:v>2</c:v>
                </c:pt>
                <c:pt idx="46">
                  <c:v>1</c:v>
                </c:pt>
                <c:pt idx="47">
                  <c:v>2</c:v>
                </c:pt>
                <c:pt idx="48">
                  <c:v>9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1</c:v>
                </c:pt>
                <c:pt idx="53">
                  <c:v>1</c:v>
                </c:pt>
                <c:pt idx="54">
                  <c:v>2</c:v>
                </c:pt>
                <c:pt idx="55">
                  <c:v>4</c:v>
                </c:pt>
                <c:pt idx="56">
                  <c:v>5</c:v>
                </c:pt>
                <c:pt idx="57">
                  <c:v>4</c:v>
                </c:pt>
                <c:pt idx="58">
                  <c:v>1</c:v>
                </c:pt>
                <c:pt idx="59">
                  <c:v>2</c:v>
                </c:pt>
                <c:pt idx="60">
                  <c:v>7</c:v>
                </c:pt>
                <c:pt idx="61">
                  <c:v>1</c:v>
                </c:pt>
                <c:pt idx="62">
                  <c:v>5</c:v>
                </c:pt>
                <c:pt idx="63">
                  <c:v>1</c:v>
                </c:pt>
                <c:pt idx="64">
                  <c:v>2</c:v>
                </c:pt>
                <c:pt idx="65">
                  <c:v>1</c:v>
                </c:pt>
                <c:pt idx="66">
                  <c:v>1</c:v>
                </c:pt>
                <c:pt idx="67">
                  <c:v>3</c:v>
                </c:pt>
                <c:pt idx="68">
                  <c:v>2</c:v>
                </c:pt>
                <c:pt idx="69">
                  <c:v>7</c:v>
                </c:pt>
                <c:pt idx="70">
                  <c:v>1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2</c:v>
                </c:pt>
                <c:pt idx="76">
                  <c:v>1</c:v>
                </c:pt>
                <c:pt idx="77">
                  <c:v>1</c:v>
                </c:pt>
                <c:pt idx="78">
                  <c:v>3</c:v>
                </c:pt>
                <c:pt idx="79">
                  <c:v>1</c:v>
                </c:pt>
                <c:pt idx="80">
                  <c:v>1</c:v>
                </c:pt>
                <c:pt idx="81">
                  <c:v>2</c:v>
                </c:pt>
                <c:pt idx="82">
                  <c:v>2</c:v>
                </c:pt>
                <c:pt idx="83">
                  <c:v>1</c:v>
                </c:pt>
                <c:pt idx="84">
                  <c:v>3</c:v>
                </c:pt>
                <c:pt idx="85">
                  <c:v>3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2</c:v>
                </c:pt>
                <c:pt idx="90">
                  <c:v>1</c:v>
                </c:pt>
                <c:pt idx="91">
                  <c:v>6</c:v>
                </c:pt>
                <c:pt idx="92">
                  <c:v>2</c:v>
                </c:pt>
                <c:pt idx="93">
                  <c:v>3</c:v>
                </c:pt>
                <c:pt idx="94">
                  <c:v>3</c:v>
                </c:pt>
                <c:pt idx="95">
                  <c:v>1</c:v>
                </c:pt>
                <c:pt idx="96">
                  <c:v>2</c:v>
                </c:pt>
                <c:pt idx="97">
                  <c:v>1</c:v>
                </c:pt>
                <c:pt idx="98">
                  <c:v>1</c:v>
                </c:pt>
                <c:pt idx="99">
                  <c:v>2</c:v>
                </c:pt>
                <c:pt idx="100">
                  <c:v>1</c:v>
                </c:pt>
                <c:pt idx="101">
                  <c:v>3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2</c:v>
                </c:pt>
                <c:pt idx="106">
                  <c:v>1</c:v>
                </c:pt>
                <c:pt idx="107">
                  <c:v>2</c:v>
                </c:pt>
                <c:pt idx="108">
                  <c:v>3</c:v>
                </c:pt>
                <c:pt idx="109">
                  <c:v>2</c:v>
                </c:pt>
                <c:pt idx="110">
                  <c:v>2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2</c:v>
                </c:pt>
                <c:pt idx="119">
                  <c:v>3</c:v>
                </c:pt>
                <c:pt idx="120">
                  <c:v>1</c:v>
                </c:pt>
                <c:pt idx="121">
                  <c:v>1</c:v>
                </c:pt>
                <c:pt idx="122">
                  <c:v>3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3</c:v>
                </c:pt>
                <c:pt idx="128">
                  <c:v>2</c:v>
                </c:pt>
                <c:pt idx="129">
                  <c:v>1</c:v>
                </c:pt>
                <c:pt idx="130">
                  <c:v>4</c:v>
                </c:pt>
                <c:pt idx="131">
                  <c:v>2</c:v>
                </c:pt>
                <c:pt idx="132">
                  <c:v>1</c:v>
                </c:pt>
                <c:pt idx="133">
                  <c:v>3</c:v>
                </c:pt>
                <c:pt idx="134">
                  <c:v>2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2</c:v>
                </c:pt>
                <c:pt idx="140">
                  <c:v>2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2</c:v>
                </c:pt>
                <c:pt idx="146">
                  <c:v>1</c:v>
                </c:pt>
                <c:pt idx="147">
                  <c:v>2</c:v>
                </c:pt>
                <c:pt idx="148">
                  <c:v>3</c:v>
                </c:pt>
                <c:pt idx="149">
                  <c:v>3</c:v>
                </c:pt>
                <c:pt idx="150">
                  <c:v>1</c:v>
                </c:pt>
                <c:pt idx="151">
                  <c:v>1</c:v>
                </c:pt>
                <c:pt idx="152">
                  <c:v>2</c:v>
                </c:pt>
                <c:pt idx="153">
                  <c:v>1</c:v>
                </c:pt>
                <c:pt idx="154">
                  <c:v>1</c:v>
                </c:pt>
                <c:pt idx="155">
                  <c:v>2</c:v>
                </c:pt>
                <c:pt idx="156">
                  <c:v>1</c:v>
                </c:pt>
                <c:pt idx="157">
                  <c:v>3</c:v>
                </c:pt>
                <c:pt idx="158">
                  <c:v>2</c:v>
                </c:pt>
                <c:pt idx="159">
                  <c:v>2</c:v>
                </c:pt>
                <c:pt idx="160">
                  <c:v>1</c:v>
                </c:pt>
                <c:pt idx="161">
                  <c:v>2</c:v>
                </c:pt>
                <c:pt idx="162">
                  <c:v>2</c:v>
                </c:pt>
                <c:pt idx="163">
                  <c:v>3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2</c:v>
                </c:pt>
                <c:pt idx="168">
                  <c:v>1</c:v>
                </c:pt>
                <c:pt idx="169">
                  <c:v>2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2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3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2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2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2</c:v>
                </c:pt>
                <c:pt idx="199">
                  <c:v>2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2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2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2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AF30-4838-9EA4-6E886A90C6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7281062"/>
        <c:axId val="415473764"/>
      </c:barChart>
      <c:lineChart>
        <c:grouping val="standard"/>
        <c:varyColors val="0"/>
        <c:ser>
          <c:idx val="1"/>
          <c:order val="1"/>
          <c:tx>
            <c:strRef>
              <c:f>NCLOCNormal!$F$2:$F$3</c:f>
              <c:strCache>
                <c:ptCount val="2"/>
                <c:pt idx="0">
                  <c:v>Std Deviation:</c:v>
                </c:pt>
                <c:pt idx="1">
                  <c:v>Normal Distribution: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NCLOCNormal!$B$4:$B$284</c:f>
              <c:numCache>
                <c:formatCode>General</c:formatCode>
                <c:ptCount val="281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23</c:v>
                </c:pt>
                <c:pt idx="17">
                  <c:v>24</c:v>
                </c:pt>
                <c:pt idx="18">
                  <c:v>25</c:v>
                </c:pt>
                <c:pt idx="19">
                  <c:v>26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53</c:v>
                </c:pt>
                <c:pt idx="46">
                  <c:v>54</c:v>
                </c:pt>
                <c:pt idx="47">
                  <c:v>55</c:v>
                </c:pt>
                <c:pt idx="48">
                  <c:v>56</c:v>
                </c:pt>
                <c:pt idx="49">
                  <c:v>57</c:v>
                </c:pt>
                <c:pt idx="50">
                  <c:v>58</c:v>
                </c:pt>
                <c:pt idx="51">
                  <c:v>59</c:v>
                </c:pt>
                <c:pt idx="52">
                  <c:v>60</c:v>
                </c:pt>
                <c:pt idx="53">
                  <c:v>61</c:v>
                </c:pt>
                <c:pt idx="54">
                  <c:v>62</c:v>
                </c:pt>
                <c:pt idx="55">
                  <c:v>64</c:v>
                </c:pt>
                <c:pt idx="56">
                  <c:v>65</c:v>
                </c:pt>
                <c:pt idx="57">
                  <c:v>66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84</c:v>
                </c:pt>
                <c:pt idx="74">
                  <c:v>85</c:v>
                </c:pt>
                <c:pt idx="75">
                  <c:v>86</c:v>
                </c:pt>
                <c:pt idx="76">
                  <c:v>87</c:v>
                </c:pt>
                <c:pt idx="77">
                  <c:v>88</c:v>
                </c:pt>
                <c:pt idx="78">
                  <c:v>89</c:v>
                </c:pt>
                <c:pt idx="79">
                  <c:v>90</c:v>
                </c:pt>
                <c:pt idx="80">
                  <c:v>91</c:v>
                </c:pt>
                <c:pt idx="81">
                  <c:v>93</c:v>
                </c:pt>
                <c:pt idx="82">
                  <c:v>95</c:v>
                </c:pt>
                <c:pt idx="83">
                  <c:v>96</c:v>
                </c:pt>
                <c:pt idx="84">
                  <c:v>97</c:v>
                </c:pt>
                <c:pt idx="85">
                  <c:v>98</c:v>
                </c:pt>
                <c:pt idx="86">
                  <c:v>99</c:v>
                </c:pt>
                <c:pt idx="87">
                  <c:v>100</c:v>
                </c:pt>
                <c:pt idx="88">
                  <c:v>101</c:v>
                </c:pt>
                <c:pt idx="89">
                  <c:v>102</c:v>
                </c:pt>
                <c:pt idx="90">
                  <c:v>103</c:v>
                </c:pt>
                <c:pt idx="91">
                  <c:v>106</c:v>
                </c:pt>
                <c:pt idx="92">
                  <c:v>108</c:v>
                </c:pt>
                <c:pt idx="93">
                  <c:v>109</c:v>
                </c:pt>
                <c:pt idx="94">
                  <c:v>110</c:v>
                </c:pt>
                <c:pt idx="95">
                  <c:v>111</c:v>
                </c:pt>
                <c:pt idx="96">
                  <c:v>112</c:v>
                </c:pt>
                <c:pt idx="97">
                  <c:v>113</c:v>
                </c:pt>
                <c:pt idx="98">
                  <c:v>114</c:v>
                </c:pt>
                <c:pt idx="99">
                  <c:v>115</c:v>
                </c:pt>
                <c:pt idx="100">
                  <c:v>116</c:v>
                </c:pt>
                <c:pt idx="101">
                  <c:v>117</c:v>
                </c:pt>
                <c:pt idx="102">
                  <c:v>118</c:v>
                </c:pt>
                <c:pt idx="103">
                  <c:v>119</c:v>
                </c:pt>
                <c:pt idx="104">
                  <c:v>122</c:v>
                </c:pt>
                <c:pt idx="105">
                  <c:v>123</c:v>
                </c:pt>
                <c:pt idx="106">
                  <c:v>124</c:v>
                </c:pt>
                <c:pt idx="107">
                  <c:v>125</c:v>
                </c:pt>
                <c:pt idx="108">
                  <c:v>126</c:v>
                </c:pt>
                <c:pt idx="109">
                  <c:v>127</c:v>
                </c:pt>
                <c:pt idx="110">
                  <c:v>128</c:v>
                </c:pt>
                <c:pt idx="111">
                  <c:v>130</c:v>
                </c:pt>
                <c:pt idx="112">
                  <c:v>131</c:v>
                </c:pt>
                <c:pt idx="113">
                  <c:v>132</c:v>
                </c:pt>
                <c:pt idx="114">
                  <c:v>133</c:v>
                </c:pt>
                <c:pt idx="115">
                  <c:v>134</c:v>
                </c:pt>
                <c:pt idx="116">
                  <c:v>135</c:v>
                </c:pt>
                <c:pt idx="117">
                  <c:v>136</c:v>
                </c:pt>
                <c:pt idx="118">
                  <c:v>137</c:v>
                </c:pt>
                <c:pt idx="119">
                  <c:v>140</c:v>
                </c:pt>
                <c:pt idx="120">
                  <c:v>141</c:v>
                </c:pt>
                <c:pt idx="121">
                  <c:v>142</c:v>
                </c:pt>
                <c:pt idx="122">
                  <c:v>143</c:v>
                </c:pt>
                <c:pt idx="123">
                  <c:v>144</c:v>
                </c:pt>
                <c:pt idx="124">
                  <c:v>146</c:v>
                </c:pt>
                <c:pt idx="125">
                  <c:v>147</c:v>
                </c:pt>
                <c:pt idx="126">
                  <c:v>148</c:v>
                </c:pt>
                <c:pt idx="127">
                  <c:v>149</c:v>
                </c:pt>
                <c:pt idx="128">
                  <c:v>152</c:v>
                </c:pt>
                <c:pt idx="129">
                  <c:v>153</c:v>
                </c:pt>
                <c:pt idx="130">
                  <c:v>155</c:v>
                </c:pt>
                <c:pt idx="131">
                  <c:v>156</c:v>
                </c:pt>
                <c:pt idx="132">
                  <c:v>157</c:v>
                </c:pt>
                <c:pt idx="133">
                  <c:v>158</c:v>
                </c:pt>
                <c:pt idx="134">
                  <c:v>159</c:v>
                </c:pt>
                <c:pt idx="135">
                  <c:v>162</c:v>
                </c:pt>
                <c:pt idx="136">
                  <c:v>165</c:v>
                </c:pt>
                <c:pt idx="137">
                  <c:v>167</c:v>
                </c:pt>
                <c:pt idx="138">
                  <c:v>168</c:v>
                </c:pt>
                <c:pt idx="139">
                  <c:v>169</c:v>
                </c:pt>
                <c:pt idx="140">
                  <c:v>170</c:v>
                </c:pt>
                <c:pt idx="141">
                  <c:v>171</c:v>
                </c:pt>
                <c:pt idx="142">
                  <c:v>173</c:v>
                </c:pt>
                <c:pt idx="143">
                  <c:v>174</c:v>
                </c:pt>
                <c:pt idx="144">
                  <c:v>175</c:v>
                </c:pt>
                <c:pt idx="145">
                  <c:v>176</c:v>
                </c:pt>
                <c:pt idx="146">
                  <c:v>178</c:v>
                </c:pt>
                <c:pt idx="147">
                  <c:v>179</c:v>
                </c:pt>
                <c:pt idx="148">
                  <c:v>180</c:v>
                </c:pt>
                <c:pt idx="149">
                  <c:v>181</c:v>
                </c:pt>
                <c:pt idx="150">
                  <c:v>182</c:v>
                </c:pt>
                <c:pt idx="151">
                  <c:v>186</c:v>
                </c:pt>
                <c:pt idx="152">
                  <c:v>187</c:v>
                </c:pt>
                <c:pt idx="153">
                  <c:v>188</c:v>
                </c:pt>
                <c:pt idx="154">
                  <c:v>189</c:v>
                </c:pt>
                <c:pt idx="155">
                  <c:v>192</c:v>
                </c:pt>
                <c:pt idx="156">
                  <c:v>194</c:v>
                </c:pt>
                <c:pt idx="157">
                  <c:v>196</c:v>
                </c:pt>
                <c:pt idx="158">
                  <c:v>197</c:v>
                </c:pt>
                <c:pt idx="159">
                  <c:v>198</c:v>
                </c:pt>
                <c:pt idx="160">
                  <c:v>200</c:v>
                </c:pt>
                <c:pt idx="161">
                  <c:v>203</c:v>
                </c:pt>
                <c:pt idx="162">
                  <c:v>204</c:v>
                </c:pt>
                <c:pt idx="163">
                  <c:v>207</c:v>
                </c:pt>
                <c:pt idx="164">
                  <c:v>208</c:v>
                </c:pt>
                <c:pt idx="165">
                  <c:v>209</c:v>
                </c:pt>
                <c:pt idx="166">
                  <c:v>212</c:v>
                </c:pt>
                <c:pt idx="167">
                  <c:v>213</c:v>
                </c:pt>
                <c:pt idx="168">
                  <c:v>214</c:v>
                </c:pt>
                <c:pt idx="169">
                  <c:v>215</c:v>
                </c:pt>
                <c:pt idx="170">
                  <c:v>216</c:v>
                </c:pt>
                <c:pt idx="171">
                  <c:v>217</c:v>
                </c:pt>
                <c:pt idx="172">
                  <c:v>218</c:v>
                </c:pt>
                <c:pt idx="173">
                  <c:v>221</c:v>
                </c:pt>
                <c:pt idx="174">
                  <c:v>222</c:v>
                </c:pt>
                <c:pt idx="175">
                  <c:v>223</c:v>
                </c:pt>
                <c:pt idx="176">
                  <c:v>224</c:v>
                </c:pt>
                <c:pt idx="177">
                  <c:v>226</c:v>
                </c:pt>
                <c:pt idx="178">
                  <c:v>228</c:v>
                </c:pt>
                <c:pt idx="179">
                  <c:v>229</c:v>
                </c:pt>
                <c:pt idx="180">
                  <c:v>230</c:v>
                </c:pt>
                <c:pt idx="181">
                  <c:v>233</c:v>
                </c:pt>
                <c:pt idx="182">
                  <c:v>234</c:v>
                </c:pt>
                <c:pt idx="183">
                  <c:v>235</c:v>
                </c:pt>
                <c:pt idx="184">
                  <c:v>237</c:v>
                </c:pt>
                <c:pt idx="185">
                  <c:v>238</c:v>
                </c:pt>
                <c:pt idx="186">
                  <c:v>239</c:v>
                </c:pt>
                <c:pt idx="187">
                  <c:v>242</c:v>
                </c:pt>
                <c:pt idx="188">
                  <c:v>243</c:v>
                </c:pt>
                <c:pt idx="189">
                  <c:v>244</c:v>
                </c:pt>
                <c:pt idx="190">
                  <c:v>245</c:v>
                </c:pt>
                <c:pt idx="191">
                  <c:v>249</c:v>
                </c:pt>
                <c:pt idx="192">
                  <c:v>252</c:v>
                </c:pt>
                <c:pt idx="193">
                  <c:v>255</c:v>
                </c:pt>
                <c:pt idx="194">
                  <c:v>258</c:v>
                </c:pt>
                <c:pt idx="195">
                  <c:v>259</c:v>
                </c:pt>
                <c:pt idx="196">
                  <c:v>261</c:v>
                </c:pt>
                <c:pt idx="197">
                  <c:v>262</c:v>
                </c:pt>
                <c:pt idx="198">
                  <c:v>268</c:v>
                </c:pt>
                <c:pt idx="199">
                  <c:v>269</c:v>
                </c:pt>
                <c:pt idx="200">
                  <c:v>272</c:v>
                </c:pt>
                <c:pt idx="201">
                  <c:v>276</c:v>
                </c:pt>
                <c:pt idx="202">
                  <c:v>279</c:v>
                </c:pt>
                <c:pt idx="203">
                  <c:v>282</c:v>
                </c:pt>
                <c:pt idx="204">
                  <c:v>283</c:v>
                </c:pt>
                <c:pt idx="205">
                  <c:v>284</c:v>
                </c:pt>
                <c:pt idx="206">
                  <c:v>291</c:v>
                </c:pt>
                <c:pt idx="207">
                  <c:v>293</c:v>
                </c:pt>
                <c:pt idx="208">
                  <c:v>298</c:v>
                </c:pt>
                <c:pt idx="209">
                  <c:v>302</c:v>
                </c:pt>
                <c:pt idx="210">
                  <c:v>307</c:v>
                </c:pt>
                <c:pt idx="211">
                  <c:v>316</c:v>
                </c:pt>
                <c:pt idx="212">
                  <c:v>323</c:v>
                </c:pt>
                <c:pt idx="213">
                  <c:v>325</c:v>
                </c:pt>
                <c:pt idx="214">
                  <c:v>327</c:v>
                </c:pt>
                <c:pt idx="215">
                  <c:v>331</c:v>
                </c:pt>
                <c:pt idx="216">
                  <c:v>334</c:v>
                </c:pt>
                <c:pt idx="217">
                  <c:v>335</c:v>
                </c:pt>
                <c:pt idx="218">
                  <c:v>342</c:v>
                </c:pt>
                <c:pt idx="219">
                  <c:v>347</c:v>
                </c:pt>
                <c:pt idx="220">
                  <c:v>351</c:v>
                </c:pt>
                <c:pt idx="221">
                  <c:v>355</c:v>
                </c:pt>
                <c:pt idx="222">
                  <c:v>358</c:v>
                </c:pt>
                <c:pt idx="223">
                  <c:v>363</c:v>
                </c:pt>
                <c:pt idx="224">
                  <c:v>365</c:v>
                </c:pt>
                <c:pt idx="225">
                  <c:v>371</c:v>
                </c:pt>
                <c:pt idx="226">
                  <c:v>373</c:v>
                </c:pt>
                <c:pt idx="227">
                  <c:v>379</c:v>
                </c:pt>
                <c:pt idx="228">
                  <c:v>380</c:v>
                </c:pt>
                <c:pt idx="229">
                  <c:v>382</c:v>
                </c:pt>
                <c:pt idx="230">
                  <c:v>387</c:v>
                </c:pt>
                <c:pt idx="231">
                  <c:v>392</c:v>
                </c:pt>
                <c:pt idx="232">
                  <c:v>393</c:v>
                </c:pt>
                <c:pt idx="233">
                  <c:v>396</c:v>
                </c:pt>
                <c:pt idx="234">
                  <c:v>398</c:v>
                </c:pt>
                <c:pt idx="235">
                  <c:v>403</c:v>
                </c:pt>
                <c:pt idx="236">
                  <c:v>412</c:v>
                </c:pt>
                <c:pt idx="237">
                  <c:v>417</c:v>
                </c:pt>
                <c:pt idx="238">
                  <c:v>418</c:v>
                </c:pt>
                <c:pt idx="239">
                  <c:v>423</c:v>
                </c:pt>
                <c:pt idx="240">
                  <c:v>425</c:v>
                </c:pt>
                <c:pt idx="241">
                  <c:v>429</c:v>
                </c:pt>
                <c:pt idx="242">
                  <c:v>434</c:v>
                </c:pt>
                <c:pt idx="243">
                  <c:v>438</c:v>
                </c:pt>
                <c:pt idx="244">
                  <c:v>455</c:v>
                </c:pt>
                <c:pt idx="245">
                  <c:v>466</c:v>
                </c:pt>
                <c:pt idx="246">
                  <c:v>468</c:v>
                </c:pt>
                <c:pt idx="247">
                  <c:v>469</c:v>
                </c:pt>
                <c:pt idx="248">
                  <c:v>489</c:v>
                </c:pt>
                <c:pt idx="249">
                  <c:v>507</c:v>
                </c:pt>
                <c:pt idx="250">
                  <c:v>521</c:v>
                </c:pt>
                <c:pt idx="251">
                  <c:v>561</c:v>
                </c:pt>
                <c:pt idx="252">
                  <c:v>565</c:v>
                </c:pt>
                <c:pt idx="253">
                  <c:v>596</c:v>
                </c:pt>
                <c:pt idx="254">
                  <c:v>597</c:v>
                </c:pt>
                <c:pt idx="255">
                  <c:v>606</c:v>
                </c:pt>
                <c:pt idx="256">
                  <c:v>623</c:v>
                </c:pt>
                <c:pt idx="257">
                  <c:v>643</c:v>
                </c:pt>
                <c:pt idx="258">
                  <c:v>653</c:v>
                </c:pt>
                <c:pt idx="259">
                  <c:v>656</c:v>
                </c:pt>
                <c:pt idx="260">
                  <c:v>670</c:v>
                </c:pt>
                <c:pt idx="261">
                  <c:v>677</c:v>
                </c:pt>
                <c:pt idx="262">
                  <c:v>683</c:v>
                </c:pt>
                <c:pt idx="263">
                  <c:v>708</c:v>
                </c:pt>
                <c:pt idx="264">
                  <c:v>726</c:v>
                </c:pt>
                <c:pt idx="265">
                  <c:v>764</c:v>
                </c:pt>
                <c:pt idx="266">
                  <c:v>767</c:v>
                </c:pt>
                <c:pt idx="267">
                  <c:v>780</c:v>
                </c:pt>
                <c:pt idx="268">
                  <c:v>789</c:v>
                </c:pt>
                <c:pt idx="269">
                  <c:v>925</c:v>
                </c:pt>
                <c:pt idx="270">
                  <c:v>947</c:v>
                </c:pt>
                <c:pt idx="271">
                  <c:v>974</c:v>
                </c:pt>
                <c:pt idx="272">
                  <c:v>988</c:v>
                </c:pt>
                <c:pt idx="273">
                  <c:v>1000</c:v>
                </c:pt>
                <c:pt idx="274">
                  <c:v>1063</c:v>
                </c:pt>
                <c:pt idx="275">
                  <c:v>1235</c:v>
                </c:pt>
                <c:pt idx="276">
                  <c:v>1459</c:v>
                </c:pt>
                <c:pt idx="277">
                  <c:v>1547</c:v>
                </c:pt>
                <c:pt idx="278">
                  <c:v>1575</c:v>
                </c:pt>
                <c:pt idx="279">
                  <c:v>2415</c:v>
                </c:pt>
                <c:pt idx="280">
                  <c:v>2732</c:v>
                </c:pt>
              </c:numCache>
            </c:numRef>
          </c:cat>
          <c:val>
            <c:numRef>
              <c:f>NCLOCNormal!$F$4:$F$284</c:f>
              <c:numCache>
                <c:formatCode>General</c:formatCode>
                <c:ptCount val="281"/>
                <c:pt idx="0">
                  <c:v>0.88324592251626943</c:v>
                </c:pt>
                <c:pt idx="1">
                  <c:v>0.88539841069579983</c:v>
                </c:pt>
                <c:pt idx="2">
                  <c:v>0.88754077275921583</c:v>
                </c:pt>
                <c:pt idx="3">
                  <c:v>0.88967290990694547</c:v>
                </c:pt>
                <c:pt idx="4">
                  <c:v>0.89179472363311552</c:v>
                </c:pt>
                <c:pt idx="5">
                  <c:v>0.89390611573309076</c:v>
                </c:pt>
                <c:pt idx="6">
                  <c:v>0.89600698831100178</c:v>
                </c:pt>
                <c:pt idx="7">
                  <c:v>0.89809724378726841</c:v>
                </c:pt>
                <c:pt idx="8">
                  <c:v>0.90017678490610853</c:v>
                </c:pt>
                <c:pt idx="9">
                  <c:v>0.90224551474304038</c:v>
                </c:pt>
                <c:pt idx="10">
                  <c:v>0.90430333671237217</c:v>
                </c:pt>
                <c:pt idx="11">
                  <c:v>0.90635015457467816</c:v>
                </c:pt>
                <c:pt idx="12">
                  <c:v>0.91041039479661834</c:v>
                </c:pt>
                <c:pt idx="13">
                  <c:v>0.91242362647584707</c:v>
                </c:pt>
                <c:pt idx="14">
                  <c:v>0.91442547270209584</c:v>
                </c:pt>
                <c:pt idx="15">
                  <c:v>0.9164158390789543</c:v>
                </c:pt>
                <c:pt idx="16">
                  <c:v>0.92231712105577079</c:v>
                </c:pt>
                <c:pt idx="17">
                  <c:v>0.92426063199804831</c:v>
                </c:pt>
                <c:pt idx="18">
                  <c:v>0.92619219711848555</c:v>
                </c:pt>
                <c:pt idx="19">
                  <c:v>0.92811172447583401</c:v>
                </c:pt>
                <c:pt idx="20">
                  <c:v>0.93191430031731171</c:v>
                </c:pt>
                <c:pt idx="21">
                  <c:v>0.93379716712170202</c:v>
                </c:pt>
                <c:pt idx="22">
                  <c:v>0.93566763281794851</c:v>
                </c:pt>
                <c:pt idx="23">
                  <c:v>0.93752560771082738</c:v>
                </c:pt>
                <c:pt idx="24">
                  <c:v>0.9393710025758667</c:v>
                </c:pt>
                <c:pt idx="25">
                  <c:v>0.9412037286664674</c:v>
                </c:pt>
                <c:pt idx="26">
                  <c:v>0.94302369772099959</c:v>
                </c:pt>
                <c:pt idx="27">
                  <c:v>0.94483082196986723</c:v>
                </c:pt>
                <c:pt idx="28">
                  <c:v>0.94662501414254752</c:v>
                </c:pt>
                <c:pt idx="29">
                  <c:v>0.94840618747459815</c:v>
                </c:pt>
                <c:pt idx="30">
                  <c:v>0.9501742557146341</c:v>
                </c:pt>
                <c:pt idx="31">
                  <c:v>0.95192913313127547</c:v>
                </c:pt>
                <c:pt idx="32">
                  <c:v>0.95367073452005957</c:v>
                </c:pt>
                <c:pt idx="33">
                  <c:v>0.95539897521032424</c:v>
                </c:pt>
                <c:pt idx="34">
                  <c:v>0.95711377107205398</c:v>
                </c:pt>
                <c:pt idx="35">
                  <c:v>0.95881503852269356</c:v>
                </c:pt>
                <c:pt idx="36">
                  <c:v>0.96050269453392723</c:v>
                </c:pt>
                <c:pt idx="37">
                  <c:v>0.962176656638419</c:v>
                </c:pt>
                <c:pt idx="38">
                  <c:v>0.96383684293651983</c:v>
                </c:pt>
                <c:pt idx="39">
                  <c:v>0.96548317210293455</c:v>
                </c:pt>
                <c:pt idx="40">
                  <c:v>0.96711556339335214</c:v>
                </c:pt>
                <c:pt idx="41">
                  <c:v>0.96873393665103691</c:v>
                </c:pt>
                <c:pt idx="42">
                  <c:v>0.97033821231337847</c:v>
                </c:pt>
                <c:pt idx="43">
                  <c:v>0.97192831141840363</c:v>
                </c:pt>
                <c:pt idx="44">
                  <c:v>0.97350415561124526</c:v>
                </c:pt>
                <c:pt idx="45">
                  <c:v>0.97506566715056953</c:v>
                </c:pt>
                <c:pt idx="46">
                  <c:v>0.97661276891496118</c:v>
                </c:pt>
                <c:pt idx="47">
                  <c:v>0.97814538440926468</c:v>
                </c:pt>
                <c:pt idx="48">
                  <c:v>0.97966343777088094</c:v>
                </c:pt>
                <c:pt idx="49">
                  <c:v>0.98116685377601998</c:v>
                </c:pt>
                <c:pt idx="50">
                  <c:v>0.98265555784590852</c:v>
                </c:pt>
                <c:pt idx="51">
                  <c:v>0.98412947605294876</c:v>
                </c:pt>
                <c:pt idx="52">
                  <c:v>0.98558853512683242</c:v>
                </c:pt>
                <c:pt idx="53">
                  <c:v>0.98703266246060672</c:v>
                </c:pt>
                <c:pt idx="54">
                  <c:v>0.98846178611669078</c:v>
                </c:pt>
                <c:pt idx="55">
                  <c:v>0.99127473802808663</c:v>
                </c:pt>
                <c:pt idx="56">
                  <c:v>0.99265842580856101</c:v>
                </c:pt>
                <c:pt idx="57">
                  <c:v>0.99402682897335526</c:v>
                </c:pt>
                <c:pt idx="58">
                  <c:v>0.99671750815149984</c:v>
                </c:pt>
                <c:pt idx="59">
                  <c:v>0.9980396492793564</c:v>
                </c:pt>
                <c:pt idx="60">
                  <c:v>0.99934623603180806</c:v>
                </c:pt>
                <c:pt idx="61">
                  <c:v>1.0006372027580632</c:v>
                </c:pt>
                <c:pt idx="62">
                  <c:v>1.0019124845340599</c:v>
                </c:pt>
                <c:pt idx="63">
                  <c:v>1.0031720171679037</c:v>
                </c:pt>
                <c:pt idx="64">
                  <c:v>1.0044157372052507</c:v>
                </c:pt>
                <c:pt idx="65">
                  <c:v>1.005643581934635</c:v>
                </c:pt>
                <c:pt idx="66">
                  <c:v>1.0068554893927355</c:v>
                </c:pt>
                <c:pt idx="67">
                  <c:v>1.0080513983695862</c:v>
                </c:pt>
                <c:pt idx="68">
                  <c:v>1.0092312484137258</c:v>
                </c:pt>
                <c:pt idx="69">
                  <c:v>1.0103949798372915</c:v>
                </c:pt>
                <c:pt idx="70">
                  <c:v>1.0115425337210475</c:v>
                </c:pt>
                <c:pt idx="71">
                  <c:v>1.0126738519193574</c:v>
                </c:pt>
                <c:pt idx="72">
                  <c:v>1.0137888770650914</c:v>
                </c:pt>
                <c:pt idx="73">
                  <c:v>1.0159698226518723</c:v>
                </c:pt>
                <c:pt idx="74">
                  <c:v>1.0170356322945091</c:v>
                </c:pt>
                <c:pt idx="75">
                  <c:v>1.0180849272971293</c:v>
                </c:pt>
                <c:pt idx="76">
                  <c:v>1.0191176542565892</c:v>
                </c:pt>
                <c:pt idx="77">
                  <c:v>1.0201337605763869</c:v>
                </c:pt>
                <c:pt idx="78">
                  <c:v>1.0211331944711257</c:v>
                </c:pt>
                <c:pt idx="79">
                  <c:v>1.0221159049709125</c:v>
                </c:pt>
                <c:pt idx="80">
                  <c:v>1.0230818419256886</c:v>
                </c:pt>
                <c:pt idx="81">
                  <c:v>1.0249631987246732</c:v>
                </c:pt>
                <c:pt idx="82">
                  <c:v>1.0267768802246902</c:v>
                </c:pt>
                <c:pt idx="83">
                  <c:v>1.0276582261925207</c:v>
                </c:pt>
                <c:pt idx="84">
                  <c:v>1.0285225151656183</c:v>
                </c:pt>
                <c:pt idx="85">
                  <c:v>1.029369702848381</c:v>
                </c:pt>
                <c:pt idx="86">
                  <c:v>1.0301997457972483</c:v>
                </c:pt>
                <c:pt idx="87">
                  <c:v>1.0310126014244141</c:v>
                </c:pt>
                <c:pt idx="88">
                  <c:v>1.0318082280014673</c:v>
                </c:pt>
                <c:pt idx="89">
                  <c:v>1.0325865846629627</c:v>
                </c:pt>
                <c:pt idx="90">
                  <c:v>1.033347631409919</c:v>
                </c:pt>
                <c:pt idx="91">
                  <c:v>1.0355265252421204</c:v>
                </c:pt>
                <c:pt idx="92">
                  <c:v>1.0368918775402163</c:v>
                </c:pt>
                <c:pt idx="93">
                  <c:v>1.0375482737657158</c:v>
                </c:pt>
                <c:pt idx="94">
                  <c:v>1.0381871046233198</c:v>
                </c:pt>
                <c:pt idx="95">
                  <c:v>1.0388083371629149</c:v>
                </c:pt>
                <c:pt idx="96">
                  <c:v>1.0394119393290284</c:v>
                </c:pt>
                <c:pt idx="97">
                  <c:v>1.0399978799635856</c:v>
                </c:pt>
                <c:pt idx="98">
                  <c:v>1.0405661288085906</c:v>
                </c:pt>
                <c:pt idx="99">
                  <c:v>1.0411166565087286</c:v>
                </c:pt>
                <c:pt idx="100">
                  <c:v>1.0416494346138954</c:v>
                </c:pt>
                <c:pt idx="101">
                  <c:v>1.0421644355816473</c:v>
                </c:pt>
                <c:pt idx="102">
                  <c:v>1.0426616327795737</c:v>
                </c:pt>
                <c:pt idx="103">
                  <c:v>1.0431410004875923</c:v>
                </c:pt>
                <c:pt idx="104">
                  <c:v>1.0444718832023285</c:v>
                </c:pt>
                <c:pt idx="105">
                  <c:v>1.0448796940724352</c:v>
                </c:pt>
                <c:pt idx="106">
                  <c:v>1.0452695606120226</c:v>
                </c:pt>
                <c:pt idx="107">
                  <c:v>1.0456414626188026</c:v>
                </c:pt>
                <c:pt idx="108">
                  <c:v>1.0459953808166873</c:v>
                </c:pt>
                <c:pt idx="109">
                  <c:v>1.0463312968574547</c:v>
                </c:pt>
                <c:pt idx="110">
                  <c:v>1.0466491933223332</c:v>
                </c:pt>
                <c:pt idx="111">
                  <c:v>1.0472308625055478</c:v>
                </c:pt>
                <c:pt idx="112">
                  <c:v>1.0474946050467446</c:v>
                </c:pt>
                <c:pt idx="113">
                  <c:v>1.0477402676603838</c:v>
                </c:pt>
                <c:pt idx="114">
                  <c:v>1.0479678375959247</c:v>
                </c:pt>
                <c:pt idx="115">
                  <c:v>1.0481773030401045</c:v>
                </c:pt>
                <c:pt idx="116">
                  <c:v>1.0483686531179606</c:v>
                </c:pt>
                <c:pt idx="117">
                  <c:v>1.0485418778937703</c:v>
                </c:pt>
                <c:pt idx="118">
                  <c:v>1.0486969683719125</c:v>
                </c:pt>
                <c:pt idx="119">
                  <c:v>1.0490533581814074</c:v>
                </c:pt>
                <c:pt idx="120">
                  <c:v>1.0491358403402169</c:v>
                </c:pt>
                <c:pt idx="121">
                  <c:v>1.0492001573491614</c:v>
                </c:pt>
                <c:pt idx="122">
                  <c:v>1.0492463058667223</c:v>
                </c:pt>
                <c:pt idx="123">
                  <c:v>1.0492742834952213</c:v>
                </c:pt>
                <c:pt idx="124">
                  <c:v>1.0492757212146802</c:v>
                </c:pt>
                <c:pt idx="125">
                  <c:v>1.0492491812309397</c:v>
                </c:pt>
                <c:pt idx="126">
                  <c:v>1.0492044702087435</c:v>
                </c:pt>
                <c:pt idx="127">
                  <c:v>1.0491415904710892</c:v>
                </c:pt>
                <c:pt idx="128">
                  <c:v>1.0488439763514612</c:v>
                </c:pt>
                <c:pt idx="129">
                  <c:v>1.0487084638543975</c:v>
                </c:pt>
                <c:pt idx="130">
                  <c:v>1.0483830179921405</c:v>
                </c:pt>
                <c:pt idx="131">
                  <c:v>1.0481931015284338</c:v>
                </c:pt>
                <c:pt idx="132">
                  <c:v>1.0479850688781236</c:v>
                </c:pt>
                <c:pt idx="133">
                  <c:v>1.0477589308418984</c:v>
                </c:pt>
                <c:pt idx="134">
                  <c:v>1.0475146991588251</c:v>
                </c:pt>
                <c:pt idx="135">
                  <c:v>1.0466735736729411</c:v>
                </c:pt>
                <c:pt idx="136">
                  <c:v>1.045670117826891</c:v>
                </c:pt>
                <c:pt idx="137">
                  <c:v>1.0449111918810747</c:v>
                </c:pt>
                <c:pt idx="138">
                  <c:v>1.0445047998998787</c:v>
                </c:pt>
                <c:pt idx="139">
                  <c:v>1.0440804830098545</c:v>
                </c:pt>
                <c:pt idx="140">
                  <c:v>1.0436382631874535</c:v>
                </c:pt>
                <c:pt idx="141">
                  <c:v>1.0431781633300088</c:v>
                </c:pt>
                <c:pt idx="142">
                  <c:v>1.0422044196917961</c:v>
                </c:pt>
                <c:pt idx="143">
                  <c:v>1.0416908262919269</c:v>
                </c:pt>
                <c:pt idx="144">
                  <c:v>1.0411594536144677</c:v>
                </c:pt>
                <c:pt idx="145">
                  <c:v>1.0406103291299513</c:v>
                </c:pt>
                <c:pt idx="146">
                  <c:v>1.0394589391586893</c:v>
                </c:pt>
                <c:pt idx="147">
                  <c:v>1.0388567331424097</c:v>
                </c:pt>
                <c:pt idx="148">
                  <c:v>1.0382368942548854</c:v>
                </c:pt>
                <c:pt idx="149">
                  <c:v>1.0375994544806921</c:v>
                </c:pt>
                <c:pt idx="150">
                  <c:v>1.0369444466992666</c:v>
                </c:pt>
                <c:pt idx="151">
                  <c:v>1.0341494242497591</c:v>
                </c:pt>
                <c:pt idx="152">
                  <c:v>1.0334071007418266</c:v>
                </c:pt>
                <c:pt idx="153">
                  <c:v>1.0326474251318385</c:v>
                </c:pt>
                <c:pt idx="154">
                  <c:v>1.0318704364799229</c:v>
                </c:pt>
                <c:pt idx="155">
                  <c:v>1.0294359959056558</c:v>
                </c:pt>
                <c:pt idx="156">
                  <c:v>1.027727225413372</c:v>
                </c:pt>
                <c:pt idx="157">
                  <c:v>1.0259502136493204</c:v>
                </c:pt>
                <c:pt idx="158">
                  <c:v>1.0250362305091087</c:v>
                </c:pt>
                <c:pt idx="159">
                  <c:v>1.0241053245997038</c:v>
                </c:pt>
                <c:pt idx="160">
                  <c:v>1.0221929357028763</c:v>
                </c:pt>
                <c:pt idx="161">
                  <c:v>1.0191986485460791</c:v>
                </c:pt>
                <c:pt idx="162">
                  <c:v>1.0181672346052864</c:v>
                </c:pt>
                <c:pt idx="163">
                  <c:v>1.014973773541034</c:v>
                </c:pt>
                <c:pt idx="164">
                  <c:v>1.013876393907617</c:v>
                </c:pt>
                <c:pt idx="165">
                  <c:v>1.0127626601948658</c:v>
                </c:pt>
                <c:pt idx="166">
                  <c:v>1.0093239037103952</c:v>
                </c:pt>
                <c:pt idx="167">
                  <c:v>1.0081453267093423</c:v>
                </c:pt>
                <c:pt idx="168">
                  <c:v>1.0069506860255553</c:v>
                </c:pt>
                <c:pt idx="169">
                  <c:v>1.0057400420502685</c:v>
                </c:pt>
                <c:pt idx="170">
                  <c:v>1.0045134559336264</c:v>
                </c:pt>
                <c:pt idx="171">
                  <c:v>1.0032709895795389</c:v>
                </c:pt>
                <c:pt idx="172">
                  <c:v>1.002012705640474</c:v>
                </c:pt>
                <c:pt idx="173">
                  <c:v>0.99814358595555719</c:v>
                </c:pt>
                <c:pt idx="174">
                  <c:v>0.99682267298702676</c:v>
                </c:pt>
                <c:pt idx="175">
                  <c:v>0.99548626673802154</c:v>
                </c:pt>
                <c:pt idx="176">
                  <c:v>0.99413443423983239</c:v>
                </c:pt>
                <c:pt idx="177">
                  <c:v>0.9913847621680294</c:v>
                </c:pt>
                <c:pt idx="178">
                  <c:v>0.98857420713026212</c:v>
                </c:pt>
                <c:pt idx="179">
                  <c:v>0.9871462735248181</c:v>
                </c:pt>
                <c:pt idx="180">
                  <c:v>0.98570333057916992</c:v>
                </c:pt>
                <c:pt idx="181">
                  <c:v>0.98128516788790243</c:v>
                </c:pt>
                <c:pt idx="182">
                  <c:v>0.97978291309346999</c:v>
                </c:pt>
                <c:pt idx="183">
                  <c:v>0.97826601501876398</c:v>
                </c:pt>
                <c:pt idx="184">
                  <c:v>0.97518859035977468</c:v>
                </c:pt>
                <c:pt idx="185">
                  <c:v>0.97362821603311933</c:v>
                </c:pt>
                <c:pt idx="186">
                  <c:v>0.97205350292890313</c:v>
                </c:pt>
                <c:pt idx="187">
                  <c:v>0.96724411093988472</c:v>
                </c:pt>
                <c:pt idx="188">
                  <c:v>0.96561282575888197</c:v>
                </c:pt>
                <c:pt idx="189">
                  <c:v>0.96396759633887807</c:v>
                </c:pt>
                <c:pt idx="190">
                  <c:v>0.96230850337793883</c:v>
                </c:pt>
                <c:pt idx="191">
                  <c:v>0.95553513029944048</c:v>
                </c:pt>
                <c:pt idx="192">
                  <c:v>0.95031357258120364</c:v>
                </c:pt>
                <c:pt idx="193">
                  <c:v>0.94497323977586734</c:v>
                </c:pt>
                <c:pt idx="194">
                  <c:v>0.93951645937939499</c:v>
                </c:pt>
                <c:pt idx="195">
                  <c:v>0.93767206356431176</c:v>
                </c:pt>
                <c:pt idx="196">
                  <c:v>0.9339455999217734</c:v>
                </c:pt>
                <c:pt idx="197">
                  <c:v>0.93206371093948381</c:v>
                </c:pt>
                <c:pt idx="198">
                  <c:v>0.92051688284017152</c:v>
                </c:pt>
                <c:pt idx="199">
                  <c:v>0.91855068482317581</c:v>
                </c:pt>
                <c:pt idx="200">
                  <c:v>0.91258241636855375</c:v>
                </c:pt>
                <c:pt idx="201">
                  <c:v>0.90446567061554317</c:v>
                </c:pt>
                <c:pt idx="202">
                  <c:v>0.89826215601430115</c:v>
                </c:pt>
                <c:pt idx="203">
                  <c:v>0.8919621450653834</c:v>
                </c:pt>
                <c:pt idx="204">
                  <c:v>0.88984115226160998</c:v>
                </c:pt>
                <c:pt idx="205">
                  <c:v>0.8877098282558511</c:v>
                </c:pt>
                <c:pt idx="206">
                  <c:v>0.87250959520457516</c:v>
                </c:pt>
                <c:pt idx="207">
                  <c:v>0.86807935132598479</c:v>
                </c:pt>
                <c:pt idx="208">
                  <c:v>0.85684216868380048</c:v>
                </c:pt>
                <c:pt idx="209">
                  <c:v>0.8476929391525988</c:v>
                </c:pt>
                <c:pt idx="210">
                  <c:v>0.83606779492384886</c:v>
                </c:pt>
                <c:pt idx="211">
                  <c:v>0.81465344801443618</c:v>
                </c:pt>
                <c:pt idx="212">
                  <c:v>0.79760381382506695</c:v>
                </c:pt>
                <c:pt idx="213">
                  <c:v>0.7926747916724961</c:v>
                </c:pt>
                <c:pt idx="214">
                  <c:v>0.78772165659237026</c:v>
                </c:pt>
                <c:pt idx="215">
                  <c:v>0.77774638637165572</c:v>
                </c:pt>
                <c:pt idx="216">
                  <c:v>0.77020784230482697</c:v>
                </c:pt>
                <c:pt idx="217">
                  <c:v>0.76768467501844107</c:v>
                </c:pt>
                <c:pt idx="218">
                  <c:v>0.74988869500341748</c:v>
                </c:pt>
                <c:pt idx="219">
                  <c:v>0.73704735984376457</c:v>
                </c:pt>
                <c:pt idx="220">
                  <c:v>0.72670621588586004</c:v>
                </c:pt>
                <c:pt idx="221">
                  <c:v>0.716311638883531</c:v>
                </c:pt>
                <c:pt idx="222">
                  <c:v>0.70848454273440331</c:v>
                </c:pt>
                <c:pt idx="223">
                  <c:v>0.69538806357303973</c:v>
                </c:pt>
                <c:pt idx="224">
                  <c:v>0.69013383606122536</c:v>
                </c:pt>
                <c:pt idx="225">
                  <c:v>0.67432780340949827</c:v>
                </c:pt>
                <c:pt idx="226">
                  <c:v>0.66904727820084631</c:v>
                </c:pt>
                <c:pt idx="227">
                  <c:v>0.65318095355186057</c:v>
                </c:pt>
                <c:pt idx="228">
                  <c:v>0.65053395612363141</c:v>
                </c:pt>
                <c:pt idx="229">
                  <c:v>0.6452385722116365</c:v>
                </c:pt>
                <c:pt idx="230">
                  <c:v>0.6319963487973338</c:v>
                </c:pt>
                <c:pt idx="231">
                  <c:v>0.61875792504716109</c:v>
                </c:pt>
                <c:pt idx="232">
                  <c:v>0.61611169175425295</c:v>
                </c:pt>
                <c:pt idx="233">
                  <c:v>0.60817749837269552</c:v>
                </c:pt>
                <c:pt idx="234">
                  <c:v>0.60289267092803178</c:v>
                </c:pt>
                <c:pt idx="235">
                  <c:v>0.58970188478405694</c:v>
                </c:pt>
                <c:pt idx="236">
                  <c:v>0.56606352198517074</c:v>
                </c:pt>
                <c:pt idx="237">
                  <c:v>0.5530076783444412</c:v>
                </c:pt>
                <c:pt idx="238">
                  <c:v>0.55040427032866623</c:v>
                </c:pt>
                <c:pt idx="239">
                  <c:v>0.53743028489292866</c:v>
                </c:pt>
                <c:pt idx="240">
                  <c:v>0.53226219468380576</c:v>
                </c:pt>
                <c:pt idx="241">
                  <c:v>0.52196613733319874</c:v>
                </c:pt>
                <c:pt idx="242">
                  <c:v>0.50917723267073167</c:v>
                </c:pt>
                <c:pt idx="243">
                  <c:v>0.49901649752021682</c:v>
                </c:pt>
                <c:pt idx="244">
                  <c:v>0.45663318567282202</c:v>
                </c:pt>
                <c:pt idx="245">
                  <c:v>0.42999823349938726</c:v>
                </c:pt>
                <c:pt idx="246">
                  <c:v>0.42522940569159601</c:v>
                </c:pt>
                <c:pt idx="247">
                  <c:v>0.42285387609381186</c:v>
                </c:pt>
                <c:pt idx="248">
                  <c:v>0.37666154830703985</c:v>
                </c:pt>
                <c:pt idx="249">
                  <c:v>0.3374144976438101</c:v>
                </c:pt>
                <c:pt idx="250">
                  <c:v>0.30853950908020206</c:v>
                </c:pt>
                <c:pt idx="251">
                  <c:v>0.2345194690431899</c:v>
                </c:pt>
                <c:pt idx="252">
                  <c:v>0.22782627223998639</c:v>
                </c:pt>
                <c:pt idx="253">
                  <c:v>0.18032928874662052</c:v>
                </c:pt>
                <c:pt idx="254">
                  <c:v>0.17892479082163978</c:v>
                </c:pt>
                <c:pt idx="255">
                  <c:v>0.16663655447515452</c:v>
                </c:pt>
                <c:pt idx="256">
                  <c:v>0.14512454089438104</c:v>
                </c:pt>
                <c:pt idx="257">
                  <c:v>0.12255611443149504</c:v>
                </c:pt>
                <c:pt idx="258">
                  <c:v>0.11233207732502154</c:v>
                </c:pt>
                <c:pt idx="259">
                  <c:v>0.10939759109536634</c:v>
                </c:pt>
                <c:pt idx="260">
                  <c:v>9.6486050765430043E-2</c:v>
                </c:pt>
                <c:pt idx="261">
                  <c:v>9.0498227147035065E-2</c:v>
                </c:pt>
                <c:pt idx="262">
                  <c:v>8.5604616988770352E-2</c:v>
                </c:pt>
                <c:pt idx="263">
                  <c:v>6.7450812046573216E-2</c:v>
                </c:pt>
                <c:pt idx="264">
                  <c:v>5.6435071423702139E-2</c:v>
                </c:pt>
                <c:pt idx="265">
                  <c:v>3.802467805783509E-2</c:v>
                </c:pt>
                <c:pt idx="266">
                  <c:v>3.6818389455600613E-2</c:v>
                </c:pt>
                <c:pt idx="267">
                  <c:v>3.1960427284227204E-2</c:v>
                </c:pt>
                <c:pt idx="268">
                  <c:v>2.8928378436019628E-2</c:v>
                </c:pt>
                <c:pt idx="269">
                  <c:v>5.4078291485018396E-3</c:v>
                </c:pt>
                <c:pt idx="270">
                  <c:v>4.0007077168499692E-3</c:v>
                </c:pt>
                <c:pt idx="271">
                  <c:v>2.7322990366199767E-3</c:v>
                </c:pt>
                <c:pt idx="272">
                  <c:v>2.2309938690074659E-3</c:v>
                </c:pt>
                <c:pt idx="273">
                  <c:v>1.8701258443754904E-3</c:v>
                </c:pt>
                <c:pt idx="274">
                  <c:v>7.1089620773531965E-4</c:v>
                </c:pt>
                <c:pt idx="275">
                  <c:v>3.5723124788760024E-5</c:v>
                </c:pt>
                <c:pt idx="276">
                  <c:v>3.3714169531451797E-7</c:v>
                </c:pt>
                <c:pt idx="277">
                  <c:v>4.255641105640707E-8</c:v>
                </c:pt>
                <c:pt idx="278">
                  <c:v>2.1416713451480158E-8</c:v>
                </c:pt>
                <c:pt idx="279">
                  <c:v>4.3880899996196419E-20</c:v>
                </c:pt>
                <c:pt idx="280">
                  <c:v>7.1105467599513203E-26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30-4838-9EA4-6E886A90C6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281062"/>
        <c:axId val="415473764"/>
      </c:lineChart>
      <c:catAx>
        <c:axId val="5172810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15473764"/>
        <c:crosses val="autoZero"/>
        <c:auto val="1"/>
        <c:lblAlgn val="ctr"/>
        <c:lblOffset val="100"/>
        <c:noMultiLvlLbl val="1"/>
      </c:catAx>
      <c:valAx>
        <c:axId val="4154737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1728106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DCP Normal Distribution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DCPNormal!$C$2:$C$3</c:f>
              <c:strCache>
                <c:ptCount val="2"/>
                <c:pt idx="0">
                  <c:v>DCP Frequency Chart:</c:v>
                </c:pt>
                <c:pt idx="1">
                  <c:v>Frequency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DCPNormal!$B$4:$B$521</c:f>
              <c:numCache>
                <c:formatCode>General</c:formatCode>
                <c:ptCount val="518"/>
                <c:pt idx="0">
                  <c:v>25.24</c:v>
                </c:pt>
                <c:pt idx="1">
                  <c:v>26.64</c:v>
                </c:pt>
                <c:pt idx="2">
                  <c:v>29.81</c:v>
                </c:pt>
                <c:pt idx="3">
                  <c:v>32.01</c:v>
                </c:pt>
                <c:pt idx="4">
                  <c:v>32.42</c:v>
                </c:pt>
                <c:pt idx="5">
                  <c:v>33.020000000000003</c:v>
                </c:pt>
                <c:pt idx="6">
                  <c:v>33.979999999999997</c:v>
                </c:pt>
                <c:pt idx="7">
                  <c:v>34.07</c:v>
                </c:pt>
                <c:pt idx="8">
                  <c:v>34.08</c:v>
                </c:pt>
                <c:pt idx="9">
                  <c:v>34.340000000000003</c:v>
                </c:pt>
                <c:pt idx="10">
                  <c:v>34.729999999999997</c:v>
                </c:pt>
                <c:pt idx="11">
                  <c:v>34.94</c:v>
                </c:pt>
                <c:pt idx="12">
                  <c:v>35.159999999999997</c:v>
                </c:pt>
                <c:pt idx="13">
                  <c:v>35.76</c:v>
                </c:pt>
                <c:pt idx="14">
                  <c:v>35.79</c:v>
                </c:pt>
                <c:pt idx="15">
                  <c:v>36.090000000000003</c:v>
                </c:pt>
                <c:pt idx="16">
                  <c:v>36.35</c:v>
                </c:pt>
                <c:pt idx="17">
                  <c:v>36.76</c:v>
                </c:pt>
                <c:pt idx="18">
                  <c:v>36.85</c:v>
                </c:pt>
                <c:pt idx="19">
                  <c:v>36.869999999999997</c:v>
                </c:pt>
                <c:pt idx="20">
                  <c:v>37.270000000000003</c:v>
                </c:pt>
                <c:pt idx="21">
                  <c:v>37.5</c:v>
                </c:pt>
                <c:pt idx="22">
                  <c:v>37.57</c:v>
                </c:pt>
                <c:pt idx="23">
                  <c:v>37.69</c:v>
                </c:pt>
                <c:pt idx="24">
                  <c:v>37.71</c:v>
                </c:pt>
                <c:pt idx="25">
                  <c:v>37.89</c:v>
                </c:pt>
                <c:pt idx="26">
                  <c:v>37.909999999999997</c:v>
                </c:pt>
                <c:pt idx="27">
                  <c:v>38.06</c:v>
                </c:pt>
                <c:pt idx="28">
                  <c:v>38.15</c:v>
                </c:pt>
                <c:pt idx="29">
                  <c:v>38.26</c:v>
                </c:pt>
                <c:pt idx="30">
                  <c:v>38.42</c:v>
                </c:pt>
                <c:pt idx="31">
                  <c:v>38.630000000000003</c:v>
                </c:pt>
                <c:pt idx="32">
                  <c:v>38.65</c:v>
                </c:pt>
                <c:pt idx="33">
                  <c:v>38.74</c:v>
                </c:pt>
                <c:pt idx="34">
                  <c:v>38.979999999999997</c:v>
                </c:pt>
                <c:pt idx="35">
                  <c:v>39.020000000000003</c:v>
                </c:pt>
                <c:pt idx="36">
                  <c:v>39.07</c:v>
                </c:pt>
                <c:pt idx="37">
                  <c:v>39.130000000000003</c:v>
                </c:pt>
                <c:pt idx="38">
                  <c:v>39.159999999999997</c:v>
                </c:pt>
                <c:pt idx="39">
                  <c:v>39.74</c:v>
                </c:pt>
                <c:pt idx="40">
                  <c:v>40.01</c:v>
                </c:pt>
                <c:pt idx="41">
                  <c:v>40.11</c:v>
                </c:pt>
                <c:pt idx="42">
                  <c:v>40.31</c:v>
                </c:pt>
                <c:pt idx="43">
                  <c:v>40.369999999999997</c:v>
                </c:pt>
                <c:pt idx="44">
                  <c:v>40.39</c:v>
                </c:pt>
                <c:pt idx="45">
                  <c:v>40.69</c:v>
                </c:pt>
                <c:pt idx="46">
                  <c:v>40.700000000000003</c:v>
                </c:pt>
                <c:pt idx="47">
                  <c:v>40.71</c:v>
                </c:pt>
                <c:pt idx="48">
                  <c:v>40.79</c:v>
                </c:pt>
                <c:pt idx="49">
                  <c:v>40.950000000000003</c:v>
                </c:pt>
                <c:pt idx="50">
                  <c:v>41.01</c:v>
                </c:pt>
                <c:pt idx="51">
                  <c:v>41.11</c:v>
                </c:pt>
                <c:pt idx="52">
                  <c:v>41.18</c:v>
                </c:pt>
                <c:pt idx="53">
                  <c:v>41.31</c:v>
                </c:pt>
                <c:pt idx="54">
                  <c:v>41.38</c:v>
                </c:pt>
                <c:pt idx="55">
                  <c:v>41.45</c:v>
                </c:pt>
                <c:pt idx="56">
                  <c:v>41.57</c:v>
                </c:pt>
                <c:pt idx="57">
                  <c:v>41.6</c:v>
                </c:pt>
                <c:pt idx="58">
                  <c:v>41.7</c:v>
                </c:pt>
                <c:pt idx="59">
                  <c:v>41.79</c:v>
                </c:pt>
                <c:pt idx="60">
                  <c:v>42.4</c:v>
                </c:pt>
                <c:pt idx="61">
                  <c:v>42.53</c:v>
                </c:pt>
                <c:pt idx="62">
                  <c:v>42.57</c:v>
                </c:pt>
                <c:pt idx="63">
                  <c:v>42.69</c:v>
                </c:pt>
                <c:pt idx="64">
                  <c:v>42.73</c:v>
                </c:pt>
                <c:pt idx="65">
                  <c:v>43.02</c:v>
                </c:pt>
                <c:pt idx="66">
                  <c:v>43.07</c:v>
                </c:pt>
                <c:pt idx="67">
                  <c:v>43.08</c:v>
                </c:pt>
                <c:pt idx="68">
                  <c:v>43.55</c:v>
                </c:pt>
                <c:pt idx="69">
                  <c:v>43.56</c:v>
                </c:pt>
                <c:pt idx="70">
                  <c:v>43.62</c:v>
                </c:pt>
                <c:pt idx="71">
                  <c:v>43.76</c:v>
                </c:pt>
                <c:pt idx="72">
                  <c:v>43.78</c:v>
                </c:pt>
                <c:pt idx="73">
                  <c:v>43.98</c:v>
                </c:pt>
                <c:pt idx="74">
                  <c:v>44.12</c:v>
                </c:pt>
                <c:pt idx="75">
                  <c:v>44.26</c:v>
                </c:pt>
                <c:pt idx="76">
                  <c:v>44.28</c:v>
                </c:pt>
                <c:pt idx="77">
                  <c:v>44.29</c:v>
                </c:pt>
                <c:pt idx="78">
                  <c:v>44.37</c:v>
                </c:pt>
                <c:pt idx="79">
                  <c:v>44.59</c:v>
                </c:pt>
                <c:pt idx="80">
                  <c:v>44.71</c:v>
                </c:pt>
                <c:pt idx="81">
                  <c:v>44.72</c:v>
                </c:pt>
                <c:pt idx="82">
                  <c:v>44.74</c:v>
                </c:pt>
                <c:pt idx="83">
                  <c:v>44.86</c:v>
                </c:pt>
                <c:pt idx="84">
                  <c:v>44.91</c:v>
                </c:pt>
                <c:pt idx="85">
                  <c:v>44.99</c:v>
                </c:pt>
                <c:pt idx="86">
                  <c:v>45.04</c:v>
                </c:pt>
                <c:pt idx="87">
                  <c:v>45.15</c:v>
                </c:pt>
                <c:pt idx="88">
                  <c:v>45.45</c:v>
                </c:pt>
                <c:pt idx="89">
                  <c:v>45.62</c:v>
                </c:pt>
                <c:pt idx="90">
                  <c:v>45.64</c:v>
                </c:pt>
                <c:pt idx="91">
                  <c:v>45.76</c:v>
                </c:pt>
                <c:pt idx="92">
                  <c:v>45.96</c:v>
                </c:pt>
                <c:pt idx="93">
                  <c:v>45.98</c:v>
                </c:pt>
                <c:pt idx="94">
                  <c:v>46.03</c:v>
                </c:pt>
                <c:pt idx="95">
                  <c:v>46.05</c:v>
                </c:pt>
                <c:pt idx="96">
                  <c:v>46.3</c:v>
                </c:pt>
                <c:pt idx="97">
                  <c:v>46.33</c:v>
                </c:pt>
                <c:pt idx="98">
                  <c:v>46.42</c:v>
                </c:pt>
                <c:pt idx="99">
                  <c:v>46.46</c:v>
                </c:pt>
                <c:pt idx="100">
                  <c:v>46.5</c:v>
                </c:pt>
                <c:pt idx="101">
                  <c:v>46.52</c:v>
                </c:pt>
                <c:pt idx="102">
                  <c:v>46.61</c:v>
                </c:pt>
                <c:pt idx="103">
                  <c:v>46.64</c:v>
                </c:pt>
                <c:pt idx="104">
                  <c:v>46.67</c:v>
                </c:pt>
                <c:pt idx="105">
                  <c:v>46.69</c:v>
                </c:pt>
                <c:pt idx="106">
                  <c:v>46.73</c:v>
                </c:pt>
                <c:pt idx="107">
                  <c:v>46.82</c:v>
                </c:pt>
                <c:pt idx="108">
                  <c:v>46.92</c:v>
                </c:pt>
                <c:pt idx="109">
                  <c:v>46.93</c:v>
                </c:pt>
                <c:pt idx="110">
                  <c:v>47.04</c:v>
                </c:pt>
                <c:pt idx="111">
                  <c:v>47.08</c:v>
                </c:pt>
                <c:pt idx="112">
                  <c:v>47.09</c:v>
                </c:pt>
                <c:pt idx="113">
                  <c:v>47.15</c:v>
                </c:pt>
                <c:pt idx="114">
                  <c:v>47.17</c:v>
                </c:pt>
                <c:pt idx="115">
                  <c:v>47.19</c:v>
                </c:pt>
                <c:pt idx="116">
                  <c:v>47.46</c:v>
                </c:pt>
                <c:pt idx="117">
                  <c:v>47.52</c:v>
                </c:pt>
                <c:pt idx="118">
                  <c:v>47.56</c:v>
                </c:pt>
                <c:pt idx="119">
                  <c:v>47.6</c:v>
                </c:pt>
                <c:pt idx="120">
                  <c:v>47.95</c:v>
                </c:pt>
                <c:pt idx="121">
                  <c:v>47.97</c:v>
                </c:pt>
                <c:pt idx="122">
                  <c:v>48</c:v>
                </c:pt>
                <c:pt idx="123">
                  <c:v>48.14</c:v>
                </c:pt>
                <c:pt idx="124">
                  <c:v>48.18</c:v>
                </c:pt>
                <c:pt idx="125">
                  <c:v>48.29</c:v>
                </c:pt>
                <c:pt idx="126">
                  <c:v>48.34</c:v>
                </c:pt>
                <c:pt idx="127">
                  <c:v>48.39</c:v>
                </c:pt>
                <c:pt idx="128">
                  <c:v>48.42</c:v>
                </c:pt>
                <c:pt idx="129">
                  <c:v>48.54</c:v>
                </c:pt>
                <c:pt idx="130">
                  <c:v>48.63</c:v>
                </c:pt>
                <c:pt idx="131">
                  <c:v>48.67</c:v>
                </c:pt>
                <c:pt idx="132">
                  <c:v>48.68</c:v>
                </c:pt>
                <c:pt idx="133">
                  <c:v>48.74</c:v>
                </c:pt>
                <c:pt idx="134">
                  <c:v>48.79</c:v>
                </c:pt>
                <c:pt idx="135">
                  <c:v>48.85</c:v>
                </c:pt>
                <c:pt idx="136">
                  <c:v>48.94</c:v>
                </c:pt>
                <c:pt idx="137">
                  <c:v>48.95</c:v>
                </c:pt>
                <c:pt idx="138">
                  <c:v>48.97</c:v>
                </c:pt>
                <c:pt idx="139">
                  <c:v>48.99</c:v>
                </c:pt>
                <c:pt idx="140">
                  <c:v>49.23</c:v>
                </c:pt>
                <c:pt idx="141">
                  <c:v>49.24</c:v>
                </c:pt>
                <c:pt idx="142">
                  <c:v>49.28</c:v>
                </c:pt>
                <c:pt idx="143">
                  <c:v>49.36</c:v>
                </c:pt>
                <c:pt idx="144">
                  <c:v>49.63</c:v>
                </c:pt>
                <c:pt idx="145">
                  <c:v>49.64</c:v>
                </c:pt>
                <c:pt idx="146">
                  <c:v>49.66</c:v>
                </c:pt>
                <c:pt idx="147">
                  <c:v>49.7</c:v>
                </c:pt>
                <c:pt idx="148">
                  <c:v>49.81</c:v>
                </c:pt>
                <c:pt idx="149">
                  <c:v>50</c:v>
                </c:pt>
                <c:pt idx="150">
                  <c:v>50.08</c:v>
                </c:pt>
                <c:pt idx="151">
                  <c:v>50.11</c:v>
                </c:pt>
                <c:pt idx="152">
                  <c:v>50.27</c:v>
                </c:pt>
                <c:pt idx="153">
                  <c:v>50.32</c:v>
                </c:pt>
                <c:pt idx="154">
                  <c:v>50.36</c:v>
                </c:pt>
                <c:pt idx="155">
                  <c:v>50.39</c:v>
                </c:pt>
                <c:pt idx="156">
                  <c:v>50.4</c:v>
                </c:pt>
                <c:pt idx="157">
                  <c:v>50.42</c:v>
                </c:pt>
                <c:pt idx="158">
                  <c:v>50.63</c:v>
                </c:pt>
                <c:pt idx="159">
                  <c:v>50.68</c:v>
                </c:pt>
                <c:pt idx="160">
                  <c:v>50.74</c:v>
                </c:pt>
                <c:pt idx="161">
                  <c:v>50.79</c:v>
                </c:pt>
                <c:pt idx="162">
                  <c:v>50.82</c:v>
                </c:pt>
                <c:pt idx="163">
                  <c:v>50.84</c:v>
                </c:pt>
                <c:pt idx="164">
                  <c:v>50.85</c:v>
                </c:pt>
                <c:pt idx="165">
                  <c:v>50.88</c:v>
                </c:pt>
                <c:pt idx="166">
                  <c:v>50.94</c:v>
                </c:pt>
                <c:pt idx="167">
                  <c:v>51.03</c:v>
                </c:pt>
                <c:pt idx="168">
                  <c:v>51.1</c:v>
                </c:pt>
                <c:pt idx="169">
                  <c:v>51.14</c:v>
                </c:pt>
                <c:pt idx="170">
                  <c:v>51.18</c:v>
                </c:pt>
                <c:pt idx="171">
                  <c:v>51.21</c:v>
                </c:pt>
                <c:pt idx="172">
                  <c:v>51.28</c:v>
                </c:pt>
                <c:pt idx="173">
                  <c:v>51.35</c:v>
                </c:pt>
                <c:pt idx="174">
                  <c:v>51.43</c:v>
                </c:pt>
                <c:pt idx="175">
                  <c:v>51.6</c:v>
                </c:pt>
                <c:pt idx="176">
                  <c:v>51.63</c:v>
                </c:pt>
                <c:pt idx="177">
                  <c:v>51.64</c:v>
                </c:pt>
                <c:pt idx="178">
                  <c:v>51.67</c:v>
                </c:pt>
                <c:pt idx="179">
                  <c:v>51.72</c:v>
                </c:pt>
                <c:pt idx="180">
                  <c:v>51.96</c:v>
                </c:pt>
                <c:pt idx="181">
                  <c:v>52.06</c:v>
                </c:pt>
                <c:pt idx="182">
                  <c:v>52.35</c:v>
                </c:pt>
                <c:pt idx="183">
                  <c:v>52.39</c:v>
                </c:pt>
                <c:pt idx="184">
                  <c:v>52.47</c:v>
                </c:pt>
                <c:pt idx="185">
                  <c:v>52.48</c:v>
                </c:pt>
                <c:pt idx="186">
                  <c:v>52.54</c:v>
                </c:pt>
                <c:pt idx="187">
                  <c:v>52.59</c:v>
                </c:pt>
                <c:pt idx="188">
                  <c:v>52.61</c:v>
                </c:pt>
                <c:pt idx="189">
                  <c:v>52.66</c:v>
                </c:pt>
                <c:pt idx="190">
                  <c:v>52.7</c:v>
                </c:pt>
                <c:pt idx="191">
                  <c:v>52.79</c:v>
                </c:pt>
                <c:pt idx="192">
                  <c:v>52.8</c:v>
                </c:pt>
                <c:pt idx="193">
                  <c:v>52.81</c:v>
                </c:pt>
                <c:pt idx="194">
                  <c:v>52.91</c:v>
                </c:pt>
                <c:pt idx="195">
                  <c:v>52.99</c:v>
                </c:pt>
                <c:pt idx="196">
                  <c:v>53.02</c:v>
                </c:pt>
                <c:pt idx="197">
                  <c:v>53.04</c:v>
                </c:pt>
                <c:pt idx="198">
                  <c:v>53.14</c:v>
                </c:pt>
                <c:pt idx="199">
                  <c:v>53.24</c:v>
                </c:pt>
                <c:pt idx="200">
                  <c:v>53.26</c:v>
                </c:pt>
                <c:pt idx="201">
                  <c:v>53.33</c:v>
                </c:pt>
                <c:pt idx="202">
                  <c:v>53.43</c:v>
                </c:pt>
                <c:pt idx="203">
                  <c:v>53.44</c:v>
                </c:pt>
                <c:pt idx="204">
                  <c:v>53.64</c:v>
                </c:pt>
                <c:pt idx="205">
                  <c:v>53.71</c:v>
                </c:pt>
                <c:pt idx="206">
                  <c:v>53.73</c:v>
                </c:pt>
                <c:pt idx="207">
                  <c:v>53.77</c:v>
                </c:pt>
                <c:pt idx="208">
                  <c:v>53.79</c:v>
                </c:pt>
                <c:pt idx="209">
                  <c:v>53.89</c:v>
                </c:pt>
                <c:pt idx="210">
                  <c:v>53.91</c:v>
                </c:pt>
                <c:pt idx="211">
                  <c:v>54.04</c:v>
                </c:pt>
                <c:pt idx="212">
                  <c:v>54.13</c:v>
                </c:pt>
                <c:pt idx="213">
                  <c:v>54.19</c:v>
                </c:pt>
                <c:pt idx="214">
                  <c:v>54.21</c:v>
                </c:pt>
                <c:pt idx="215">
                  <c:v>54.24</c:v>
                </c:pt>
                <c:pt idx="216">
                  <c:v>54.29</c:v>
                </c:pt>
                <c:pt idx="217">
                  <c:v>54.3</c:v>
                </c:pt>
                <c:pt idx="218">
                  <c:v>54.38</c:v>
                </c:pt>
                <c:pt idx="219">
                  <c:v>54.44</c:v>
                </c:pt>
                <c:pt idx="220">
                  <c:v>54.55</c:v>
                </c:pt>
                <c:pt idx="221">
                  <c:v>54.58</c:v>
                </c:pt>
                <c:pt idx="222">
                  <c:v>54.61</c:v>
                </c:pt>
                <c:pt idx="223">
                  <c:v>54.62</c:v>
                </c:pt>
                <c:pt idx="224">
                  <c:v>54.73</c:v>
                </c:pt>
                <c:pt idx="225">
                  <c:v>54.74</c:v>
                </c:pt>
                <c:pt idx="226">
                  <c:v>54.94</c:v>
                </c:pt>
                <c:pt idx="227">
                  <c:v>55</c:v>
                </c:pt>
                <c:pt idx="228">
                  <c:v>55.05</c:v>
                </c:pt>
                <c:pt idx="229">
                  <c:v>55.13</c:v>
                </c:pt>
                <c:pt idx="230">
                  <c:v>55.29</c:v>
                </c:pt>
                <c:pt idx="231">
                  <c:v>55.48</c:v>
                </c:pt>
                <c:pt idx="232">
                  <c:v>55.53</c:v>
                </c:pt>
                <c:pt idx="233">
                  <c:v>55.56</c:v>
                </c:pt>
                <c:pt idx="234">
                  <c:v>55.68</c:v>
                </c:pt>
                <c:pt idx="235">
                  <c:v>55.7</c:v>
                </c:pt>
                <c:pt idx="236">
                  <c:v>55.73</c:v>
                </c:pt>
                <c:pt idx="237">
                  <c:v>55.74</c:v>
                </c:pt>
                <c:pt idx="238">
                  <c:v>55.79</c:v>
                </c:pt>
                <c:pt idx="239">
                  <c:v>55.84</c:v>
                </c:pt>
                <c:pt idx="240">
                  <c:v>55.86</c:v>
                </c:pt>
                <c:pt idx="241">
                  <c:v>55.96</c:v>
                </c:pt>
                <c:pt idx="242">
                  <c:v>56.32</c:v>
                </c:pt>
                <c:pt idx="243">
                  <c:v>56.37</c:v>
                </c:pt>
                <c:pt idx="244">
                  <c:v>56.5</c:v>
                </c:pt>
                <c:pt idx="245">
                  <c:v>56.77</c:v>
                </c:pt>
                <c:pt idx="246">
                  <c:v>56.79</c:v>
                </c:pt>
                <c:pt idx="247">
                  <c:v>56.91</c:v>
                </c:pt>
                <c:pt idx="248">
                  <c:v>57</c:v>
                </c:pt>
                <c:pt idx="249">
                  <c:v>57.01</c:v>
                </c:pt>
                <c:pt idx="250">
                  <c:v>57.05</c:v>
                </c:pt>
                <c:pt idx="251">
                  <c:v>57.07</c:v>
                </c:pt>
                <c:pt idx="252">
                  <c:v>57.21</c:v>
                </c:pt>
                <c:pt idx="253">
                  <c:v>57.31</c:v>
                </c:pt>
                <c:pt idx="254">
                  <c:v>57.39</c:v>
                </c:pt>
                <c:pt idx="255">
                  <c:v>57.5</c:v>
                </c:pt>
                <c:pt idx="256">
                  <c:v>57.69</c:v>
                </c:pt>
                <c:pt idx="257">
                  <c:v>57.98</c:v>
                </c:pt>
                <c:pt idx="258">
                  <c:v>58.01</c:v>
                </c:pt>
                <c:pt idx="259">
                  <c:v>58.11</c:v>
                </c:pt>
                <c:pt idx="260">
                  <c:v>58.21</c:v>
                </c:pt>
                <c:pt idx="261">
                  <c:v>58.33</c:v>
                </c:pt>
                <c:pt idx="262">
                  <c:v>58.38</c:v>
                </c:pt>
                <c:pt idx="263">
                  <c:v>58.39</c:v>
                </c:pt>
                <c:pt idx="264">
                  <c:v>58.41</c:v>
                </c:pt>
                <c:pt idx="265">
                  <c:v>58.42</c:v>
                </c:pt>
                <c:pt idx="266">
                  <c:v>58.52</c:v>
                </c:pt>
                <c:pt idx="267">
                  <c:v>58.53</c:v>
                </c:pt>
                <c:pt idx="268">
                  <c:v>58.57</c:v>
                </c:pt>
                <c:pt idx="269">
                  <c:v>58.6</c:v>
                </c:pt>
                <c:pt idx="270">
                  <c:v>58.64</c:v>
                </c:pt>
                <c:pt idx="271">
                  <c:v>58.68</c:v>
                </c:pt>
                <c:pt idx="272">
                  <c:v>58.72</c:v>
                </c:pt>
                <c:pt idx="273">
                  <c:v>58.77</c:v>
                </c:pt>
                <c:pt idx="274">
                  <c:v>58.81</c:v>
                </c:pt>
                <c:pt idx="275">
                  <c:v>58.82</c:v>
                </c:pt>
                <c:pt idx="276">
                  <c:v>58.86</c:v>
                </c:pt>
                <c:pt idx="277">
                  <c:v>58.94</c:v>
                </c:pt>
                <c:pt idx="278">
                  <c:v>59</c:v>
                </c:pt>
                <c:pt idx="279">
                  <c:v>59.03</c:v>
                </c:pt>
                <c:pt idx="280">
                  <c:v>59.13</c:v>
                </c:pt>
                <c:pt idx="281">
                  <c:v>59.18</c:v>
                </c:pt>
                <c:pt idx="282">
                  <c:v>59.24</c:v>
                </c:pt>
                <c:pt idx="283">
                  <c:v>59.41</c:v>
                </c:pt>
                <c:pt idx="284">
                  <c:v>59.44</c:v>
                </c:pt>
                <c:pt idx="285">
                  <c:v>59.61</c:v>
                </c:pt>
                <c:pt idx="286">
                  <c:v>59.86</c:v>
                </c:pt>
                <c:pt idx="287">
                  <c:v>60</c:v>
                </c:pt>
                <c:pt idx="288">
                  <c:v>60.07</c:v>
                </c:pt>
                <c:pt idx="289">
                  <c:v>60.26</c:v>
                </c:pt>
                <c:pt idx="290">
                  <c:v>60.29</c:v>
                </c:pt>
                <c:pt idx="291">
                  <c:v>60.33</c:v>
                </c:pt>
                <c:pt idx="292">
                  <c:v>60.34</c:v>
                </c:pt>
                <c:pt idx="293">
                  <c:v>60.37</c:v>
                </c:pt>
                <c:pt idx="294">
                  <c:v>60.4</c:v>
                </c:pt>
                <c:pt idx="295">
                  <c:v>60.42</c:v>
                </c:pt>
                <c:pt idx="296">
                  <c:v>60.43</c:v>
                </c:pt>
                <c:pt idx="297">
                  <c:v>60.47</c:v>
                </c:pt>
                <c:pt idx="298">
                  <c:v>60.56</c:v>
                </c:pt>
                <c:pt idx="299">
                  <c:v>60.68</c:v>
                </c:pt>
                <c:pt idx="300">
                  <c:v>60.7</c:v>
                </c:pt>
                <c:pt idx="301">
                  <c:v>60.71</c:v>
                </c:pt>
                <c:pt idx="302">
                  <c:v>60.75</c:v>
                </c:pt>
                <c:pt idx="303">
                  <c:v>60.9</c:v>
                </c:pt>
                <c:pt idx="304">
                  <c:v>61.06</c:v>
                </c:pt>
                <c:pt idx="305">
                  <c:v>61.11</c:v>
                </c:pt>
                <c:pt idx="306">
                  <c:v>61.24</c:v>
                </c:pt>
                <c:pt idx="307">
                  <c:v>61.42</c:v>
                </c:pt>
                <c:pt idx="308">
                  <c:v>61.54</c:v>
                </c:pt>
                <c:pt idx="309">
                  <c:v>61.59</c:v>
                </c:pt>
                <c:pt idx="310">
                  <c:v>61.6</c:v>
                </c:pt>
                <c:pt idx="311">
                  <c:v>61.61</c:v>
                </c:pt>
                <c:pt idx="312">
                  <c:v>61.66</c:v>
                </c:pt>
                <c:pt idx="313">
                  <c:v>61.68</c:v>
                </c:pt>
                <c:pt idx="314">
                  <c:v>61.99</c:v>
                </c:pt>
                <c:pt idx="315">
                  <c:v>62.05</c:v>
                </c:pt>
                <c:pt idx="316">
                  <c:v>62.18</c:v>
                </c:pt>
                <c:pt idx="317">
                  <c:v>62.29</c:v>
                </c:pt>
                <c:pt idx="318">
                  <c:v>62.41</c:v>
                </c:pt>
                <c:pt idx="319">
                  <c:v>62.42</c:v>
                </c:pt>
                <c:pt idx="320">
                  <c:v>62.48</c:v>
                </c:pt>
                <c:pt idx="321">
                  <c:v>62.5</c:v>
                </c:pt>
                <c:pt idx="322">
                  <c:v>62.66</c:v>
                </c:pt>
                <c:pt idx="323">
                  <c:v>62.7</c:v>
                </c:pt>
                <c:pt idx="324">
                  <c:v>62.73</c:v>
                </c:pt>
                <c:pt idx="325">
                  <c:v>62.81</c:v>
                </c:pt>
                <c:pt idx="326">
                  <c:v>62.86</c:v>
                </c:pt>
                <c:pt idx="327">
                  <c:v>63.03</c:v>
                </c:pt>
                <c:pt idx="328">
                  <c:v>63.04</c:v>
                </c:pt>
                <c:pt idx="329">
                  <c:v>63.08</c:v>
                </c:pt>
                <c:pt idx="330">
                  <c:v>63.39</c:v>
                </c:pt>
                <c:pt idx="331">
                  <c:v>63.4</c:v>
                </c:pt>
                <c:pt idx="332">
                  <c:v>63.46</c:v>
                </c:pt>
                <c:pt idx="333">
                  <c:v>63.64</c:v>
                </c:pt>
                <c:pt idx="334">
                  <c:v>63.86</c:v>
                </c:pt>
                <c:pt idx="335">
                  <c:v>63.87</c:v>
                </c:pt>
                <c:pt idx="336">
                  <c:v>64.08</c:v>
                </c:pt>
                <c:pt idx="337">
                  <c:v>64.25</c:v>
                </c:pt>
                <c:pt idx="338">
                  <c:v>64.290000000000006</c:v>
                </c:pt>
                <c:pt idx="339">
                  <c:v>64.44</c:v>
                </c:pt>
                <c:pt idx="340">
                  <c:v>64.56</c:v>
                </c:pt>
                <c:pt idx="341">
                  <c:v>64.66</c:v>
                </c:pt>
                <c:pt idx="342">
                  <c:v>64.790000000000006</c:v>
                </c:pt>
                <c:pt idx="343">
                  <c:v>64.83</c:v>
                </c:pt>
                <c:pt idx="344">
                  <c:v>65</c:v>
                </c:pt>
                <c:pt idx="345">
                  <c:v>65.260000000000005</c:v>
                </c:pt>
                <c:pt idx="346">
                  <c:v>65.290000000000006</c:v>
                </c:pt>
                <c:pt idx="347">
                  <c:v>65.349999999999994</c:v>
                </c:pt>
                <c:pt idx="348">
                  <c:v>65.59</c:v>
                </c:pt>
                <c:pt idx="349">
                  <c:v>65.66</c:v>
                </c:pt>
                <c:pt idx="350">
                  <c:v>65.709999999999994</c:v>
                </c:pt>
                <c:pt idx="351">
                  <c:v>65.790000000000006</c:v>
                </c:pt>
                <c:pt idx="352">
                  <c:v>65.849999999999994</c:v>
                </c:pt>
                <c:pt idx="353">
                  <c:v>66.09</c:v>
                </c:pt>
                <c:pt idx="354">
                  <c:v>66.11</c:v>
                </c:pt>
                <c:pt idx="355">
                  <c:v>66.150000000000006</c:v>
                </c:pt>
                <c:pt idx="356">
                  <c:v>66.180000000000007</c:v>
                </c:pt>
                <c:pt idx="357">
                  <c:v>66.28</c:v>
                </c:pt>
                <c:pt idx="358">
                  <c:v>66.36</c:v>
                </c:pt>
                <c:pt idx="359">
                  <c:v>66.47</c:v>
                </c:pt>
                <c:pt idx="360">
                  <c:v>67.19</c:v>
                </c:pt>
                <c:pt idx="361">
                  <c:v>67.23</c:v>
                </c:pt>
                <c:pt idx="362">
                  <c:v>67.31</c:v>
                </c:pt>
                <c:pt idx="363">
                  <c:v>67.52</c:v>
                </c:pt>
                <c:pt idx="364">
                  <c:v>67.900000000000006</c:v>
                </c:pt>
                <c:pt idx="365">
                  <c:v>68.150000000000006</c:v>
                </c:pt>
                <c:pt idx="366">
                  <c:v>68.319999999999993</c:v>
                </c:pt>
                <c:pt idx="367">
                  <c:v>68.33</c:v>
                </c:pt>
                <c:pt idx="368">
                  <c:v>68.59</c:v>
                </c:pt>
                <c:pt idx="369">
                  <c:v>68.790000000000006</c:v>
                </c:pt>
                <c:pt idx="370">
                  <c:v>68.89</c:v>
                </c:pt>
                <c:pt idx="371">
                  <c:v>69.23</c:v>
                </c:pt>
                <c:pt idx="372">
                  <c:v>69.3</c:v>
                </c:pt>
                <c:pt idx="373">
                  <c:v>69.52</c:v>
                </c:pt>
                <c:pt idx="374">
                  <c:v>69.53</c:v>
                </c:pt>
                <c:pt idx="375">
                  <c:v>69.569999999999993</c:v>
                </c:pt>
                <c:pt idx="376">
                  <c:v>69.709999999999994</c:v>
                </c:pt>
                <c:pt idx="377">
                  <c:v>69.88</c:v>
                </c:pt>
                <c:pt idx="378">
                  <c:v>69.900000000000006</c:v>
                </c:pt>
                <c:pt idx="379">
                  <c:v>70.069999999999993</c:v>
                </c:pt>
                <c:pt idx="380">
                  <c:v>70.08</c:v>
                </c:pt>
                <c:pt idx="381">
                  <c:v>70.180000000000007</c:v>
                </c:pt>
                <c:pt idx="382">
                  <c:v>70.22</c:v>
                </c:pt>
                <c:pt idx="383">
                  <c:v>70.27</c:v>
                </c:pt>
                <c:pt idx="384">
                  <c:v>70.430000000000007</c:v>
                </c:pt>
                <c:pt idx="385">
                  <c:v>70.83</c:v>
                </c:pt>
                <c:pt idx="386">
                  <c:v>71.260000000000005</c:v>
                </c:pt>
                <c:pt idx="387">
                  <c:v>71.319999999999993</c:v>
                </c:pt>
                <c:pt idx="388">
                  <c:v>71.430000000000007</c:v>
                </c:pt>
                <c:pt idx="389">
                  <c:v>72</c:v>
                </c:pt>
                <c:pt idx="390">
                  <c:v>72.84</c:v>
                </c:pt>
                <c:pt idx="391">
                  <c:v>73.12</c:v>
                </c:pt>
                <c:pt idx="392">
                  <c:v>73.28</c:v>
                </c:pt>
                <c:pt idx="393">
                  <c:v>73.86</c:v>
                </c:pt>
                <c:pt idx="394">
                  <c:v>74.069999999999993</c:v>
                </c:pt>
                <c:pt idx="395">
                  <c:v>75</c:v>
                </c:pt>
                <c:pt idx="396">
                  <c:v>75.31</c:v>
                </c:pt>
                <c:pt idx="397">
                  <c:v>75.680000000000007</c:v>
                </c:pt>
                <c:pt idx="398">
                  <c:v>75.97</c:v>
                </c:pt>
                <c:pt idx="399">
                  <c:v>76</c:v>
                </c:pt>
                <c:pt idx="400">
                  <c:v>76.069999999999993</c:v>
                </c:pt>
                <c:pt idx="401">
                  <c:v>76.739999999999995</c:v>
                </c:pt>
                <c:pt idx="402">
                  <c:v>76.92</c:v>
                </c:pt>
                <c:pt idx="403">
                  <c:v>77.05</c:v>
                </c:pt>
                <c:pt idx="404">
                  <c:v>77.38</c:v>
                </c:pt>
                <c:pt idx="405">
                  <c:v>77.78</c:v>
                </c:pt>
                <c:pt idx="406">
                  <c:v>78.16</c:v>
                </c:pt>
                <c:pt idx="407">
                  <c:v>78.180000000000007</c:v>
                </c:pt>
                <c:pt idx="408">
                  <c:v>78.33</c:v>
                </c:pt>
                <c:pt idx="409">
                  <c:v>78.790000000000006</c:v>
                </c:pt>
                <c:pt idx="410">
                  <c:v>79.17</c:v>
                </c:pt>
                <c:pt idx="411">
                  <c:v>79.66</c:v>
                </c:pt>
                <c:pt idx="412">
                  <c:v>79.67</c:v>
                </c:pt>
                <c:pt idx="413">
                  <c:v>80.33</c:v>
                </c:pt>
                <c:pt idx="414">
                  <c:v>80.56</c:v>
                </c:pt>
                <c:pt idx="415">
                  <c:v>80.650000000000006</c:v>
                </c:pt>
                <c:pt idx="416">
                  <c:v>80.77</c:v>
                </c:pt>
                <c:pt idx="417">
                  <c:v>80.95</c:v>
                </c:pt>
                <c:pt idx="418">
                  <c:v>81.16</c:v>
                </c:pt>
                <c:pt idx="419">
                  <c:v>81.25</c:v>
                </c:pt>
                <c:pt idx="420">
                  <c:v>81.540000000000006</c:v>
                </c:pt>
                <c:pt idx="421">
                  <c:v>82.09</c:v>
                </c:pt>
                <c:pt idx="422">
                  <c:v>82.26</c:v>
                </c:pt>
                <c:pt idx="423">
                  <c:v>82.46</c:v>
                </c:pt>
                <c:pt idx="424">
                  <c:v>82.5</c:v>
                </c:pt>
                <c:pt idx="425">
                  <c:v>82.76</c:v>
                </c:pt>
                <c:pt idx="426">
                  <c:v>82.81</c:v>
                </c:pt>
                <c:pt idx="427">
                  <c:v>83.08</c:v>
                </c:pt>
                <c:pt idx="428">
                  <c:v>83.33</c:v>
                </c:pt>
                <c:pt idx="429">
                  <c:v>84.21</c:v>
                </c:pt>
                <c:pt idx="430">
                  <c:v>84.48</c:v>
                </c:pt>
                <c:pt idx="431">
                  <c:v>85</c:v>
                </c:pt>
                <c:pt idx="432">
                  <c:v>85.9</c:v>
                </c:pt>
                <c:pt idx="433">
                  <c:v>85.96</c:v>
                </c:pt>
                <c:pt idx="434">
                  <c:v>86</c:v>
                </c:pt>
                <c:pt idx="435">
                  <c:v>86.05</c:v>
                </c:pt>
                <c:pt idx="436">
                  <c:v>86.21</c:v>
                </c:pt>
                <c:pt idx="437">
                  <c:v>86.25</c:v>
                </c:pt>
                <c:pt idx="438">
                  <c:v>86.27</c:v>
                </c:pt>
                <c:pt idx="439">
                  <c:v>86.32</c:v>
                </c:pt>
                <c:pt idx="440">
                  <c:v>86.36</c:v>
                </c:pt>
                <c:pt idx="441">
                  <c:v>86.49</c:v>
                </c:pt>
                <c:pt idx="442">
                  <c:v>86.54</c:v>
                </c:pt>
                <c:pt idx="443">
                  <c:v>86.9</c:v>
                </c:pt>
                <c:pt idx="444">
                  <c:v>86.96</c:v>
                </c:pt>
                <c:pt idx="445">
                  <c:v>87.06</c:v>
                </c:pt>
                <c:pt idx="446">
                  <c:v>87.1</c:v>
                </c:pt>
                <c:pt idx="447">
                  <c:v>87.13</c:v>
                </c:pt>
                <c:pt idx="448">
                  <c:v>87.23</c:v>
                </c:pt>
                <c:pt idx="449">
                  <c:v>87.26</c:v>
                </c:pt>
                <c:pt idx="450">
                  <c:v>87.5</c:v>
                </c:pt>
                <c:pt idx="451">
                  <c:v>87.72</c:v>
                </c:pt>
                <c:pt idx="452">
                  <c:v>87.76</c:v>
                </c:pt>
                <c:pt idx="453">
                  <c:v>87.88</c:v>
                </c:pt>
                <c:pt idx="454">
                  <c:v>88</c:v>
                </c:pt>
                <c:pt idx="455">
                  <c:v>88.08</c:v>
                </c:pt>
                <c:pt idx="456">
                  <c:v>88.14</c:v>
                </c:pt>
                <c:pt idx="457">
                  <c:v>88.19</c:v>
                </c:pt>
                <c:pt idx="458">
                  <c:v>88.35</c:v>
                </c:pt>
                <c:pt idx="459">
                  <c:v>88.46</c:v>
                </c:pt>
                <c:pt idx="460">
                  <c:v>88.62</c:v>
                </c:pt>
                <c:pt idx="461">
                  <c:v>88.64</c:v>
                </c:pt>
                <c:pt idx="462">
                  <c:v>88.68</c:v>
                </c:pt>
                <c:pt idx="463">
                  <c:v>88.71</c:v>
                </c:pt>
                <c:pt idx="464">
                  <c:v>88.75</c:v>
                </c:pt>
                <c:pt idx="465">
                  <c:v>88.89</c:v>
                </c:pt>
                <c:pt idx="466">
                  <c:v>88.99</c:v>
                </c:pt>
                <c:pt idx="467">
                  <c:v>89.04</c:v>
                </c:pt>
                <c:pt idx="468">
                  <c:v>89.06</c:v>
                </c:pt>
                <c:pt idx="469">
                  <c:v>89.09</c:v>
                </c:pt>
                <c:pt idx="470">
                  <c:v>89.13</c:v>
                </c:pt>
                <c:pt idx="471">
                  <c:v>89.29</c:v>
                </c:pt>
                <c:pt idx="472">
                  <c:v>89.47</c:v>
                </c:pt>
                <c:pt idx="473">
                  <c:v>89.58</c:v>
                </c:pt>
                <c:pt idx="474">
                  <c:v>89.66</c:v>
                </c:pt>
                <c:pt idx="475">
                  <c:v>89.69</c:v>
                </c:pt>
                <c:pt idx="476">
                  <c:v>89.7</c:v>
                </c:pt>
                <c:pt idx="477">
                  <c:v>89.71</c:v>
                </c:pt>
                <c:pt idx="478">
                  <c:v>89.8</c:v>
                </c:pt>
                <c:pt idx="479">
                  <c:v>89.81</c:v>
                </c:pt>
                <c:pt idx="480">
                  <c:v>90</c:v>
                </c:pt>
                <c:pt idx="481">
                  <c:v>90.2</c:v>
                </c:pt>
                <c:pt idx="482">
                  <c:v>90.24</c:v>
                </c:pt>
                <c:pt idx="483">
                  <c:v>90.38</c:v>
                </c:pt>
                <c:pt idx="484">
                  <c:v>90.57</c:v>
                </c:pt>
                <c:pt idx="485">
                  <c:v>90.63</c:v>
                </c:pt>
                <c:pt idx="486">
                  <c:v>90.7</c:v>
                </c:pt>
                <c:pt idx="487">
                  <c:v>90.74</c:v>
                </c:pt>
                <c:pt idx="488">
                  <c:v>90.77</c:v>
                </c:pt>
                <c:pt idx="489">
                  <c:v>90.78</c:v>
                </c:pt>
                <c:pt idx="490">
                  <c:v>90.8</c:v>
                </c:pt>
                <c:pt idx="491">
                  <c:v>90.91</c:v>
                </c:pt>
                <c:pt idx="492">
                  <c:v>91.01</c:v>
                </c:pt>
                <c:pt idx="493">
                  <c:v>91.03</c:v>
                </c:pt>
                <c:pt idx="494">
                  <c:v>91.07</c:v>
                </c:pt>
                <c:pt idx="495">
                  <c:v>91.23</c:v>
                </c:pt>
                <c:pt idx="496">
                  <c:v>91.28</c:v>
                </c:pt>
                <c:pt idx="497">
                  <c:v>91.3</c:v>
                </c:pt>
                <c:pt idx="498">
                  <c:v>91.38</c:v>
                </c:pt>
                <c:pt idx="499">
                  <c:v>91.43</c:v>
                </c:pt>
                <c:pt idx="500">
                  <c:v>91.49</c:v>
                </c:pt>
                <c:pt idx="501">
                  <c:v>91.53</c:v>
                </c:pt>
                <c:pt idx="502">
                  <c:v>91.67</c:v>
                </c:pt>
                <c:pt idx="503">
                  <c:v>91.73</c:v>
                </c:pt>
                <c:pt idx="504">
                  <c:v>91.78</c:v>
                </c:pt>
                <c:pt idx="505">
                  <c:v>91.8</c:v>
                </c:pt>
                <c:pt idx="506">
                  <c:v>91.89</c:v>
                </c:pt>
                <c:pt idx="507">
                  <c:v>91.97</c:v>
                </c:pt>
                <c:pt idx="508">
                  <c:v>92</c:v>
                </c:pt>
                <c:pt idx="509">
                  <c:v>92.06</c:v>
                </c:pt>
                <c:pt idx="510">
                  <c:v>92.16</c:v>
                </c:pt>
                <c:pt idx="511">
                  <c:v>92.19</c:v>
                </c:pt>
                <c:pt idx="512">
                  <c:v>92.31</c:v>
                </c:pt>
                <c:pt idx="513">
                  <c:v>92.42</c:v>
                </c:pt>
                <c:pt idx="514">
                  <c:v>92.54</c:v>
                </c:pt>
                <c:pt idx="515">
                  <c:v>92.59</c:v>
                </c:pt>
                <c:pt idx="516">
                  <c:v>92.98</c:v>
                </c:pt>
                <c:pt idx="517">
                  <c:v>93.44</c:v>
                </c:pt>
              </c:numCache>
            </c:numRef>
          </c:cat>
          <c:val>
            <c:numRef>
              <c:f>DCPNormal!$C$4:$C$521</c:f>
              <c:numCache>
                <c:formatCode>General</c:formatCode>
                <c:ptCount val="5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3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2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2</c:v>
                </c:pt>
                <c:pt idx="111">
                  <c:v>1</c:v>
                </c:pt>
                <c:pt idx="112">
                  <c:v>1</c:v>
                </c:pt>
                <c:pt idx="113">
                  <c:v>2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2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2</c:v>
                </c:pt>
                <c:pt idx="124">
                  <c:v>1</c:v>
                </c:pt>
                <c:pt idx="125">
                  <c:v>2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2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2</c:v>
                </c:pt>
                <c:pt idx="140">
                  <c:v>1</c:v>
                </c:pt>
                <c:pt idx="141">
                  <c:v>1</c:v>
                </c:pt>
                <c:pt idx="142">
                  <c:v>2</c:v>
                </c:pt>
                <c:pt idx="143">
                  <c:v>1</c:v>
                </c:pt>
                <c:pt idx="144">
                  <c:v>2</c:v>
                </c:pt>
                <c:pt idx="145">
                  <c:v>2</c:v>
                </c:pt>
                <c:pt idx="146">
                  <c:v>1</c:v>
                </c:pt>
                <c:pt idx="147">
                  <c:v>2</c:v>
                </c:pt>
                <c:pt idx="148">
                  <c:v>1</c:v>
                </c:pt>
                <c:pt idx="149">
                  <c:v>4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2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2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2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2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2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2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2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3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2</c:v>
                </c:pt>
                <c:pt idx="270">
                  <c:v>1</c:v>
                </c:pt>
                <c:pt idx="271">
                  <c:v>1</c:v>
                </c:pt>
                <c:pt idx="272">
                  <c:v>2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2</c:v>
                </c:pt>
                <c:pt idx="285">
                  <c:v>1</c:v>
                </c:pt>
                <c:pt idx="286">
                  <c:v>1</c:v>
                </c:pt>
                <c:pt idx="287">
                  <c:v>2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2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2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2</c:v>
                </c:pt>
                <c:pt idx="332">
                  <c:v>1</c:v>
                </c:pt>
                <c:pt idx="333">
                  <c:v>2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3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2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2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2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2</c:v>
                </c:pt>
                <c:pt idx="414">
                  <c:v>1</c:v>
                </c:pt>
                <c:pt idx="415">
                  <c:v>5</c:v>
                </c:pt>
                <c:pt idx="416">
                  <c:v>1</c:v>
                </c:pt>
                <c:pt idx="417">
                  <c:v>2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2</c:v>
                </c:pt>
                <c:pt idx="429">
                  <c:v>1</c:v>
                </c:pt>
                <c:pt idx="430">
                  <c:v>1</c:v>
                </c:pt>
                <c:pt idx="431">
                  <c:v>3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3</c:v>
                </c:pt>
                <c:pt idx="438">
                  <c:v>1</c:v>
                </c:pt>
                <c:pt idx="439">
                  <c:v>2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6</c:v>
                </c:pt>
                <c:pt idx="449">
                  <c:v>1</c:v>
                </c:pt>
                <c:pt idx="450">
                  <c:v>6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2</c:v>
                </c:pt>
                <c:pt idx="455">
                  <c:v>1</c:v>
                </c:pt>
                <c:pt idx="456">
                  <c:v>2</c:v>
                </c:pt>
                <c:pt idx="457">
                  <c:v>1</c:v>
                </c:pt>
                <c:pt idx="458">
                  <c:v>1</c:v>
                </c:pt>
                <c:pt idx="459">
                  <c:v>6</c:v>
                </c:pt>
                <c:pt idx="460">
                  <c:v>1</c:v>
                </c:pt>
                <c:pt idx="461">
                  <c:v>3</c:v>
                </c:pt>
                <c:pt idx="462">
                  <c:v>5</c:v>
                </c:pt>
                <c:pt idx="463">
                  <c:v>1</c:v>
                </c:pt>
                <c:pt idx="464">
                  <c:v>1</c:v>
                </c:pt>
                <c:pt idx="465">
                  <c:v>5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2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2</c:v>
                </c:pt>
                <c:pt idx="478">
                  <c:v>3</c:v>
                </c:pt>
                <c:pt idx="479">
                  <c:v>1</c:v>
                </c:pt>
                <c:pt idx="480">
                  <c:v>5</c:v>
                </c:pt>
                <c:pt idx="481">
                  <c:v>1</c:v>
                </c:pt>
                <c:pt idx="482">
                  <c:v>1</c:v>
                </c:pt>
                <c:pt idx="483">
                  <c:v>2</c:v>
                </c:pt>
                <c:pt idx="484">
                  <c:v>4</c:v>
                </c:pt>
                <c:pt idx="485">
                  <c:v>1</c:v>
                </c:pt>
                <c:pt idx="486">
                  <c:v>1</c:v>
                </c:pt>
                <c:pt idx="487">
                  <c:v>3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3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3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5</c:v>
                </c:pt>
                <c:pt idx="501">
                  <c:v>1</c:v>
                </c:pt>
                <c:pt idx="502">
                  <c:v>4</c:v>
                </c:pt>
                <c:pt idx="503">
                  <c:v>1</c:v>
                </c:pt>
                <c:pt idx="504">
                  <c:v>3</c:v>
                </c:pt>
                <c:pt idx="505">
                  <c:v>2</c:v>
                </c:pt>
                <c:pt idx="506">
                  <c:v>2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2</c:v>
                </c:pt>
                <c:pt idx="516">
                  <c:v>1</c:v>
                </c:pt>
                <c:pt idx="517">
                  <c:v>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372-460F-9692-A94802CE6B26}"/>
            </c:ext>
          </c:extLst>
        </c:ser>
        <c:ser>
          <c:idx val="1"/>
          <c:order val="1"/>
          <c:tx>
            <c:strRef>
              <c:f>DCPNormal!$F$2:$F$3</c:f>
              <c:strCache>
                <c:ptCount val="2"/>
                <c:pt idx="0">
                  <c:v>Std Deviation:</c:v>
                </c:pt>
                <c:pt idx="1">
                  <c:v>Normal Distribution: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DCPNormal!$B$4:$B$521</c:f>
              <c:numCache>
                <c:formatCode>General</c:formatCode>
                <c:ptCount val="518"/>
                <c:pt idx="0">
                  <c:v>25.24</c:v>
                </c:pt>
                <c:pt idx="1">
                  <c:v>26.64</c:v>
                </c:pt>
                <c:pt idx="2">
                  <c:v>29.81</c:v>
                </c:pt>
                <c:pt idx="3">
                  <c:v>32.01</c:v>
                </c:pt>
                <c:pt idx="4">
                  <c:v>32.42</c:v>
                </c:pt>
                <c:pt idx="5">
                  <c:v>33.020000000000003</c:v>
                </c:pt>
                <c:pt idx="6">
                  <c:v>33.979999999999997</c:v>
                </c:pt>
                <c:pt idx="7">
                  <c:v>34.07</c:v>
                </c:pt>
                <c:pt idx="8">
                  <c:v>34.08</c:v>
                </c:pt>
                <c:pt idx="9">
                  <c:v>34.340000000000003</c:v>
                </c:pt>
                <c:pt idx="10">
                  <c:v>34.729999999999997</c:v>
                </c:pt>
                <c:pt idx="11">
                  <c:v>34.94</c:v>
                </c:pt>
                <c:pt idx="12">
                  <c:v>35.159999999999997</c:v>
                </c:pt>
                <c:pt idx="13">
                  <c:v>35.76</c:v>
                </c:pt>
                <c:pt idx="14">
                  <c:v>35.79</c:v>
                </c:pt>
                <c:pt idx="15">
                  <c:v>36.090000000000003</c:v>
                </c:pt>
                <c:pt idx="16">
                  <c:v>36.35</c:v>
                </c:pt>
                <c:pt idx="17">
                  <c:v>36.76</c:v>
                </c:pt>
                <c:pt idx="18">
                  <c:v>36.85</c:v>
                </c:pt>
                <c:pt idx="19">
                  <c:v>36.869999999999997</c:v>
                </c:pt>
                <c:pt idx="20">
                  <c:v>37.270000000000003</c:v>
                </c:pt>
                <c:pt idx="21">
                  <c:v>37.5</c:v>
                </c:pt>
                <c:pt idx="22">
                  <c:v>37.57</c:v>
                </c:pt>
                <c:pt idx="23">
                  <c:v>37.69</c:v>
                </c:pt>
                <c:pt idx="24">
                  <c:v>37.71</c:v>
                </c:pt>
                <c:pt idx="25">
                  <c:v>37.89</c:v>
                </c:pt>
                <c:pt idx="26">
                  <c:v>37.909999999999997</c:v>
                </c:pt>
                <c:pt idx="27">
                  <c:v>38.06</c:v>
                </c:pt>
                <c:pt idx="28">
                  <c:v>38.15</c:v>
                </c:pt>
                <c:pt idx="29">
                  <c:v>38.26</c:v>
                </c:pt>
                <c:pt idx="30">
                  <c:v>38.42</c:v>
                </c:pt>
                <c:pt idx="31">
                  <c:v>38.630000000000003</c:v>
                </c:pt>
                <c:pt idx="32">
                  <c:v>38.65</c:v>
                </c:pt>
                <c:pt idx="33">
                  <c:v>38.74</c:v>
                </c:pt>
                <c:pt idx="34">
                  <c:v>38.979999999999997</c:v>
                </c:pt>
                <c:pt idx="35">
                  <c:v>39.020000000000003</c:v>
                </c:pt>
                <c:pt idx="36">
                  <c:v>39.07</c:v>
                </c:pt>
                <c:pt idx="37">
                  <c:v>39.130000000000003</c:v>
                </c:pt>
                <c:pt idx="38">
                  <c:v>39.159999999999997</c:v>
                </c:pt>
                <c:pt idx="39">
                  <c:v>39.74</c:v>
                </c:pt>
                <c:pt idx="40">
                  <c:v>40.01</c:v>
                </c:pt>
                <c:pt idx="41">
                  <c:v>40.11</c:v>
                </c:pt>
                <c:pt idx="42">
                  <c:v>40.31</c:v>
                </c:pt>
                <c:pt idx="43">
                  <c:v>40.369999999999997</c:v>
                </c:pt>
                <c:pt idx="44">
                  <c:v>40.39</c:v>
                </c:pt>
                <c:pt idx="45">
                  <c:v>40.69</c:v>
                </c:pt>
                <c:pt idx="46">
                  <c:v>40.700000000000003</c:v>
                </c:pt>
                <c:pt idx="47">
                  <c:v>40.71</c:v>
                </c:pt>
                <c:pt idx="48">
                  <c:v>40.79</c:v>
                </c:pt>
                <c:pt idx="49">
                  <c:v>40.950000000000003</c:v>
                </c:pt>
                <c:pt idx="50">
                  <c:v>41.01</c:v>
                </c:pt>
                <c:pt idx="51">
                  <c:v>41.11</c:v>
                </c:pt>
                <c:pt idx="52">
                  <c:v>41.18</c:v>
                </c:pt>
                <c:pt idx="53">
                  <c:v>41.31</c:v>
                </c:pt>
                <c:pt idx="54">
                  <c:v>41.38</c:v>
                </c:pt>
                <c:pt idx="55">
                  <c:v>41.45</c:v>
                </c:pt>
                <c:pt idx="56">
                  <c:v>41.57</c:v>
                </c:pt>
                <c:pt idx="57">
                  <c:v>41.6</c:v>
                </c:pt>
                <c:pt idx="58">
                  <c:v>41.7</c:v>
                </c:pt>
                <c:pt idx="59">
                  <c:v>41.79</c:v>
                </c:pt>
                <c:pt idx="60">
                  <c:v>42.4</c:v>
                </c:pt>
                <c:pt idx="61">
                  <c:v>42.53</c:v>
                </c:pt>
                <c:pt idx="62">
                  <c:v>42.57</c:v>
                </c:pt>
                <c:pt idx="63">
                  <c:v>42.69</c:v>
                </c:pt>
                <c:pt idx="64">
                  <c:v>42.73</c:v>
                </c:pt>
                <c:pt idx="65">
                  <c:v>43.02</c:v>
                </c:pt>
                <c:pt idx="66">
                  <c:v>43.07</c:v>
                </c:pt>
                <c:pt idx="67">
                  <c:v>43.08</c:v>
                </c:pt>
                <c:pt idx="68">
                  <c:v>43.55</c:v>
                </c:pt>
                <c:pt idx="69">
                  <c:v>43.56</c:v>
                </c:pt>
                <c:pt idx="70">
                  <c:v>43.62</c:v>
                </c:pt>
                <c:pt idx="71">
                  <c:v>43.76</c:v>
                </c:pt>
                <c:pt idx="72">
                  <c:v>43.78</c:v>
                </c:pt>
                <c:pt idx="73">
                  <c:v>43.98</c:v>
                </c:pt>
                <c:pt idx="74">
                  <c:v>44.12</c:v>
                </c:pt>
                <c:pt idx="75">
                  <c:v>44.26</c:v>
                </c:pt>
                <c:pt idx="76">
                  <c:v>44.28</c:v>
                </c:pt>
                <c:pt idx="77">
                  <c:v>44.29</c:v>
                </c:pt>
                <c:pt idx="78">
                  <c:v>44.37</c:v>
                </c:pt>
                <c:pt idx="79">
                  <c:v>44.59</c:v>
                </c:pt>
                <c:pt idx="80">
                  <c:v>44.71</c:v>
                </c:pt>
                <c:pt idx="81">
                  <c:v>44.72</c:v>
                </c:pt>
                <c:pt idx="82">
                  <c:v>44.74</c:v>
                </c:pt>
                <c:pt idx="83">
                  <c:v>44.86</c:v>
                </c:pt>
                <c:pt idx="84">
                  <c:v>44.91</c:v>
                </c:pt>
                <c:pt idx="85">
                  <c:v>44.99</c:v>
                </c:pt>
                <c:pt idx="86">
                  <c:v>45.04</c:v>
                </c:pt>
                <c:pt idx="87">
                  <c:v>45.15</c:v>
                </c:pt>
                <c:pt idx="88">
                  <c:v>45.45</c:v>
                </c:pt>
                <c:pt idx="89">
                  <c:v>45.62</c:v>
                </c:pt>
                <c:pt idx="90">
                  <c:v>45.64</c:v>
                </c:pt>
                <c:pt idx="91">
                  <c:v>45.76</c:v>
                </c:pt>
                <c:pt idx="92">
                  <c:v>45.96</c:v>
                </c:pt>
                <c:pt idx="93">
                  <c:v>45.98</c:v>
                </c:pt>
                <c:pt idx="94">
                  <c:v>46.03</c:v>
                </c:pt>
                <c:pt idx="95">
                  <c:v>46.05</c:v>
                </c:pt>
                <c:pt idx="96">
                  <c:v>46.3</c:v>
                </c:pt>
                <c:pt idx="97">
                  <c:v>46.33</c:v>
                </c:pt>
                <c:pt idx="98">
                  <c:v>46.42</c:v>
                </c:pt>
                <c:pt idx="99">
                  <c:v>46.46</c:v>
                </c:pt>
                <c:pt idx="100">
                  <c:v>46.5</c:v>
                </c:pt>
                <c:pt idx="101">
                  <c:v>46.52</c:v>
                </c:pt>
                <c:pt idx="102">
                  <c:v>46.61</c:v>
                </c:pt>
                <c:pt idx="103">
                  <c:v>46.64</c:v>
                </c:pt>
                <c:pt idx="104">
                  <c:v>46.67</c:v>
                </c:pt>
                <c:pt idx="105">
                  <c:v>46.69</c:v>
                </c:pt>
                <c:pt idx="106">
                  <c:v>46.73</c:v>
                </c:pt>
                <c:pt idx="107">
                  <c:v>46.82</c:v>
                </c:pt>
                <c:pt idx="108">
                  <c:v>46.92</c:v>
                </c:pt>
                <c:pt idx="109">
                  <c:v>46.93</c:v>
                </c:pt>
                <c:pt idx="110">
                  <c:v>47.04</c:v>
                </c:pt>
                <c:pt idx="111">
                  <c:v>47.08</c:v>
                </c:pt>
                <c:pt idx="112">
                  <c:v>47.09</c:v>
                </c:pt>
                <c:pt idx="113">
                  <c:v>47.15</c:v>
                </c:pt>
                <c:pt idx="114">
                  <c:v>47.17</c:v>
                </c:pt>
                <c:pt idx="115">
                  <c:v>47.19</c:v>
                </c:pt>
                <c:pt idx="116">
                  <c:v>47.46</c:v>
                </c:pt>
                <c:pt idx="117">
                  <c:v>47.52</c:v>
                </c:pt>
                <c:pt idx="118">
                  <c:v>47.56</c:v>
                </c:pt>
                <c:pt idx="119">
                  <c:v>47.6</c:v>
                </c:pt>
                <c:pt idx="120">
                  <c:v>47.95</c:v>
                </c:pt>
                <c:pt idx="121">
                  <c:v>47.97</c:v>
                </c:pt>
                <c:pt idx="122">
                  <c:v>48</c:v>
                </c:pt>
                <c:pt idx="123">
                  <c:v>48.14</c:v>
                </c:pt>
                <c:pt idx="124">
                  <c:v>48.18</c:v>
                </c:pt>
                <c:pt idx="125">
                  <c:v>48.29</c:v>
                </c:pt>
                <c:pt idx="126">
                  <c:v>48.34</c:v>
                </c:pt>
                <c:pt idx="127">
                  <c:v>48.39</c:v>
                </c:pt>
                <c:pt idx="128">
                  <c:v>48.42</c:v>
                </c:pt>
                <c:pt idx="129">
                  <c:v>48.54</c:v>
                </c:pt>
                <c:pt idx="130">
                  <c:v>48.63</c:v>
                </c:pt>
                <c:pt idx="131">
                  <c:v>48.67</c:v>
                </c:pt>
                <c:pt idx="132">
                  <c:v>48.68</c:v>
                </c:pt>
                <c:pt idx="133">
                  <c:v>48.74</c:v>
                </c:pt>
                <c:pt idx="134">
                  <c:v>48.79</c:v>
                </c:pt>
                <c:pt idx="135">
                  <c:v>48.85</c:v>
                </c:pt>
                <c:pt idx="136">
                  <c:v>48.94</c:v>
                </c:pt>
                <c:pt idx="137">
                  <c:v>48.95</c:v>
                </c:pt>
                <c:pt idx="138">
                  <c:v>48.97</c:v>
                </c:pt>
                <c:pt idx="139">
                  <c:v>48.99</c:v>
                </c:pt>
                <c:pt idx="140">
                  <c:v>49.23</c:v>
                </c:pt>
                <c:pt idx="141">
                  <c:v>49.24</c:v>
                </c:pt>
                <c:pt idx="142">
                  <c:v>49.28</c:v>
                </c:pt>
                <c:pt idx="143">
                  <c:v>49.36</c:v>
                </c:pt>
                <c:pt idx="144">
                  <c:v>49.63</c:v>
                </c:pt>
                <c:pt idx="145">
                  <c:v>49.64</c:v>
                </c:pt>
                <c:pt idx="146">
                  <c:v>49.66</c:v>
                </c:pt>
                <c:pt idx="147">
                  <c:v>49.7</c:v>
                </c:pt>
                <c:pt idx="148">
                  <c:v>49.81</c:v>
                </c:pt>
                <c:pt idx="149">
                  <c:v>50</c:v>
                </c:pt>
                <c:pt idx="150">
                  <c:v>50.08</c:v>
                </c:pt>
                <c:pt idx="151">
                  <c:v>50.11</c:v>
                </c:pt>
                <c:pt idx="152">
                  <c:v>50.27</c:v>
                </c:pt>
                <c:pt idx="153">
                  <c:v>50.32</c:v>
                </c:pt>
                <c:pt idx="154">
                  <c:v>50.36</c:v>
                </c:pt>
                <c:pt idx="155">
                  <c:v>50.39</c:v>
                </c:pt>
                <c:pt idx="156">
                  <c:v>50.4</c:v>
                </c:pt>
                <c:pt idx="157">
                  <c:v>50.42</c:v>
                </c:pt>
                <c:pt idx="158">
                  <c:v>50.63</c:v>
                </c:pt>
                <c:pt idx="159">
                  <c:v>50.68</c:v>
                </c:pt>
                <c:pt idx="160">
                  <c:v>50.74</c:v>
                </c:pt>
                <c:pt idx="161">
                  <c:v>50.79</c:v>
                </c:pt>
                <c:pt idx="162">
                  <c:v>50.82</c:v>
                </c:pt>
                <c:pt idx="163">
                  <c:v>50.84</c:v>
                </c:pt>
                <c:pt idx="164">
                  <c:v>50.85</c:v>
                </c:pt>
                <c:pt idx="165">
                  <c:v>50.88</c:v>
                </c:pt>
                <c:pt idx="166">
                  <c:v>50.94</c:v>
                </c:pt>
                <c:pt idx="167">
                  <c:v>51.03</c:v>
                </c:pt>
                <c:pt idx="168">
                  <c:v>51.1</c:v>
                </c:pt>
                <c:pt idx="169">
                  <c:v>51.14</c:v>
                </c:pt>
                <c:pt idx="170">
                  <c:v>51.18</c:v>
                </c:pt>
                <c:pt idx="171">
                  <c:v>51.21</c:v>
                </c:pt>
                <c:pt idx="172">
                  <c:v>51.28</c:v>
                </c:pt>
                <c:pt idx="173">
                  <c:v>51.35</c:v>
                </c:pt>
                <c:pt idx="174">
                  <c:v>51.43</c:v>
                </c:pt>
                <c:pt idx="175">
                  <c:v>51.6</c:v>
                </c:pt>
                <c:pt idx="176">
                  <c:v>51.63</c:v>
                </c:pt>
                <c:pt idx="177">
                  <c:v>51.64</c:v>
                </c:pt>
                <c:pt idx="178">
                  <c:v>51.67</c:v>
                </c:pt>
                <c:pt idx="179">
                  <c:v>51.72</c:v>
                </c:pt>
                <c:pt idx="180">
                  <c:v>51.96</c:v>
                </c:pt>
                <c:pt idx="181">
                  <c:v>52.06</c:v>
                </c:pt>
                <c:pt idx="182">
                  <c:v>52.35</c:v>
                </c:pt>
                <c:pt idx="183">
                  <c:v>52.39</c:v>
                </c:pt>
                <c:pt idx="184">
                  <c:v>52.47</c:v>
                </c:pt>
                <c:pt idx="185">
                  <c:v>52.48</c:v>
                </c:pt>
                <c:pt idx="186">
                  <c:v>52.54</c:v>
                </c:pt>
                <c:pt idx="187">
                  <c:v>52.59</c:v>
                </c:pt>
                <c:pt idx="188">
                  <c:v>52.61</c:v>
                </c:pt>
                <c:pt idx="189">
                  <c:v>52.66</c:v>
                </c:pt>
                <c:pt idx="190">
                  <c:v>52.7</c:v>
                </c:pt>
                <c:pt idx="191">
                  <c:v>52.79</c:v>
                </c:pt>
                <c:pt idx="192">
                  <c:v>52.8</c:v>
                </c:pt>
                <c:pt idx="193">
                  <c:v>52.81</c:v>
                </c:pt>
                <c:pt idx="194">
                  <c:v>52.91</c:v>
                </c:pt>
                <c:pt idx="195">
                  <c:v>52.99</c:v>
                </c:pt>
                <c:pt idx="196">
                  <c:v>53.02</c:v>
                </c:pt>
                <c:pt idx="197">
                  <c:v>53.04</c:v>
                </c:pt>
                <c:pt idx="198">
                  <c:v>53.14</c:v>
                </c:pt>
                <c:pt idx="199">
                  <c:v>53.24</c:v>
                </c:pt>
                <c:pt idx="200">
                  <c:v>53.26</c:v>
                </c:pt>
                <c:pt idx="201">
                  <c:v>53.33</c:v>
                </c:pt>
                <c:pt idx="202">
                  <c:v>53.43</c:v>
                </c:pt>
                <c:pt idx="203">
                  <c:v>53.44</c:v>
                </c:pt>
                <c:pt idx="204">
                  <c:v>53.64</c:v>
                </c:pt>
                <c:pt idx="205">
                  <c:v>53.71</c:v>
                </c:pt>
                <c:pt idx="206">
                  <c:v>53.73</c:v>
                </c:pt>
                <c:pt idx="207">
                  <c:v>53.77</c:v>
                </c:pt>
                <c:pt idx="208">
                  <c:v>53.79</c:v>
                </c:pt>
                <c:pt idx="209">
                  <c:v>53.89</c:v>
                </c:pt>
                <c:pt idx="210">
                  <c:v>53.91</c:v>
                </c:pt>
                <c:pt idx="211">
                  <c:v>54.04</c:v>
                </c:pt>
                <c:pt idx="212">
                  <c:v>54.13</c:v>
                </c:pt>
                <c:pt idx="213">
                  <c:v>54.19</c:v>
                </c:pt>
                <c:pt idx="214">
                  <c:v>54.21</c:v>
                </c:pt>
                <c:pt idx="215">
                  <c:v>54.24</c:v>
                </c:pt>
                <c:pt idx="216">
                  <c:v>54.29</c:v>
                </c:pt>
                <c:pt idx="217">
                  <c:v>54.3</c:v>
                </c:pt>
                <c:pt idx="218">
                  <c:v>54.38</c:v>
                </c:pt>
                <c:pt idx="219">
                  <c:v>54.44</c:v>
                </c:pt>
                <c:pt idx="220">
                  <c:v>54.55</c:v>
                </c:pt>
                <c:pt idx="221">
                  <c:v>54.58</c:v>
                </c:pt>
                <c:pt idx="222">
                  <c:v>54.61</c:v>
                </c:pt>
                <c:pt idx="223">
                  <c:v>54.62</c:v>
                </c:pt>
                <c:pt idx="224">
                  <c:v>54.73</c:v>
                </c:pt>
                <c:pt idx="225">
                  <c:v>54.74</c:v>
                </c:pt>
                <c:pt idx="226">
                  <c:v>54.94</c:v>
                </c:pt>
                <c:pt idx="227">
                  <c:v>55</c:v>
                </c:pt>
                <c:pt idx="228">
                  <c:v>55.05</c:v>
                </c:pt>
                <c:pt idx="229">
                  <c:v>55.13</c:v>
                </c:pt>
                <c:pt idx="230">
                  <c:v>55.29</c:v>
                </c:pt>
                <c:pt idx="231">
                  <c:v>55.48</c:v>
                </c:pt>
                <c:pt idx="232">
                  <c:v>55.53</c:v>
                </c:pt>
                <c:pt idx="233">
                  <c:v>55.56</c:v>
                </c:pt>
                <c:pt idx="234">
                  <c:v>55.68</c:v>
                </c:pt>
                <c:pt idx="235">
                  <c:v>55.7</c:v>
                </c:pt>
                <c:pt idx="236">
                  <c:v>55.73</c:v>
                </c:pt>
                <c:pt idx="237">
                  <c:v>55.74</c:v>
                </c:pt>
                <c:pt idx="238">
                  <c:v>55.79</c:v>
                </c:pt>
                <c:pt idx="239">
                  <c:v>55.84</c:v>
                </c:pt>
                <c:pt idx="240">
                  <c:v>55.86</c:v>
                </c:pt>
                <c:pt idx="241">
                  <c:v>55.96</c:v>
                </c:pt>
                <c:pt idx="242">
                  <c:v>56.32</c:v>
                </c:pt>
                <c:pt idx="243">
                  <c:v>56.37</c:v>
                </c:pt>
                <c:pt idx="244">
                  <c:v>56.5</c:v>
                </c:pt>
                <c:pt idx="245">
                  <c:v>56.77</c:v>
                </c:pt>
                <c:pt idx="246">
                  <c:v>56.79</c:v>
                </c:pt>
                <c:pt idx="247">
                  <c:v>56.91</c:v>
                </c:pt>
                <c:pt idx="248">
                  <c:v>57</c:v>
                </c:pt>
                <c:pt idx="249">
                  <c:v>57.01</c:v>
                </c:pt>
                <c:pt idx="250">
                  <c:v>57.05</c:v>
                </c:pt>
                <c:pt idx="251">
                  <c:v>57.07</c:v>
                </c:pt>
                <c:pt idx="252">
                  <c:v>57.21</c:v>
                </c:pt>
                <c:pt idx="253">
                  <c:v>57.31</c:v>
                </c:pt>
                <c:pt idx="254">
                  <c:v>57.39</c:v>
                </c:pt>
                <c:pt idx="255">
                  <c:v>57.5</c:v>
                </c:pt>
                <c:pt idx="256">
                  <c:v>57.69</c:v>
                </c:pt>
                <c:pt idx="257">
                  <c:v>57.98</c:v>
                </c:pt>
                <c:pt idx="258">
                  <c:v>58.01</c:v>
                </c:pt>
                <c:pt idx="259">
                  <c:v>58.11</c:v>
                </c:pt>
                <c:pt idx="260">
                  <c:v>58.21</c:v>
                </c:pt>
                <c:pt idx="261">
                  <c:v>58.33</c:v>
                </c:pt>
                <c:pt idx="262">
                  <c:v>58.38</c:v>
                </c:pt>
                <c:pt idx="263">
                  <c:v>58.39</c:v>
                </c:pt>
                <c:pt idx="264">
                  <c:v>58.41</c:v>
                </c:pt>
                <c:pt idx="265">
                  <c:v>58.42</c:v>
                </c:pt>
                <c:pt idx="266">
                  <c:v>58.52</c:v>
                </c:pt>
                <c:pt idx="267">
                  <c:v>58.53</c:v>
                </c:pt>
                <c:pt idx="268">
                  <c:v>58.57</c:v>
                </c:pt>
                <c:pt idx="269">
                  <c:v>58.6</c:v>
                </c:pt>
                <c:pt idx="270">
                  <c:v>58.64</c:v>
                </c:pt>
                <c:pt idx="271">
                  <c:v>58.68</c:v>
                </c:pt>
                <c:pt idx="272">
                  <c:v>58.72</c:v>
                </c:pt>
                <c:pt idx="273">
                  <c:v>58.77</c:v>
                </c:pt>
                <c:pt idx="274">
                  <c:v>58.81</c:v>
                </c:pt>
                <c:pt idx="275">
                  <c:v>58.82</c:v>
                </c:pt>
                <c:pt idx="276">
                  <c:v>58.86</c:v>
                </c:pt>
                <c:pt idx="277">
                  <c:v>58.94</c:v>
                </c:pt>
                <c:pt idx="278">
                  <c:v>59</c:v>
                </c:pt>
                <c:pt idx="279">
                  <c:v>59.03</c:v>
                </c:pt>
                <c:pt idx="280">
                  <c:v>59.13</c:v>
                </c:pt>
                <c:pt idx="281">
                  <c:v>59.18</c:v>
                </c:pt>
                <c:pt idx="282">
                  <c:v>59.24</c:v>
                </c:pt>
                <c:pt idx="283">
                  <c:v>59.41</c:v>
                </c:pt>
                <c:pt idx="284">
                  <c:v>59.44</c:v>
                </c:pt>
                <c:pt idx="285">
                  <c:v>59.61</c:v>
                </c:pt>
                <c:pt idx="286">
                  <c:v>59.86</c:v>
                </c:pt>
                <c:pt idx="287">
                  <c:v>60</c:v>
                </c:pt>
                <c:pt idx="288">
                  <c:v>60.07</c:v>
                </c:pt>
                <c:pt idx="289">
                  <c:v>60.26</c:v>
                </c:pt>
                <c:pt idx="290">
                  <c:v>60.29</c:v>
                </c:pt>
                <c:pt idx="291">
                  <c:v>60.33</c:v>
                </c:pt>
                <c:pt idx="292">
                  <c:v>60.34</c:v>
                </c:pt>
                <c:pt idx="293">
                  <c:v>60.37</c:v>
                </c:pt>
                <c:pt idx="294">
                  <c:v>60.4</c:v>
                </c:pt>
                <c:pt idx="295">
                  <c:v>60.42</c:v>
                </c:pt>
                <c:pt idx="296">
                  <c:v>60.43</c:v>
                </c:pt>
                <c:pt idx="297">
                  <c:v>60.47</c:v>
                </c:pt>
                <c:pt idx="298">
                  <c:v>60.56</c:v>
                </c:pt>
                <c:pt idx="299">
                  <c:v>60.68</c:v>
                </c:pt>
                <c:pt idx="300">
                  <c:v>60.7</c:v>
                </c:pt>
                <c:pt idx="301">
                  <c:v>60.71</c:v>
                </c:pt>
                <c:pt idx="302">
                  <c:v>60.75</c:v>
                </c:pt>
                <c:pt idx="303">
                  <c:v>60.9</c:v>
                </c:pt>
                <c:pt idx="304">
                  <c:v>61.06</c:v>
                </c:pt>
                <c:pt idx="305">
                  <c:v>61.11</c:v>
                </c:pt>
                <c:pt idx="306">
                  <c:v>61.24</c:v>
                </c:pt>
                <c:pt idx="307">
                  <c:v>61.42</c:v>
                </c:pt>
                <c:pt idx="308">
                  <c:v>61.54</c:v>
                </c:pt>
                <c:pt idx="309">
                  <c:v>61.59</c:v>
                </c:pt>
                <c:pt idx="310">
                  <c:v>61.6</c:v>
                </c:pt>
                <c:pt idx="311">
                  <c:v>61.61</c:v>
                </c:pt>
                <c:pt idx="312">
                  <c:v>61.66</c:v>
                </c:pt>
                <c:pt idx="313">
                  <c:v>61.68</c:v>
                </c:pt>
                <c:pt idx="314">
                  <c:v>61.99</c:v>
                </c:pt>
                <c:pt idx="315">
                  <c:v>62.05</c:v>
                </c:pt>
                <c:pt idx="316">
                  <c:v>62.18</c:v>
                </c:pt>
                <c:pt idx="317">
                  <c:v>62.29</c:v>
                </c:pt>
                <c:pt idx="318">
                  <c:v>62.41</c:v>
                </c:pt>
                <c:pt idx="319">
                  <c:v>62.42</c:v>
                </c:pt>
                <c:pt idx="320">
                  <c:v>62.48</c:v>
                </c:pt>
                <c:pt idx="321">
                  <c:v>62.5</c:v>
                </c:pt>
                <c:pt idx="322">
                  <c:v>62.66</c:v>
                </c:pt>
                <c:pt idx="323">
                  <c:v>62.7</c:v>
                </c:pt>
                <c:pt idx="324">
                  <c:v>62.73</c:v>
                </c:pt>
                <c:pt idx="325">
                  <c:v>62.81</c:v>
                </c:pt>
                <c:pt idx="326">
                  <c:v>62.86</c:v>
                </c:pt>
                <c:pt idx="327">
                  <c:v>63.03</c:v>
                </c:pt>
                <c:pt idx="328">
                  <c:v>63.04</c:v>
                </c:pt>
                <c:pt idx="329">
                  <c:v>63.08</c:v>
                </c:pt>
                <c:pt idx="330">
                  <c:v>63.39</c:v>
                </c:pt>
                <c:pt idx="331">
                  <c:v>63.4</c:v>
                </c:pt>
                <c:pt idx="332">
                  <c:v>63.46</c:v>
                </c:pt>
                <c:pt idx="333">
                  <c:v>63.64</c:v>
                </c:pt>
                <c:pt idx="334">
                  <c:v>63.86</c:v>
                </c:pt>
                <c:pt idx="335">
                  <c:v>63.87</c:v>
                </c:pt>
                <c:pt idx="336">
                  <c:v>64.08</c:v>
                </c:pt>
                <c:pt idx="337">
                  <c:v>64.25</c:v>
                </c:pt>
                <c:pt idx="338">
                  <c:v>64.290000000000006</c:v>
                </c:pt>
                <c:pt idx="339">
                  <c:v>64.44</c:v>
                </c:pt>
                <c:pt idx="340">
                  <c:v>64.56</c:v>
                </c:pt>
                <c:pt idx="341">
                  <c:v>64.66</c:v>
                </c:pt>
                <c:pt idx="342">
                  <c:v>64.790000000000006</c:v>
                </c:pt>
                <c:pt idx="343">
                  <c:v>64.83</c:v>
                </c:pt>
                <c:pt idx="344">
                  <c:v>65</c:v>
                </c:pt>
                <c:pt idx="345">
                  <c:v>65.260000000000005</c:v>
                </c:pt>
                <c:pt idx="346">
                  <c:v>65.290000000000006</c:v>
                </c:pt>
                <c:pt idx="347">
                  <c:v>65.349999999999994</c:v>
                </c:pt>
                <c:pt idx="348">
                  <c:v>65.59</c:v>
                </c:pt>
                <c:pt idx="349">
                  <c:v>65.66</c:v>
                </c:pt>
                <c:pt idx="350">
                  <c:v>65.709999999999994</c:v>
                </c:pt>
                <c:pt idx="351">
                  <c:v>65.790000000000006</c:v>
                </c:pt>
                <c:pt idx="352">
                  <c:v>65.849999999999994</c:v>
                </c:pt>
                <c:pt idx="353">
                  <c:v>66.09</c:v>
                </c:pt>
                <c:pt idx="354">
                  <c:v>66.11</c:v>
                </c:pt>
                <c:pt idx="355">
                  <c:v>66.150000000000006</c:v>
                </c:pt>
                <c:pt idx="356">
                  <c:v>66.180000000000007</c:v>
                </c:pt>
                <c:pt idx="357">
                  <c:v>66.28</c:v>
                </c:pt>
                <c:pt idx="358">
                  <c:v>66.36</c:v>
                </c:pt>
                <c:pt idx="359">
                  <c:v>66.47</c:v>
                </c:pt>
                <c:pt idx="360">
                  <c:v>67.19</c:v>
                </c:pt>
                <c:pt idx="361">
                  <c:v>67.23</c:v>
                </c:pt>
                <c:pt idx="362">
                  <c:v>67.31</c:v>
                </c:pt>
                <c:pt idx="363">
                  <c:v>67.52</c:v>
                </c:pt>
                <c:pt idx="364">
                  <c:v>67.900000000000006</c:v>
                </c:pt>
                <c:pt idx="365">
                  <c:v>68.150000000000006</c:v>
                </c:pt>
                <c:pt idx="366">
                  <c:v>68.319999999999993</c:v>
                </c:pt>
                <c:pt idx="367">
                  <c:v>68.33</c:v>
                </c:pt>
                <c:pt idx="368">
                  <c:v>68.59</c:v>
                </c:pt>
                <c:pt idx="369">
                  <c:v>68.790000000000006</c:v>
                </c:pt>
                <c:pt idx="370">
                  <c:v>68.89</c:v>
                </c:pt>
                <c:pt idx="371">
                  <c:v>69.23</c:v>
                </c:pt>
                <c:pt idx="372">
                  <c:v>69.3</c:v>
                </c:pt>
                <c:pt idx="373">
                  <c:v>69.52</c:v>
                </c:pt>
                <c:pt idx="374">
                  <c:v>69.53</c:v>
                </c:pt>
                <c:pt idx="375">
                  <c:v>69.569999999999993</c:v>
                </c:pt>
                <c:pt idx="376">
                  <c:v>69.709999999999994</c:v>
                </c:pt>
                <c:pt idx="377">
                  <c:v>69.88</c:v>
                </c:pt>
                <c:pt idx="378">
                  <c:v>69.900000000000006</c:v>
                </c:pt>
                <c:pt idx="379">
                  <c:v>70.069999999999993</c:v>
                </c:pt>
                <c:pt idx="380">
                  <c:v>70.08</c:v>
                </c:pt>
                <c:pt idx="381">
                  <c:v>70.180000000000007</c:v>
                </c:pt>
                <c:pt idx="382">
                  <c:v>70.22</c:v>
                </c:pt>
                <c:pt idx="383">
                  <c:v>70.27</c:v>
                </c:pt>
                <c:pt idx="384">
                  <c:v>70.430000000000007</c:v>
                </c:pt>
                <c:pt idx="385">
                  <c:v>70.83</c:v>
                </c:pt>
                <c:pt idx="386">
                  <c:v>71.260000000000005</c:v>
                </c:pt>
                <c:pt idx="387">
                  <c:v>71.319999999999993</c:v>
                </c:pt>
                <c:pt idx="388">
                  <c:v>71.430000000000007</c:v>
                </c:pt>
                <c:pt idx="389">
                  <c:v>72</c:v>
                </c:pt>
                <c:pt idx="390">
                  <c:v>72.84</c:v>
                </c:pt>
                <c:pt idx="391">
                  <c:v>73.12</c:v>
                </c:pt>
                <c:pt idx="392">
                  <c:v>73.28</c:v>
                </c:pt>
                <c:pt idx="393">
                  <c:v>73.86</c:v>
                </c:pt>
                <c:pt idx="394">
                  <c:v>74.069999999999993</c:v>
                </c:pt>
                <c:pt idx="395">
                  <c:v>75</c:v>
                </c:pt>
                <c:pt idx="396">
                  <c:v>75.31</c:v>
                </c:pt>
                <c:pt idx="397">
                  <c:v>75.680000000000007</c:v>
                </c:pt>
                <c:pt idx="398">
                  <c:v>75.97</c:v>
                </c:pt>
                <c:pt idx="399">
                  <c:v>76</c:v>
                </c:pt>
                <c:pt idx="400">
                  <c:v>76.069999999999993</c:v>
                </c:pt>
                <c:pt idx="401">
                  <c:v>76.739999999999995</c:v>
                </c:pt>
                <c:pt idx="402">
                  <c:v>76.92</c:v>
                </c:pt>
                <c:pt idx="403">
                  <c:v>77.05</c:v>
                </c:pt>
                <c:pt idx="404">
                  <c:v>77.38</c:v>
                </c:pt>
                <c:pt idx="405">
                  <c:v>77.78</c:v>
                </c:pt>
                <c:pt idx="406">
                  <c:v>78.16</c:v>
                </c:pt>
                <c:pt idx="407">
                  <c:v>78.180000000000007</c:v>
                </c:pt>
                <c:pt idx="408">
                  <c:v>78.33</c:v>
                </c:pt>
                <c:pt idx="409">
                  <c:v>78.790000000000006</c:v>
                </c:pt>
                <c:pt idx="410">
                  <c:v>79.17</c:v>
                </c:pt>
                <c:pt idx="411">
                  <c:v>79.66</c:v>
                </c:pt>
                <c:pt idx="412">
                  <c:v>79.67</c:v>
                </c:pt>
                <c:pt idx="413">
                  <c:v>80.33</c:v>
                </c:pt>
                <c:pt idx="414">
                  <c:v>80.56</c:v>
                </c:pt>
                <c:pt idx="415">
                  <c:v>80.650000000000006</c:v>
                </c:pt>
                <c:pt idx="416">
                  <c:v>80.77</c:v>
                </c:pt>
                <c:pt idx="417">
                  <c:v>80.95</c:v>
                </c:pt>
                <c:pt idx="418">
                  <c:v>81.16</c:v>
                </c:pt>
                <c:pt idx="419">
                  <c:v>81.25</c:v>
                </c:pt>
                <c:pt idx="420">
                  <c:v>81.540000000000006</c:v>
                </c:pt>
                <c:pt idx="421">
                  <c:v>82.09</c:v>
                </c:pt>
                <c:pt idx="422">
                  <c:v>82.26</c:v>
                </c:pt>
                <c:pt idx="423">
                  <c:v>82.46</c:v>
                </c:pt>
                <c:pt idx="424">
                  <c:v>82.5</c:v>
                </c:pt>
                <c:pt idx="425">
                  <c:v>82.76</c:v>
                </c:pt>
                <c:pt idx="426">
                  <c:v>82.81</c:v>
                </c:pt>
                <c:pt idx="427">
                  <c:v>83.08</c:v>
                </c:pt>
                <c:pt idx="428">
                  <c:v>83.33</c:v>
                </c:pt>
                <c:pt idx="429">
                  <c:v>84.21</c:v>
                </c:pt>
                <c:pt idx="430">
                  <c:v>84.48</c:v>
                </c:pt>
                <c:pt idx="431">
                  <c:v>85</c:v>
                </c:pt>
                <c:pt idx="432">
                  <c:v>85.9</c:v>
                </c:pt>
                <c:pt idx="433">
                  <c:v>85.96</c:v>
                </c:pt>
                <c:pt idx="434">
                  <c:v>86</c:v>
                </c:pt>
                <c:pt idx="435">
                  <c:v>86.05</c:v>
                </c:pt>
                <c:pt idx="436">
                  <c:v>86.21</c:v>
                </c:pt>
                <c:pt idx="437">
                  <c:v>86.25</c:v>
                </c:pt>
                <c:pt idx="438">
                  <c:v>86.27</c:v>
                </c:pt>
                <c:pt idx="439">
                  <c:v>86.32</c:v>
                </c:pt>
                <c:pt idx="440">
                  <c:v>86.36</c:v>
                </c:pt>
                <c:pt idx="441">
                  <c:v>86.49</c:v>
                </c:pt>
                <c:pt idx="442">
                  <c:v>86.54</c:v>
                </c:pt>
                <c:pt idx="443">
                  <c:v>86.9</c:v>
                </c:pt>
                <c:pt idx="444">
                  <c:v>86.96</c:v>
                </c:pt>
                <c:pt idx="445">
                  <c:v>87.06</c:v>
                </c:pt>
                <c:pt idx="446">
                  <c:v>87.1</c:v>
                </c:pt>
                <c:pt idx="447">
                  <c:v>87.13</c:v>
                </c:pt>
                <c:pt idx="448">
                  <c:v>87.23</c:v>
                </c:pt>
                <c:pt idx="449">
                  <c:v>87.26</c:v>
                </c:pt>
                <c:pt idx="450">
                  <c:v>87.5</c:v>
                </c:pt>
                <c:pt idx="451">
                  <c:v>87.72</c:v>
                </c:pt>
                <c:pt idx="452">
                  <c:v>87.76</c:v>
                </c:pt>
                <c:pt idx="453">
                  <c:v>87.88</c:v>
                </c:pt>
                <c:pt idx="454">
                  <c:v>88</c:v>
                </c:pt>
                <c:pt idx="455">
                  <c:v>88.08</c:v>
                </c:pt>
                <c:pt idx="456">
                  <c:v>88.14</c:v>
                </c:pt>
                <c:pt idx="457">
                  <c:v>88.19</c:v>
                </c:pt>
                <c:pt idx="458">
                  <c:v>88.35</c:v>
                </c:pt>
                <c:pt idx="459">
                  <c:v>88.46</c:v>
                </c:pt>
                <c:pt idx="460">
                  <c:v>88.62</c:v>
                </c:pt>
                <c:pt idx="461">
                  <c:v>88.64</c:v>
                </c:pt>
                <c:pt idx="462">
                  <c:v>88.68</c:v>
                </c:pt>
                <c:pt idx="463">
                  <c:v>88.71</c:v>
                </c:pt>
                <c:pt idx="464">
                  <c:v>88.75</c:v>
                </c:pt>
                <c:pt idx="465">
                  <c:v>88.89</c:v>
                </c:pt>
                <c:pt idx="466">
                  <c:v>88.99</c:v>
                </c:pt>
                <c:pt idx="467">
                  <c:v>89.04</c:v>
                </c:pt>
                <c:pt idx="468">
                  <c:v>89.06</c:v>
                </c:pt>
                <c:pt idx="469">
                  <c:v>89.09</c:v>
                </c:pt>
                <c:pt idx="470">
                  <c:v>89.13</c:v>
                </c:pt>
                <c:pt idx="471">
                  <c:v>89.29</c:v>
                </c:pt>
                <c:pt idx="472">
                  <c:v>89.47</c:v>
                </c:pt>
                <c:pt idx="473">
                  <c:v>89.58</c:v>
                </c:pt>
                <c:pt idx="474">
                  <c:v>89.66</c:v>
                </c:pt>
                <c:pt idx="475">
                  <c:v>89.69</c:v>
                </c:pt>
                <c:pt idx="476">
                  <c:v>89.7</c:v>
                </c:pt>
                <c:pt idx="477">
                  <c:v>89.71</c:v>
                </c:pt>
                <c:pt idx="478">
                  <c:v>89.8</c:v>
                </c:pt>
                <c:pt idx="479">
                  <c:v>89.81</c:v>
                </c:pt>
                <c:pt idx="480">
                  <c:v>90</c:v>
                </c:pt>
                <c:pt idx="481">
                  <c:v>90.2</c:v>
                </c:pt>
                <c:pt idx="482">
                  <c:v>90.24</c:v>
                </c:pt>
                <c:pt idx="483">
                  <c:v>90.38</c:v>
                </c:pt>
                <c:pt idx="484">
                  <c:v>90.57</c:v>
                </c:pt>
                <c:pt idx="485">
                  <c:v>90.63</c:v>
                </c:pt>
                <c:pt idx="486">
                  <c:v>90.7</c:v>
                </c:pt>
                <c:pt idx="487">
                  <c:v>90.74</c:v>
                </c:pt>
                <c:pt idx="488">
                  <c:v>90.77</c:v>
                </c:pt>
                <c:pt idx="489">
                  <c:v>90.78</c:v>
                </c:pt>
                <c:pt idx="490">
                  <c:v>90.8</c:v>
                </c:pt>
                <c:pt idx="491">
                  <c:v>90.91</c:v>
                </c:pt>
                <c:pt idx="492">
                  <c:v>91.01</c:v>
                </c:pt>
                <c:pt idx="493">
                  <c:v>91.03</c:v>
                </c:pt>
                <c:pt idx="494">
                  <c:v>91.07</c:v>
                </c:pt>
                <c:pt idx="495">
                  <c:v>91.23</c:v>
                </c:pt>
                <c:pt idx="496">
                  <c:v>91.28</c:v>
                </c:pt>
                <c:pt idx="497">
                  <c:v>91.3</c:v>
                </c:pt>
                <c:pt idx="498">
                  <c:v>91.38</c:v>
                </c:pt>
                <c:pt idx="499">
                  <c:v>91.43</c:v>
                </c:pt>
                <c:pt idx="500">
                  <c:v>91.49</c:v>
                </c:pt>
                <c:pt idx="501">
                  <c:v>91.53</c:v>
                </c:pt>
                <c:pt idx="502">
                  <c:v>91.67</c:v>
                </c:pt>
                <c:pt idx="503">
                  <c:v>91.73</c:v>
                </c:pt>
                <c:pt idx="504">
                  <c:v>91.78</c:v>
                </c:pt>
                <c:pt idx="505">
                  <c:v>91.8</c:v>
                </c:pt>
                <c:pt idx="506">
                  <c:v>91.89</c:v>
                </c:pt>
                <c:pt idx="507">
                  <c:v>91.97</c:v>
                </c:pt>
                <c:pt idx="508">
                  <c:v>92</c:v>
                </c:pt>
                <c:pt idx="509">
                  <c:v>92.06</c:v>
                </c:pt>
                <c:pt idx="510">
                  <c:v>92.16</c:v>
                </c:pt>
                <c:pt idx="511">
                  <c:v>92.19</c:v>
                </c:pt>
                <c:pt idx="512">
                  <c:v>92.31</c:v>
                </c:pt>
                <c:pt idx="513">
                  <c:v>92.42</c:v>
                </c:pt>
                <c:pt idx="514">
                  <c:v>92.54</c:v>
                </c:pt>
                <c:pt idx="515">
                  <c:v>92.59</c:v>
                </c:pt>
                <c:pt idx="516">
                  <c:v>92.98</c:v>
                </c:pt>
                <c:pt idx="517">
                  <c:v>93.44</c:v>
                </c:pt>
              </c:numCache>
            </c:numRef>
          </c:cat>
          <c:val>
            <c:numRef>
              <c:f>DCPNormal!$F$4:$F$521</c:f>
              <c:numCache>
                <c:formatCode>General</c:formatCode>
                <c:ptCount val="518"/>
                <c:pt idx="0">
                  <c:v>1.4313631967545553</c:v>
                </c:pt>
                <c:pt idx="1">
                  <c:v>1.6873103597407304</c:v>
                </c:pt>
                <c:pt idx="2">
                  <c:v>2.3939665119408566</c:v>
                </c:pt>
                <c:pt idx="3">
                  <c:v>2.9958618254506808</c:v>
                </c:pt>
                <c:pt idx="4">
                  <c:v>3.1185073271031771</c:v>
                </c:pt>
                <c:pt idx="5">
                  <c:v>3.3039598255067961</c:v>
                </c:pt>
                <c:pt idx="6">
                  <c:v>3.6154085460159444</c:v>
                </c:pt>
                <c:pt idx="7">
                  <c:v>3.6455317016577</c:v>
                </c:pt>
                <c:pt idx="8">
                  <c:v>3.6488884614905546</c:v>
                </c:pt>
                <c:pt idx="9">
                  <c:v>3.7368468018912657</c:v>
                </c:pt>
                <c:pt idx="10">
                  <c:v>3.8712392019548219</c:v>
                </c:pt>
                <c:pt idx="11">
                  <c:v>3.944817193952689</c:v>
                </c:pt>
                <c:pt idx="12">
                  <c:v>4.0228034884565211</c:v>
                </c:pt>
                <c:pt idx="13">
                  <c:v>4.2401519815384496</c:v>
                </c:pt>
                <c:pt idx="14">
                  <c:v>4.2511967432580331</c:v>
                </c:pt>
                <c:pt idx="15">
                  <c:v>4.3625629533320849</c:v>
                </c:pt>
                <c:pt idx="16">
                  <c:v>4.460420689002496</c:v>
                </c:pt>
                <c:pt idx="17">
                  <c:v>4.6172280057023665</c:v>
                </c:pt>
                <c:pt idx="18">
                  <c:v>4.6520526110131426</c:v>
                </c:pt>
                <c:pt idx="19">
                  <c:v>4.6598109640690923</c:v>
                </c:pt>
                <c:pt idx="20">
                  <c:v>4.8164572277815969</c:v>
                </c:pt>
                <c:pt idx="21">
                  <c:v>4.9077886986129915</c:v>
                </c:pt>
                <c:pt idx="22">
                  <c:v>4.9357652249687618</c:v>
                </c:pt>
                <c:pt idx="23">
                  <c:v>4.9839186299018348</c:v>
                </c:pt>
                <c:pt idx="24">
                  <c:v>4.9919678667678227</c:v>
                </c:pt>
                <c:pt idx="25">
                  <c:v>5.064713084665291</c:v>
                </c:pt>
                <c:pt idx="26">
                  <c:v>5.0728292779441713</c:v>
                </c:pt>
                <c:pt idx="27">
                  <c:v>5.1339117992173229</c:v>
                </c:pt>
                <c:pt idx="28">
                  <c:v>5.1707389447883685</c:v>
                </c:pt>
                <c:pt idx="29">
                  <c:v>5.2159292058817961</c:v>
                </c:pt>
                <c:pt idx="30">
                  <c:v>5.2820092355937538</c:v>
                </c:pt>
                <c:pt idx="31">
                  <c:v>5.369358264900332</c:v>
                </c:pt>
                <c:pt idx="32">
                  <c:v>5.3777134587715221</c:v>
                </c:pt>
                <c:pt idx="33">
                  <c:v>5.4153890886190181</c:v>
                </c:pt>
                <c:pt idx="34">
                  <c:v>5.5164689014298087</c:v>
                </c:pt>
                <c:pt idx="35">
                  <c:v>5.5334010040683808</c:v>
                </c:pt>
                <c:pt idx="36">
                  <c:v>5.5546001058254353</c:v>
                </c:pt>
                <c:pt idx="37">
                  <c:v>5.5800886075296967</c:v>
                </c:pt>
                <c:pt idx="38">
                  <c:v>5.5928530454708678</c:v>
                </c:pt>
                <c:pt idx="39">
                  <c:v>5.8422157397674539</c:v>
                </c:pt>
                <c:pt idx="40">
                  <c:v>5.9599196638040235</c:v>
                </c:pt>
                <c:pt idx="41">
                  <c:v>6.0037652251998859</c:v>
                </c:pt>
                <c:pt idx="42">
                  <c:v>6.0918541895851384</c:v>
                </c:pt>
                <c:pt idx="43">
                  <c:v>6.1183826345240639</c:v>
                </c:pt>
                <c:pt idx="44">
                  <c:v>6.1272357499012013</c:v>
                </c:pt>
                <c:pt idx="45">
                  <c:v>6.2606392000690425</c:v>
                </c:pt>
                <c:pt idx="46">
                  <c:v>6.2651052525101232</c:v>
                </c:pt>
                <c:pt idx="47">
                  <c:v>6.2695725279017722</c:v>
                </c:pt>
                <c:pt idx="48">
                  <c:v>6.3053545255726515</c:v>
                </c:pt>
                <c:pt idx="49">
                  <c:v>6.3771489765027249</c:v>
                </c:pt>
                <c:pt idx="50">
                  <c:v>6.4041498168054956</c:v>
                </c:pt>
                <c:pt idx="51">
                  <c:v>6.449243967763497</c:v>
                </c:pt>
                <c:pt idx="52">
                  <c:v>6.4808779369671266</c:v>
                </c:pt>
                <c:pt idx="53">
                  <c:v>6.5397727972439368</c:v>
                </c:pt>
                <c:pt idx="54">
                  <c:v>6.5715627635145202</c:v>
                </c:pt>
                <c:pt idx="55">
                  <c:v>6.6034059558680429</c:v>
                </c:pt>
                <c:pt idx="56">
                  <c:v>6.6581160364911449</c:v>
                </c:pt>
                <c:pt idx="57">
                  <c:v>6.6718172359051806</c:v>
                </c:pt>
                <c:pt idx="58">
                  <c:v>6.7175551460357461</c:v>
                </c:pt>
                <c:pt idx="59">
                  <c:v>6.7588063614234386</c:v>
                </c:pt>
                <c:pt idx="60">
                  <c:v>7.0404466794741429</c:v>
                </c:pt>
                <c:pt idx="61">
                  <c:v>7.1008997332515866</c:v>
                </c:pt>
                <c:pt idx="62">
                  <c:v>7.1195291098130715</c:v>
                </c:pt>
                <c:pt idx="63">
                  <c:v>7.1754953274499478</c:v>
                </c:pt>
                <c:pt idx="64">
                  <c:v>7.1941762517533325</c:v>
                </c:pt>
                <c:pt idx="65">
                  <c:v>7.3299771415129298</c:v>
                </c:pt>
                <c:pt idx="66">
                  <c:v>7.3534531422423459</c:v>
                </c:pt>
                <c:pt idx="67">
                  <c:v>7.3581504459511882</c:v>
                </c:pt>
                <c:pt idx="68">
                  <c:v>7.5796644429416373</c:v>
                </c:pt>
                <c:pt idx="69">
                  <c:v>7.5843922672229871</c:v>
                </c:pt>
                <c:pt idx="70">
                  <c:v>7.6127711531086035</c:v>
                </c:pt>
                <c:pt idx="71">
                  <c:v>7.6790655902431801</c:v>
                </c:pt>
                <c:pt idx="72">
                  <c:v>7.6885447198200563</c:v>
                </c:pt>
                <c:pt idx="73">
                  <c:v>7.7834458313421742</c:v>
                </c:pt>
                <c:pt idx="74">
                  <c:v>7.8499877621357657</c:v>
                </c:pt>
                <c:pt idx="75">
                  <c:v>7.9166127513175484</c:v>
                </c:pt>
                <c:pt idx="76">
                  <c:v>7.9261369504727384</c:v>
                </c:pt>
                <c:pt idx="77">
                  <c:v>7.9308996214243077</c:v>
                </c:pt>
                <c:pt idx="78">
                  <c:v>7.9690143379776259</c:v>
                </c:pt>
                <c:pt idx="79">
                  <c:v>8.0739427134685062</c:v>
                </c:pt>
                <c:pt idx="80">
                  <c:v>8.1312381846794981</c:v>
                </c:pt>
                <c:pt idx="81">
                  <c:v>8.1360145631918446</c:v>
                </c:pt>
                <c:pt idx="82">
                  <c:v>8.1455680881218679</c:v>
                </c:pt>
                <c:pt idx="83">
                  <c:v>8.2029095432138277</c:v>
                </c:pt>
                <c:pt idx="84">
                  <c:v>8.226811320864595</c:v>
                </c:pt>
                <c:pt idx="85">
                  <c:v>8.2650645509873613</c:v>
                </c:pt>
                <c:pt idx="86">
                  <c:v>8.2889787487397886</c:v>
                </c:pt>
                <c:pt idx="87">
                  <c:v>8.3416039982362591</c:v>
                </c:pt>
                <c:pt idx="88">
                  <c:v>8.4851978015443041</c:v>
                </c:pt>
                <c:pt idx="89">
                  <c:v>8.5665905744078419</c:v>
                </c:pt>
                <c:pt idx="90">
                  <c:v>8.5761663629994942</c:v>
                </c:pt>
                <c:pt idx="91">
                  <c:v>8.6336192335168693</c:v>
                </c:pt>
                <c:pt idx="92">
                  <c:v>8.7293559678895196</c:v>
                </c:pt>
                <c:pt idx="93">
                  <c:v>8.7389276432484717</c:v>
                </c:pt>
                <c:pt idx="94">
                  <c:v>8.7628547615286827</c:v>
                </c:pt>
                <c:pt idx="95">
                  <c:v>8.7724247164559497</c:v>
                </c:pt>
                <c:pt idx="96">
                  <c:v>8.891995050795602</c:v>
                </c:pt>
                <c:pt idx="97">
                  <c:v>8.9063354603415625</c:v>
                </c:pt>
                <c:pt idx="98">
                  <c:v>8.949344296240568</c:v>
                </c:pt>
                <c:pt idx="99">
                  <c:v>8.9684529349443274</c:v>
                </c:pt>
                <c:pt idx="100">
                  <c:v>8.9875573520050729</c:v>
                </c:pt>
                <c:pt idx="101">
                  <c:v>8.9971079147460316</c:v>
                </c:pt>
                <c:pt idx="102">
                  <c:v>9.0400710920819751</c:v>
                </c:pt>
                <c:pt idx="103">
                  <c:v>9.0543866668790471</c:v>
                </c:pt>
                <c:pt idx="104">
                  <c:v>9.0686993576573034</c:v>
                </c:pt>
                <c:pt idx="105">
                  <c:v>9.0782395071663373</c:v>
                </c:pt>
                <c:pt idx="106">
                  <c:v>9.0973157459164895</c:v>
                </c:pt>
                <c:pt idx="107">
                  <c:v>9.1402165625491225</c:v>
                </c:pt>
                <c:pt idx="108">
                  <c:v>9.1878481741739559</c:v>
                </c:pt>
                <c:pt idx="109">
                  <c:v>9.1926091365386782</c:v>
                </c:pt>
                <c:pt idx="110">
                  <c:v>9.2449517908954135</c:v>
                </c:pt>
                <c:pt idx="111">
                  <c:v>9.2639722747724029</c:v>
                </c:pt>
                <c:pt idx="112">
                  <c:v>9.2687262522526002</c:v>
                </c:pt>
                <c:pt idx="113">
                  <c:v>9.2972402643047314</c:v>
                </c:pt>
                <c:pt idx="114">
                  <c:v>9.3067411042865142</c:v>
                </c:pt>
                <c:pt idx="115">
                  <c:v>9.3162399859601557</c:v>
                </c:pt>
                <c:pt idx="116">
                  <c:v>9.4442701416258075</c:v>
                </c:pt>
                <c:pt idx="117">
                  <c:v>9.4726657663862905</c:v>
                </c:pt>
                <c:pt idx="118">
                  <c:v>9.4915841638838909</c:v>
                </c:pt>
                <c:pt idx="119">
                  <c:v>9.5104927023790147</c:v>
                </c:pt>
                <c:pt idx="120">
                  <c:v>9.6754898019628133</c:v>
                </c:pt>
                <c:pt idx="121">
                  <c:v>9.6848920073648888</c:v>
                </c:pt>
                <c:pt idx="122">
                  <c:v>9.6989896746603996</c:v>
                </c:pt>
                <c:pt idx="123">
                  <c:v>9.7646867919583205</c:v>
                </c:pt>
                <c:pt idx="124">
                  <c:v>9.783428730135979</c:v>
                </c:pt>
                <c:pt idx="125">
                  <c:v>9.834900714970253</c:v>
                </c:pt>
                <c:pt idx="126">
                  <c:v>9.8582630465506309</c:v>
                </c:pt>
                <c:pt idx="127">
                  <c:v>9.8816035287150559</c:v>
                </c:pt>
                <c:pt idx="128">
                  <c:v>9.8955971566156915</c:v>
                </c:pt>
                <c:pt idx="129">
                  <c:v>9.9514897009797565</c:v>
                </c:pt>
                <c:pt idx="130">
                  <c:v>9.9933205112350194</c:v>
                </c:pt>
                <c:pt idx="131">
                  <c:v>10.01188687946162</c:v>
                </c:pt>
                <c:pt idx="132">
                  <c:v>10.016526018581374</c:v>
                </c:pt>
                <c:pt idx="133">
                  <c:v>10.044339989748725</c:v>
                </c:pt>
                <c:pt idx="134">
                  <c:v>10.067490607634511</c:v>
                </c:pt>
                <c:pt idx="135">
                  <c:v>10.095237489709834</c:v>
                </c:pt>
                <c:pt idx="136">
                  <c:v>10.136787038002147</c:v>
                </c:pt>
                <c:pt idx="137">
                  <c:v>10.141398321926051</c:v>
                </c:pt>
                <c:pt idx="138">
                  <c:v>10.15061764972458</c:v>
                </c:pt>
                <c:pt idx="139">
                  <c:v>10.159832634935455</c:v>
                </c:pt>
                <c:pt idx="140">
                  <c:v>10.270063887562008</c:v>
                </c:pt>
                <c:pt idx="141">
                  <c:v>10.274642510433592</c:v>
                </c:pt>
                <c:pt idx="142">
                  <c:v>10.292945197549448</c:v>
                </c:pt>
                <c:pt idx="143">
                  <c:v>10.329493205145193</c:v>
                </c:pt>
                <c:pt idx="144">
                  <c:v>10.452257166809227</c:v>
                </c:pt>
                <c:pt idx="145">
                  <c:v>10.45678605904879</c:v>
                </c:pt>
                <c:pt idx="146">
                  <c:v>10.465839901212563</c:v>
                </c:pt>
                <c:pt idx="147">
                  <c:v>10.48393172095397</c:v>
                </c:pt>
                <c:pt idx="148">
                  <c:v>10.533573564166014</c:v>
                </c:pt>
                <c:pt idx="149">
                  <c:v>10.618925277237883</c:v>
                </c:pt>
                <c:pt idx="150">
                  <c:v>10.654709141675699</c:v>
                </c:pt>
                <c:pt idx="151">
                  <c:v>10.66810404641334</c:v>
                </c:pt>
                <c:pt idx="152">
                  <c:v>10.739317372319322</c:v>
                </c:pt>
                <c:pt idx="153">
                  <c:v>10.761491987530411</c:v>
                </c:pt>
                <c:pt idx="154">
                  <c:v>10.779203894082601</c:v>
                </c:pt>
                <c:pt idx="155">
                  <c:v>10.792471472474501</c:v>
                </c:pt>
                <c:pt idx="156">
                  <c:v>10.796890865840538</c:v>
                </c:pt>
                <c:pt idx="157">
                  <c:v>10.805724932964251</c:v>
                </c:pt>
                <c:pt idx="158">
                  <c:v>10.898096121975154</c:v>
                </c:pt>
                <c:pt idx="159">
                  <c:v>10.919983163124501</c:v>
                </c:pt>
                <c:pt idx="160">
                  <c:v>10.946192547426238</c:v>
                </c:pt>
                <c:pt idx="161">
                  <c:v>10.967987313960414</c:v>
                </c:pt>
                <c:pt idx="162">
                  <c:v>10.981043741605768</c:v>
                </c:pt>
                <c:pt idx="163">
                  <c:v>10.989739456528904</c:v>
                </c:pt>
                <c:pt idx="164">
                  <c:v>10.994084732729826</c:v>
                </c:pt>
                <c:pt idx="165">
                  <c:v>11.007110195463255</c:v>
                </c:pt>
                <c:pt idx="166">
                  <c:v>11.033114168393805</c:v>
                </c:pt>
                <c:pt idx="167">
                  <c:v>11.072001369469749</c:v>
                </c:pt>
                <c:pt idx="168">
                  <c:v>11.102147049472636</c:v>
                </c:pt>
                <c:pt idx="169">
                  <c:v>11.11933339968976</c:v>
                </c:pt>
                <c:pt idx="170">
                  <c:v>11.136490567423493</c:v>
                </c:pt>
                <c:pt idx="171">
                  <c:v>11.149339161642805</c:v>
                </c:pt>
                <c:pt idx="172">
                  <c:v>11.179254389234801</c:v>
                </c:pt>
                <c:pt idx="173">
                  <c:v>11.209077920448426</c:v>
                </c:pt>
                <c:pt idx="174">
                  <c:v>11.24304818569383</c:v>
                </c:pt>
                <c:pt idx="175">
                  <c:v>11.314824402243067</c:v>
                </c:pt>
                <c:pt idx="176">
                  <c:v>11.327431881826611</c:v>
                </c:pt>
                <c:pt idx="177">
                  <c:v>11.331630400395275</c:v>
                </c:pt>
                <c:pt idx="178">
                  <c:v>11.344213985086785</c:v>
                </c:pt>
                <c:pt idx="179">
                  <c:v>11.365146520955671</c:v>
                </c:pt>
                <c:pt idx="180">
                  <c:v>11.464912390465278</c:v>
                </c:pt>
                <c:pt idx="181">
                  <c:v>11.50612710743334</c:v>
                </c:pt>
                <c:pt idx="182">
                  <c:v>11.624431245989033</c:v>
                </c:pt>
                <c:pt idx="183">
                  <c:v>11.640603695469766</c:v>
                </c:pt>
                <c:pt idx="184">
                  <c:v>11.672840702133064</c:v>
                </c:pt>
                <c:pt idx="185">
                  <c:v>11.676860148633976</c:v>
                </c:pt>
                <c:pt idx="186">
                  <c:v>11.700928977655606</c:v>
                </c:pt>
                <c:pt idx="187">
                  <c:v>11.720923312102535</c:v>
                </c:pt>
                <c:pt idx="188">
                  <c:v>11.728904903825473</c:v>
                </c:pt>
                <c:pt idx="189">
                  <c:v>11.748818297968949</c:v>
                </c:pt>
                <c:pt idx="190">
                  <c:v>11.764707051944223</c:v>
                </c:pt>
                <c:pt idx="191">
                  <c:v>11.800319224023619</c:v>
                </c:pt>
                <c:pt idx="192">
                  <c:v>11.804264301486532</c:v>
                </c:pt>
                <c:pt idx="193">
                  <c:v>11.808207000861497</c:v>
                </c:pt>
                <c:pt idx="194">
                  <c:v>11.847502482368899</c:v>
                </c:pt>
                <c:pt idx="195">
                  <c:v>11.878765221776751</c:v>
                </c:pt>
                <c:pt idx="196">
                  <c:v>11.890448580020244</c:v>
                </c:pt>
                <c:pt idx="197">
                  <c:v>11.898225242847294</c:v>
                </c:pt>
                <c:pt idx="198">
                  <c:v>11.936960674630665</c:v>
                </c:pt>
                <c:pt idx="199">
                  <c:v>11.975447269737748</c:v>
                </c:pt>
                <c:pt idx="200">
                  <c:v>11.983114445110898</c:v>
                </c:pt>
                <c:pt idx="201">
                  <c:v>12.009869791618906</c:v>
                </c:pt>
                <c:pt idx="202">
                  <c:v>12.047874747827262</c:v>
                </c:pt>
                <c:pt idx="203">
                  <c:v>12.051661099034437</c:v>
                </c:pt>
                <c:pt idx="204">
                  <c:v>12.12684116556018</c:v>
                </c:pt>
                <c:pt idx="205">
                  <c:v>12.152905266363371</c:v>
                </c:pt>
                <c:pt idx="206">
                  <c:v>12.160328171022151</c:v>
                </c:pt>
                <c:pt idx="207">
                  <c:v>12.175141841948644</c:v>
                </c:pt>
                <c:pt idx="208">
                  <c:v>12.182532558049859</c:v>
                </c:pt>
                <c:pt idx="209">
                  <c:v>12.219323943877368</c:v>
                </c:pt>
                <c:pt idx="210">
                  <c:v>12.226649607323907</c:v>
                </c:pt>
                <c:pt idx="211">
                  <c:v>12.273998906239489</c:v>
                </c:pt>
                <c:pt idx="212">
                  <c:v>12.306505108897056</c:v>
                </c:pt>
                <c:pt idx="213">
                  <c:v>12.328050033250818</c:v>
                </c:pt>
                <c:pt idx="214">
                  <c:v>12.335209157294845</c:v>
                </c:pt>
                <c:pt idx="215">
                  <c:v>12.34592664909068</c:v>
                </c:pt>
                <c:pt idx="216">
                  <c:v>12.363732413711027</c:v>
                </c:pt>
                <c:pt idx="217">
                  <c:v>12.367285030930251</c:v>
                </c:pt>
                <c:pt idx="218">
                  <c:v>12.39560302912977</c:v>
                </c:pt>
                <c:pt idx="219">
                  <c:v>12.416720794671924</c:v>
                </c:pt>
                <c:pt idx="220">
                  <c:v>12.455165569289866</c:v>
                </c:pt>
                <c:pt idx="221">
                  <c:v>12.465589191437726</c:v>
                </c:pt>
                <c:pt idx="222">
                  <c:v>12.475986382280226</c:v>
                </c:pt>
                <c:pt idx="223">
                  <c:v>12.479446224991186</c:v>
                </c:pt>
                <c:pt idx="224">
                  <c:v>12.517309221675951</c:v>
                </c:pt>
                <c:pt idx="225">
                  <c:v>12.520733482909607</c:v>
                </c:pt>
                <c:pt idx="226">
                  <c:v>12.588588059072965</c:v>
                </c:pt>
                <c:pt idx="227">
                  <c:v>12.608708129741304</c:v>
                </c:pt>
                <c:pt idx="228">
                  <c:v>12.625390713903924</c:v>
                </c:pt>
                <c:pt idx="229">
                  <c:v>12.651922789946333</c:v>
                </c:pt>
                <c:pt idx="230">
                  <c:v>12.704390609686545</c:v>
                </c:pt>
                <c:pt idx="231">
                  <c:v>12.765649830340012</c:v>
                </c:pt>
                <c:pt idx="232">
                  <c:v>12.781579606845199</c:v>
                </c:pt>
                <c:pt idx="233">
                  <c:v>12.791098955770559</c:v>
                </c:pt>
                <c:pt idx="234">
                  <c:v>12.82888580561775</c:v>
                </c:pt>
                <c:pt idx="235">
                  <c:v>12.835138198312601</c:v>
                </c:pt>
                <c:pt idx="236">
                  <c:v>12.844492340427188</c:v>
                </c:pt>
                <c:pt idx="237">
                  <c:v>12.847603857636459</c:v>
                </c:pt>
                <c:pt idx="238">
                  <c:v>12.863112344220875</c:v>
                </c:pt>
                <c:pt idx="239">
                  <c:v>12.87853874808936</c:v>
                </c:pt>
                <c:pt idx="240">
                  <c:v>12.884686250248347</c:v>
                </c:pt>
                <c:pt idx="241">
                  <c:v>12.915225188094061</c:v>
                </c:pt>
                <c:pt idx="242">
                  <c:v>13.02238960690506</c:v>
                </c:pt>
                <c:pt idx="243">
                  <c:v>13.036925332454009</c:v>
                </c:pt>
                <c:pt idx="244">
                  <c:v>13.074315259383759</c:v>
                </c:pt>
                <c:pt idx="245">
                  <c:v>13.150090817871122</c:v>
                </c:pt>
                <c:pt idx="246">
                  <c:v>13.15560181433489</c:v>
                </c:pt>
                <c:pt idx="247">
                  <c:v>13.188369477736899</c:v>
                </c:pt>
                <c:pt idx="248">
                  <c:v>13.21260785092932</c:v>
                </c:pt>
                <c:pt idx="249">
                  <c:v>13.215283064081781</c:v>
                </c:pt>
                <c:pt idx="250">
                  <c:v>13.225947925530972</c:v>
                </c:pt>
                <c:pt idx="251">
                  <c:v>13.231258728027596</c:v>
                </c:pt>
                <c:pt idx="252">
                  <c:v>13.268028841650723</c:v>
                </c:pt>
                <c:pt idx="253">
                  <c:v>13.293856287993643</c:v>
                </c:pt>
                <c:pt idx="254">
                  <c:v>13.314254301291994</c:v>
                </c:pt>
                <c:pt idx="255">
                  <c:v>13.341916160678906</c:v>
                </c:pt>
                <c:pt idx="256">
                  <c:v>13.388636447728544</c:v>
                </c:pt>
                <c:pt idx="257">
                  <c:v>13.457329184475322</c:v>
                </c:pt>
                <c:pt idx="258">
                  <c:v>13.464253069261185</c:v>
                </c:pt>
                <c:pt idx="259">
                  <c:v>13.487083949479059</c:v>
                </c:pt>
                <c:pt idx="260">
                  <c:v>13.509530569896967</c:v>
                </c:pt>
                <c:pt idx="261">
                  <c:v>13.535956412693118</c:v>
                </c:pt>
                <c:pt idx="262">
                  <c:v>13.546802172833759</c:v>
                </c:pt>
                <c:pt idx="263">
                  <c:v>13.548959641423973</c:v>
                </c:pt>
                <c:pt idx="264">
                  <c:v>13.553262879372696</c:v>
                </c:pt>
                <c:pt idx="265">
                  <c:v>13.555408644797817</c:v>
                </c:pt>
                <c:pt idx="266">
                  <c:v>13.576651202983918</c:v>
                </c:pt>
                <c:pt idx="267">
                  <c:v>13.57875390644676</c:v>
                </c:pt>
                <c:pt idx="268">
                  <c:v>13.587125437715063</c:v>
                </c:pt>
                <c:pt idx="269">
                  <c:v>13.59336278585144</c:v>
                </c:pt>
                <c:pt idx="270">
                  <c:v>13.60162408519933</c:v>
                </c:pt>
                <c:pt idx="271">
                  <c:v>13.609822228061937</c:v>
                </c:pt>
                <c:pt idx="272">
                  <c:v>13.617957094212644</c:v>
                </c:pt>
                <c:pt idx="273">
                  <c:v>13.628036512290301</c:v>
                </c:pt>
                <c:pt idx="274">
                  <c:v>13.63602857081861</c:v>
                </c:pt>
                <c:pt idx="275">
                  <c:v>13.638016642927655</c:v>
                </c:pt>
                <c:pt idx="276">
                  <c:v>13.64592910651972</c:v>
                </c:pt>
                <c:pt idx="277">
                  <c:v>13.661562497913526</c:v>
                </c:pt>
                <c:pt idx="278">
                  <c:v>13.673119495630933</c:v>
                </c:pt>
                <c:pt idx="279">
                  <c:v>13.678843843948652</c:v>
                </c:pt>
                <c:pt idx="280">
                  <c:v>13.697663559130989</c:v>
                </c:pt>
                <c:pt idx="281">
                  <c:v>13.706922193242439</c:v>
                </c:pt>
                <c:pt idx="282">
                  <c:v>13.717899082737461</c:v>
                </c:pt>
                <c:pt idx="283">
                  <c:v>13.748206496115859</c:v>
                </c:pt>
                <c:pt idx="284">
                  <c:v>13.753432628243232</c:v>
                </c:pt>
                <c:pt idx="285">
                  <c:v>13.782351340372486</c:v>
                </c:pt>
                <c:pt idx="286">
                  <c:v>13.822717114569835</c:v>
                </c:pt>
                <c:pt idx="287">
                  <c:v>13.844190211827033</c:v>
                </c:pt>
                <c:pt idx="288">
                  <c:v>13.854620440946835</c:v>
                </c:pt>
                <c:pt idx="289">
                  <c:v>13.881897125940071</c:v>
                </c:pt>
                <c:pt idx="290">
                  <c:v>13.88606540717339</c:v>
                </c:pt>
                <c:pt idx="291">
                  <c:v>13.891564172465053</c:v>
                </c:pt>
                <c:pt idx="292">
                  <c:v>13.892928329717833</c:v>
                </c:pt>
                <c:pt idx="293">
                  <c:v>13.896995499402154</c:v>
                </c:pt>
                <c:pt idx="294">
                  <c:v>13.901024689545821</c:v>
                </c:pt>
                <c:pt idx="295">
                  <c:v>13.903689699898001</c:v>
                </c:pt>
                <c:pt idx="296">
                  <c:v>13.905015866427251</c:v>
                </c:pt>
                <c:pt idx="297">
                  <c:v>13.910278246160649</c:v>
                </c:pt>
                <c:pt idx="298">
                  <c:v>13.921870893195733</c:v>
                </c:pt>
                <c:pt idx="299">
                  <c:v>13.936792981754161</c:v>
                </c:pt>
                <c:pt idx="300">
                  <c:v>13.939220452134697</c:v>
                </c:pt>
                <c:pt idx="301">
                  <c:v>13.940427799008592</c:v>
                </c:pt>
                <c:pt idx="302">
                  <c:v>13.945214571524888</c:v>
                </c:pt>
                <c:pt idx="303">
                  <c:v>13.962556658585704</c:v>
                </c:pt>
                <c:pt idx="304">
                  <c:v>13.97999312734502</c:v>
                </c:pt>
                <c:pt idx="305">
                  <c:v>13.98521660974502</c:v>
                </c:pt>
                <c:pt idx="306">
                  <c:v>13.998294015278166</c:v>
                </c:pt>
                <c:pt idx="307">
                  <c:v>14.015197081142956</c:v>
                </c:pt>
                <c:pt idx="308">
                  <c:v>14.025686678651416</c:v>
                </c:pt>
                <c:pt idx="309">
                  <c:v>14.029872975146432</c:v>
                </c:pt>
                <c:pt idx="310">
                  <c:v>14.030697205852652</c:v>
                </c:pt>
                <c:pt idx="311">
                  <c:v>14.031517091885441</c:v>
                </c:pt>
                <c:pt idx="312">
                  <c:v>14.035551325234122</c:v>
                </c:pt>
                <c:pt idx="313">
                  <c:v>14.037134579315421</c:v>
                </c:pt>
                <c:pt idx="314">
                  <c:v>14.059446146996512</c:v>
                </c:pt>
                <c:pt idx="315">
                  <c:v>14.06327986352127</c:v>
                </c:pt>
                <c:pt idx="316">
                  <c:v>14.071045749756511</c:v>
                </c:pt>
                <c:pt idx="317">
                  <c:v>14.077038451857497</c:v>
                </c:pt>
                <c:pt idx="318">
                  <c:v>14.082970372566294</c:v>
                </c:pt>
                <c:pt idx="319">
                  <c:v>14.083436151304257</c:v>
                </c:pt>
                <c:pt idx="320">
                  <c:v>14.086138532833393</c:v>
                </c:pt>
                <c:pt idx="321">
                  <c:v>14.087004158121626</c:v>
                </c:pt>
                <c:pt idx="322">
                  <c:v>14.093295670461027</c:v>
                </c:pt>
                <c:pt idx="323">
                  <c:v>14.094692471467059</c:v>
                </c:pt>
                <c:pt idx="324">
                  <c:v>14.09569382452284</c:v>
                </c:pt>
                <c:pt idx="325">
                  <c:v>14.09817023143548</c:v>
                </c:pt>
                <c:pt idx="326">
                  <c:v>14.099574737860785</c:v>
                </c:pt>
                <c:pt idx="327">
                  <c:v>14.103525357594705</c:v>
                </c:pt>
                <c:pt idx="328">
                  <c:v>14.103718040103161</c:v>
                </c:pt>
                <c:pt idx="329">
                  <c:v>14.104444637116693</c:v>
                </c:pt>
                <c:pt idx="330">
                  <c:v>14.107680639471653</c:v>
                </c:pt>
                <c:pt idx="331">
                  <c:v>14.107714367606887</c:v>
                </c:pt>
                <c:pt idx="332">
                  <c:v>14.107823981108837</c:v>
                </c:pt>
                <c:pt idx="333">
                  <c:v>14.107198767853838</c:v>
                </c:pt>
                <c:pt idx="334">
                  <c:v>14.104491507514544</c:v>
                </c:pt>
                <c:pt idx="335">
                  <c:v>14.104317679770091</c:v>
                </c:pt>
                <c:pt idx="336">
                  <c:v>14.099648022726853</c:v>
                </c:pt>
                <c:pt idx="337">
                  <c:v>14.094443551246163</c:v>
                </c:pt>
                <c:pt idx="338">
                  <c:v>14.093033928805646</c:v>
                </c:pt>
                <c:pt idx="339">
                  <c:v>14.087120589353567</c:v>
                </c:pt>
                <c:pt idx="340">
                  <c:v>14.081677460677492</c:v>
                </c:pt>
                <c:pt idx="341">
                  <c:v>14.076658323307445</c:v>
                </c:pt>
                <c:pt idx="342">
                  <c:v>14.069477559249883</c:v>
                </c:pt>
                <c:pt idx="343">
                  <c:v>14.067119085410839</c:v>
                </c:pt>
                <c:pt idx="344">
                  <c:v>14.056314406230497</c:v>
                </c:pt>
                <c:pt idx="345">
                  <c:v>14.037348677077388</c:v>
                </c:pt>
                <c:pt idx="346">
                  <c:v>14.034970823086985</c:v>
                </c:pt>
                <c:pt idx="347">
                  <c:v>14.030097721362058</c:v>
                </c:pt>
                <c:pt idx="348">
                  <c:v>14.009043158484337</c:v>
                </c:pt>
                <c:pt idx="349">
                  <c:v>14.002432527224835</c:v>
                </c:pt>
                <c:pt idx="350">
                  <c:v>13.997581082989049</c:v>
                </c:pt>
                <c:pt idx="351">
                  <c:v>13.989594507951036</c:v>
                </c:pt>
                <c:pt idx="352">
                  <c:v>13.983423688490689</c:v>
                </c:pt>
                <c:pt idx="353">
                  <c:v>13.957194392387287</c:v>
                </c:pt>
                <c:pt idx="354">
                  <c:v>13.954897242570022</c:v>
                </c:pt>
                <c:pt idx="355">
                  <c:v>13.950251665186485</c:v>
                </c:pt>
                <c:pt idx="356">
                  <c:v>13.946722648257746</c:v>
                </c:pt>
                <c:pt idx="357">
                  <c:v>13.934682121407361</c:v>
                </c:pt>
                <c:pt idx="358">
                  <c:v>13.92474328522003</c:v>
                </c:pt>
                <c:pt idx="359">
                  <c:v>13.910633828304162</c:v>
                </c:pt>
                <c:pt idx="360">
                  <c:v>13.805712034173785</c:v>
                </c:pt>
                <c:pt idx="361">
                  <c:v>13.799249592332034</c:v>
                </c:pt>
                <c:pt idx="362">
                  <c:v>13.786126600091629</c:v>
                </c:pt>
                <c:pt idx="363">
                  <c:v>13.750427129678425</c:v>
                </c:pt>
                <c:pt idx="364">
                  <c:v>13.681260341152168</c:v>
                </c:pt>
                <c:pt idx="365">
                  <c:v>13.632584108498866</c:v>
                </c:pt>
                <c:pt idx="366">
                  <c:v>13.598063258909296</c:v>
                </c:pt>
                <c:pt idx="367">
                  <c:v>13.59599703441819</c:v>
                </c:pt>
                <c:pt idx="368">
                  <c:v>13.540897117128829</c:v>
                </c:pt>
                <c:pt idx="369">
                  <c:v>13.496720621180282</c:v>
                </c:pt>
                <c:pt idx="370">
                  <c:v>13.474053650127606</c:v>
                </c:pt>
                <c:pt idx="371">
                  <c:v>13.39413318033715</c:v>
                </c:pt>
                <c:pt idx="372">
                  <c:v>13.377136881347967</c:v>
                </c:pt>
                <c:pt idx="373">
                  <c:v>13.322529567828822</c:v>
                </c:pt>
                <c:pt idx="374">
                  <c:v>13.320004761759941</c:v>
                </c:pt>
                <c:pt idx="375">
                  <c:v>13.309868649817384</c:v>
                </c:pt>
                <c:pt idx="376">
                  <c:v>13.273929307327968</c:v>
                </c:pt>
                <c:pt idx="377">
                  <c:v>13.229327670074053</c:v>
                </c:pt>
                <c:pt idx="378">
                  <c:v>13.224011615687507</c:v>
                </c:pt>
                <c:pt idx="379">
                  <c:v>13.178244958610623</c:v>
                </c:pt>
                <c:pt idx="380">
                  <c:v>13.17552061443261</c:v>
                </c:pt>
                <c:pt idx="381">
                  <c:v>13.148081720147022</c:v>
                </c:pt>
                <c:pt idx="382">
                  <c:v>13.137007003751604</c:v>
                </c:pt>
                <c:pt idx="383">
                  <c:v>13.123084279737888</c:v>
                </c:pt>
                <c:pt idx="384">
                  <c:v>13.077942741141296</c:v>
                </c:pt>
                <c:pt idx="385">
                  <c:v>12.961221323467136</c:v>
                </c:pt>
                <c:pt idx="386">
                  <c:v>12.829737371261244</c:v>
                </c:pt>
                <c:pt idx="387">
                  <c:v>12.810907504480966</c:v>
                </c:pt>
                <c:pt idx="388">
                  <c:v>12.776083821202546</c:v>
                </c:pt>
                <c:pt idx="389">
                  <c:v>12.589503054991876</c:v>
                </c:pt>
                <c:pt idx="390">
                  <c:v>12.296676519747896</c:v>
                </c:pt>
                <c:pt idx="391">
                  <c:v>12.194601074136882</c:v>
                </c:pt>
                <c:pt idx="392">
                  <c:v>12.135315667707131</c:v>
                </c:pt>
                <c:pt idx="393">
                  <c:v>11.914803846322719</c:v>
                </c:pt>
                <c:pt idx="394">
                  <c:v>11.832881770377908</c:v>
                </c:pt>
                <c:pt idx="395">
                  <c:v>11.457769739739129</c:v>
                </c:pt>
                <c:pt idx="396">
                  <c:v>11.328574713819455</c:v>
                </c:pt>
                <c:pt idx="397">
                  <c:v>11.171878729436779</c:v>
                </c:pt>
                <c:pt idx="398">
                  <c:v>11.047269068672188</c:v>
                </c:pt>
                <c:pt idx="399">
                  <c:v>11.034292180321891</c:v>
                </c:pt>
                <c:pt idx="400">
                  <c:v>11.003951440998781</c:v>
                </c:pt>
                <c:pt idx="401">
                  <c:v>10.709419689942109</c:v>
                </c:pt>
                <c:pt idx="402">
                  <c:v>10.629097992256185</c:v>
                </c:pt>
                <c:pt idx="403">
                  <c:v>10.570795889055738</c:v>
                </c:pt>
                <c:pt idx="404">
                  <c:v>10.421753593324645</c:v>
                </c:pt>
                <c:pt idx="405">
                  <c:v>10.23922926642493</c:v>
                </c:pt>
                <c:pt idx="406">
                  <c:v>10.064122164461722</c:v>
                </c:pt>
                <c:pt idx="407">
                  <c:v>10.054863483203459</c:v>
                </c:pt>
                <c:pt idx="408">
                  <c:v>9.9852957272308753</c:v>
                </c:pt>
                <c:pt idx="409">
                  <c:v>9.7706488510224396</c:v>
                </c:pt>
                <c:pt idx="410">
                  <c:v>9.5920222255281971</c:v>
                </c:pt>
                <c:pt idx="411">
                  <c:v>9.3602511920712779</c:v>
                </c:pt>
                <c:pt idx="412">
                  <c:v>9.3555067207463303</c:v>
                </c:pt>
                <c:pt idx="413">
                  <c:v>9.0413698790810635</c:v>
                </c:pt>
                <c:pt idx="414">
                  <c:v>8.9315321462282533</c:v>
                </c:pt>
                <c:pt idx="415">
                  <c:v>8.8885155440850969</c:v>
                </c:pt>
                <c:pt idx="416">
                  <c:v>8.831133794109963</c:v>
                </c:pt>
                <c:pt idx="417">
                  <c:v>8.745015717451027</c:v>
                </c:pt>
                <c:pt idx="418">
                  <c:v>8.6444970798758884</c:v>
                </c:pt>
                <c:pt idx="419">
                  <c:v>8.6014085737412582</c:v>
                </c:pt>
                <c:pt idx="420">
                  <c:v>8.4625634302156705</c:v>
                </c:pt>
                <c:pt idx="421">
                  <c:v>8.1994306142722557</c:v>
                </c:pt>
                <c:pt idx="422">
                  <c:v>8.1182102786540415</c:v>
                </c:pt>
                <c:pt idx="423">
                  <c:v>8.022756941390659</c:v>
                </c:pt>
                <c:pt idx="424">
                  <c:v>8.0036810966068703</c:v>
                </c:pt>
                <c:pt idx="425">
                  <c:v>7.8798266563006738</c:v>
                </c:pt>
                <c:pt idx="426">
                  <c:v>7.8560385225859655</c:v>
                </c:pt>
                <c:pt idx="427">
                  <c:v>7.7277727698345995</c:v>
                </c:pt>
                <c:pt idx="428">
                  <c:v>7.6093274862914573</c:v>
                </c:pt>
                <c:pt idx="429">
                  <c:v>7.1954477200076061</c:v>
                </c:pt>
                <c:pt idx="430">
                  <c:v>7.0695958341028131</c:v>
                </c:pt>
                <c:pt idx="431">
                  <c:v>6.8289899593191246</c:v>
                </c:pt>
                <c:pt idx="432">
                  <c:v>6.4188926146493186</c:v>
                </c:pt>
                <c:pt idx="433">
                  <c:v>6.3918689060977618</c:v>
                </c:pt>
                <c:pt idx="434">
                  <c:v>6.3738764240893655</c:v>
                </c:pt>
                <c:pt idx="435">
                  <c:v>6.3514122847941685</c:v>
                </c:pt>
                <c:pt idx="436">
                  <c:v>6.2797273921760111</c:v>
                </c:pt>
                <c:pt idx="437">
                  <c:v>6.2618545234867655</c:v>
                </c:pt>
                <c:pt idx="438">
                  <c:v>6.2529254275416886</c:v>
                </c:pt>
                <c:pt idx="439">
                  <c:v>6.2306242145463706</c:v>
                </c:pt>
                <c:pt idx="440">
                  <c:v>6.2128055121684023</c:v>
                </c:pt>
                <c:pt idx="441">
                  <c:v>6.1550329662428398</c:v>
                </c:pt>
                <c:pt idx="442">
                  <c:v>6.1328696716514051</c:v>
                </c:pt>
                <c:pt idx="443">
                  <c:v>5.9742518260268209</c:v>
                </c:pt>
                <c:pt idx="444">
                  <c:v>5.9479826180817605</c:v>
                </c:pt>
                <c:pt idx="445">
                  <c:v>5.904309150255834</c:v>
                </c:pt>
                <c:pt idx="446">
                  <c:v>5.8868780772117653</c:v>
                </c:pt>
                <c:pt idx="447">
                  <c:v>5.8738192423536644</c:v>
                </c:pt>
                <c:pt idx="448">
                  <c:v>5.8303799945048347</c:v>
                </c:pt>
                <c:pt idx="449">
                  <c:v>5.8173754560623774</c:v>
                </c:pt>
                <c:pt idx="450">
                  <c:v>5.7137983210912981</c:v>
                </c:pt>
                <c:pt idx="451">
                  <c:v>5.6195831321932443</c:v>
                </c:pt>
                <c:pt idx="452">
                  <c:v>5.6025295482013702</c:v>
                </c:pt>
                <c:pt idx="453">
                  <c:v>5.5515118195126272</c:v>
                </c:pt>
                <c:pt idx="454">
                  <c:v>5.5007106651709918</c:v>
                </c:pt>
                <c:pt idx="455">
                  <c:v>5.4669648231987296</c:v>
                </c:pt>
                <c:pt idx="456">
                  <c:v>5.441719813780189</c:v>
                </c:pt>
                <c:pt idx="457">
                  <c:v>5.4207247068689526</c:v>
                </c:pt>
                <c:pt idx="458">
                  <c:v>5.3538015546514002</c:v>
                </c:pt>
                <c:pt idx="459">
                  <c:v>5.3080249837176874</c:v>
                </c:pt>
                <c:pt idx="460">
                  <c:v>5.241784179558854</c:v>
                </c:pt>
                <c:pt idx="461">
                  <c:v>5.233532921146546</c:v>
                </c:pt>
                <c:pt idx="462">
                  <c:v>5.2170497488137606</c:v>
                </c:pt>
                <c:pt idx="463">
                  <c:v>5.2047043371659356</c:v>
                </c:pt>
                <c:pt idx="464">
                  <c:v>5.1882664784405046</c:v>
                </c:pt>
                <c:pt idx="465">
                  <c:v>5.1309393156223022</c:v>
                </c:pt>
                <c:pt idx="466">
                  <c:v>5.0901883214131027</c:v>
                </c:pt>
                <c:pt idx="467">
                  <c:v>5.0698748306226609</c:v>
                </c:pt>
                <c:pt idx="468">
                  <c:v>5.0617610573138467</c:v>
                </c:pt>
                <c:pt idx="469">
                  <c:v>5.0496028808206734</c:v>
                </c:pt>
                <c:pt idx="470">
                  <c:v>5.0334153317518169</c:v>
                </c:pt>
                <c:pt idx="471">
                  <c:v>4.9689334799517155</c:v>
                </c:pt>
                <c:pt idx="472">
                  <c:v>4.8969090994485587</c:v>
                </c:pt>
                <c:pt idx="473">
                  <c:v>4.853166748824715</c:v>
                </c:pt>
                <c:pt idx="474">
                  <c:v>4.8214850233424675</c:v>
                </c:pt>
                <c:pt idx="475">
                  <c:v>4.8096329233960233</c:v>
                </c:pt>
                <c:pt idx="476">
                  <c:v>4.805685692117895</c:v>
                </c:pt>
                <c:pt idx="477">
                  <c:v>4.801740196938356</c:v>
                </c:pt>
                <c:pt idx="478">
                  <c:v>4.766309036232637</c:v>
                </c:pt>
                <c:pt idx="479">
                  <c:v>4.7623809590601631</c:v>
                </c:pt>
                <c:pt idx="480">
                  <c:v>4.6880806551711265</c:v>
                </c:pt>
                <c:pt idx="481">
                  <c:v>4.6105587795255678</c:v>
                </c:pt>
                <c:pt idx="482">
                  <c:v>4.5951398583325203</c:v>
                </c:pt>
                <c:pt idx="483">
                  <c:v>4.5413994202957744</c:v>
                </c:pt>
                <c:pt idx="484">
                  <c:v>4.4690311717614852</c:v>
                </c:pt>
                <c:pt idx="485">
                  <c:v>4.4463140950689342</c:v>
                </c:pt>
                <c:pt idx="486">
                  <c:v>4.4198937824298463</c:v>
                </c:pt>
                <c:pt idx="487">
                  <c:v>4.4048366664967107</c:v>
                </c:pt>
                <c:pt idx="488">
                  <c:v>4.3935630576902538</c:v>
                </c:pt>
                <c:pt idx="489">
                  <c:v>4.3898088548015064</c:v>
                </c:pt>
                <c:pt idx="490">
                  <c:v>4.3823059537943641</c:v>
                </c:pt>
                <c:pt idx="491">
                  <c:v>4.3411714532786005</c:v>
                </c:pt>
                <c:pt idx="492">
                  <c:v>4.3039701095764133</c:v>
                </c:pt>
                <c:pt idx="493">
                  <c:v>4.2965520414909841</c:v>
                </c:pt>
                <c:pt idx="494">
                  <c:v>4.2817381525702496</c:v>
                </c:pt>
                <c:pt idx="495">
                  <c:v>4.2227800589646058</c:v>
                </c:pt>
                <c:pt idx="496">
                  <c:v>4.2044535627633346</c:v>
                </c:pt>
                <c:pt idx="497">
                  <c:v>4.1971360550451697</c:v>
                </c:pt>
                <c:pt idx="498">
                  <c:v>4.1679409603914994</c:v>
                </c:pt>
                <c:pt idx="499">
                  <c:v>4.1497550171567124</c:v>
                </c:pt>
                <c:pt idx="500">
                  <c:v>4.1279939473339899</c:v>
                </c:pt>
                <c:pt idx="501">
                  <c:v>4.1135242430361041</c:v>
                </c:pt>
                <c:pt idx="502">
                  <c:v>4.0631182444335696</c:v>
                </c:pt>
                <c:pt idx="503">
                  <c:v>4.0416292732813215</c:v>
                </c:pt>
                <c:pt idx="504">
                  <c:v>4.0237739948261266</c:v>
                </c:pt>
                <c:pt idx="505">
                  <c:v>4.0166451869523128</c:v>
                </c:pt>
                <c:pt idx="506">
                  <c:v>3.9846597698593205</c:v>
                </c:pt>
                <c:pt idx="507">
                  <c:v>3.9563579475454205</c:v>
                </c:pt>
                <c:pt idx="508">
                  <c:v>3.9457762826299012</c:v>
                </c:pt>
                <c:pt idx="509">
                  <c:v>3.9246646054156265</c:v>
                </c:pt>
                <c:pt idx="510">
                  <c:v>3.889631768738719</c:v>
                </c:pt>
                <c:pt idx="511">
                  <c:v>3.8791593414090628</c:v>
                </c:pt>
                <c:pt idx="512">
                  <c:v>3.8374427005755316</c:v>
                </c:pt>
                <c:pt idx="513">
                  <c:v>3.7994461846613423</c:v>
                </c:pt>
                <c:pt idx="514">
                  <c:v>3.7582620087300134</c:v>
                </c:pt>
                <c:pt idx="515">
                  <c:v>3.7411841878874723</c:v>
                </c:pt>
                <c:pt idx="516">
                  <c:v>3.6096434782175404</c:v>
                </c:pt>
                <c:pt idx="517">
                  <c:v>3.4583075546842856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372-460F-9692-A94802CE6B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496433"/>
        <c:axId val="2012000512"/>
      </c:lineChart>
      <c:catAx>
        <c:axId val="304964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12000512"/>
        <c:crosses val="autoZero"/>
        <c:auto val="1"/>
        <c:lblAlgn val="ctr"/>
        <c:lblOffset val="100"/>
        <c:noMultiLvlLbl val="1"/>
      </c:catAx>
      <c:valAx>
        <c:axId val="20120005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049643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</xdr:colOff>
      <xdr:row>14</xdr:row>
      <xdr:rowOff>47625</xdr:rowOff>
    </xdr:from>
    <xdr:ext cx="573405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5</xdr:col>
      <xdr:colOff>19050</xdr:colOff>
      <xdr:row>31</xdr:row>
      <xdr:rowOff>180975</xdr:rowOff>
    </xdr:from>
    <xdr:ext cx="5715000" cy="35337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11</xdr:col>
      <xdr:colOff>762000</xdr:colOff>
      <xdr:row>14</xdr:row>
      <xdr:rowOff>57150</xdr:rowOff>
    </xdr:from>
    <xdr:ext cx="5715000" cy="3533775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9525</xdr:colOff>
      <xdr:row>1</xdr:row>
      <xdr:rowOff>0</xdr:rowOff>
    </xdr:from>
    <xdr:ext cx="5715000" cy="3533775"/>
    <xdr:graphicFrame macro="">
      <xdr:nvGraphicFramePr>
        <xdr:cNvPr id="4" name="Chart 4" title="Chart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1</xdr:row>
      <xdr:rowOff>190500</xdr:rowOff>
    </xdr:from>
    <xdr:ext cx="5715000" cy="353377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381000</xdr:colOff>
      <xdr:row>0</xdr:row>
      <xdr:rowOff>171450</xdr:rowOff>
    </xdr:from>
    <xdr:ext cx="5715000" cy="3533775"/>
    <xdr:graphicFrame macro="">
      <xdr:nvGraphicFramePr>
        <xdr:cNvPr id="6" name="Chart 6" title="Chart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633"/>
  <sheetViews>
    <sheetView tabSelected="1" topLeftCell="D13" workbookViewId="0">
      <selection activeCell="M35" sqref="M35"/>
    </sheetView>
  </sheetViews>
  <sheetFormatPr defaultColWidth="12.5703125" defaultRowHeight="15.75" customHeight="1" x14ac:dyDescent="0.2"/>
  <cols>
    <col min="16" max="16" width="13.710937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9" x14ac:dyDescent="0.2">
      <c r="A2" s="1" t="s">
        <v>4</v>
      </c>
      <c r="B2" s="1">
        <v>4</v>
      </c>
      <c r="C2" s="1">
        <v>68</v>
      </c>
      <c r="D2" s="1">
        <v>65.66</v>
      </c>
      <c r="F2" s="2" t="s">
        <v>662</v>
      </c>
      <c r="I2" s="2" t="s">
        <v>2</v>
      </c>
      <c r="L2" s="2" t="s">
        <v>3</v>
      </c>
      <c r="O2" s="8" t="s">
        <v>664</v>
      </c>
      <c r="R2" s="8" t="s">
        <v>665</v>
      </c>
    </row>
    <row r="3" spans="1:19" x14ac:dyDescent="0.2">
      <c r="A3" s="1" t="s">
        <v>5</v>
      </c>
      <c r="B3" s="1">
        <v>6</v>
      </c>
      <c r="C3" s="1">
        <v>77</v>
      </c>
      <c r="D3" s="1">
        <v>58.6</v>
      </c>
      <c r="F3" s="3" t="s">
        <v>6</v>
      </c>
      <c r="G3" s="1">
        <f>MEDIAN($B$2:$B$633)</f>
        <v>5</v>
      </c>
      <c r="I3" s="3" t="s">
        <v>6</v>
      </c>
      <c r="J3" s="1">
        <f>MEDIAN(C2:C633)</f>
        <v>71.5</v>
      </c>
      <c r="L3" s="3" t="s">
        <v>6</v>
      </c>
      <c r="M3" s="1">
        <f>MEDIAN(D2:D633)</f>
        <v>59.21</v>
      </c>
      <c r="O3" s="3" t="s">
        <v>6</v>
      </c>
      <c r="P3" s="6" cm="1">
        <f t="array" ref="P3">MEDIAN(_xlfn._xlws.FILTER($D$2:$D$633, $B$2:$B$633&lt;=10, ""))</f>
        <v>63.034999999999997</v>
      </c>
      <c r="R3" s="3" t="s">
        <v>6</v>
      </c>
      <c r="S3" s="6" cm="1">
        <f t="array" ref="S3">MEDIAN(_xlfn._xlws.FILTER($D$2:$D$633, $B$2:$B$633&gt;10, ""))</f>
        <v>47.58</v>
      </c>
    </row>
    <row r="4" spans="1:19" x14ac:dyDescent="0.2">
      <c r="A4" s="1" t="s">
        <v>7</v>
      </c>
      <c r="B4" s="1">
        <v>5</v>
      </c>
      <c r="C4" s="1">
        <v>7</v>
      </c>
      <c r="D4" s="1">
        <v>87.72</v>
      </c>
      <c r="F4" s="3" t="s">
        <v>8</v>
      </c>
      <c r="G4" s="1">
        <f>QUARTILE($B$2:$B$633,3)</f>
        <v>9</v>
      </c>
      <c r="I4" s="3" t="s">
        <v>8</v>
      </c>
      <c r="J4" s="1">
        <f>QUARTILE(C2:C633,3)</f>
        <v>180</v>
      </c>
      <c r="L4" s="3" t="s">
        <v>8</v>
      </c>
      <c r="M4" s="1">
        <f>QUARTILE(D2:D633,3)</f>
        <v>82.31</v>
      </c>
      <c r="O4" s="3" t="s">
        <v>8</v>
      </c>
      <c r="P4" s="6" cm="1">
        <f t="array" ref="P4">QUARTILE(_xlfn._xlws.FILTER($D$2:$D$633, $B$2:$B$633&lt;=10, ""), 3)</f>
        <v>86.502499999999998</v>
      </c>
      <c r="R4" s="3" t="s">
        <v>8</v>
      </c>
      <c r="S4" s="6" cm="1">
        <f t="array" ref="S4">QUARTILE(_xlfn._xlws.FILTER($D$2:$D$633, $B$2:$B$633&gt;10, ""), 3)</f>
        <v>51.607500000000002</v>
      </c>
    </row>
    <row r="5" spans="1:19" x14ac:dyDescent="0.2">
      <c r="A5" s="1" t="s">
        <v>9</v>
      </c>
      <c r="B5" s="1">
        <v>4</v>
      </c>
      <c r="C5" s="1">
        <v>10</v>
      </c>
      <c r="D5" s="1">
        <v>83.33</v>
      </c>
      <c r="F5" s="3" t="s">
        <v>10</v>
      </c>
      <c r="G5" s="1">
        <f>QUARTILE($B$2:$B$633,1)</f>
        <v>3</v>
      </c>
      <c r="I5" s="3" t="s">
        <v>10</v>
      </c>
      <c r="J5" s="1">
        <f>QUARTILE(C2:C633,1)</f>
        <v>12</v>
      </c>
      <c r="L5" s="3" t="s">
        <v>10</v>
      </c>
      <c r="M5" s="1">
        <f>QUARTILE(D2:D633,1)</f>
        <v>49.27</v>
      </c>
      <c r="O5" s="3" t="s">
        <v>10</v>
      </c>
      <c r="P5" s="6" cm="1">
        <f t="array" ref="P5">QUARTILE(_xlfn._xlws.FILTER($D$2:$D$633, $B$2:$B$633&lt;=10, ""), 1)</f>
        <v>52.807500000000005</v>
      </c>
      <c r="R5" s="3" t="s">
        <v>10</v>
      </c>
      <c r="S5" s="6" cm="1">
        <f t="array" ref="S5">QUARTILE(_xlfn._xlws.FILTER($D$2:$D$633, $B$2:$B$633&gt;10, ""), 1)</f>
        <v>42.247500000000002</v>
      </c>
    </row>
    <row r="6" spans="1:19" x14ac:dyDescent="0.2">
      <c r="A6" s="1" t="s">
        <v>11</v>
      </c>
      <c r="B6" s="1">
        <v>12</v>
      </c>
      <c r="C6" s="1">
        <v>198</v>
      </c>
      <c r="D6" s="1">
        <v>49.23</v>
      </c>
      <c r="F6" s="3" t="s">
        <v>12</v>
      </c>
      <c r="G6" s="1">
        <f>G4-G5</f>
        <v>6</v>
      </c>
      <c r="I6" s="3" t="s">
        <v>12</v>
      </c>
      <c r="J6" s="1">
        <f>J4-J5</f>
        <v>168</v>
      </c>
      <c r="L6" s="3" t="s">
        <v>12</v>
      </c>
      <c r="M6" s="1">
        <f>M4-M5</f>
        <v>33.04</v>
      </c>
      <c r="O6" s="3" t="s">
        <v>12</v>
      </c>
      <c r="P6" s="6">
        <f>P4-P5</f>
        <v>33.694999999999993</v>
      </c>
      <c r="R6" s="3" t="s">
        <v>12</v>
      </c>
      <c r="S6" s="6">
        <f>S4-S5</f>
        <v>9.36</v>
      </c>
    </row>
    <row r="7" spans="1:19" x14ac:dyDescent="0.2">
      <c r="A7" s="1" t="s">
        <v>13</v>
      </c>
      <c r="B7" s="1">
        <v>12</v>
      </c>
      <c r="C7" s="1">
        <v>238</v>
      </c>
      <c r="D7" s="1">
        <v>50.42</v>
      </c>
      <c r="F7" s="3" t="s">
        <v>14</v>
      </c>
      <c r="G7" s="1">
        <f>G4+(1.5*G6)</f>
        <v>18</v>
      </c>
      <c r="I7" s="3" t="s">
        <v>14</v>
      </c>
      <c r="J7" s="1">
        <f>J4+(1.5*J6)</f>
        <v>432</v>
      </c>
      <c r="L7" s="3" t="s">
        <v>14</v>
      </c>
      <c r="M7" s="1">
        <f>M4+(1.5*M6)</f>
        <v>131.87</v>
      </c>
      <c r="O7" s="3" t="s">
        <v>14</v>
      </c>
      <c r="P7" s="6">
        <f>P4+(1.5*P6)</f>
        <v>137.04499999999999</v>
      </c>
      <c r="R7" s="3" t="s">
        <v>14</v>
      </c>
      <c r="S7" s="6">
        <f>S4+(1.5*S6)</f>
        <v>65.647500000000008</v>
      </c>
    </row>
    <row r="8" spans="1:19" x14ac:dyDescent="0.2">
      <c r="A8" s="1" t="s">
        <v>15</v>
      </c>
      <c r="B8" s="1">
        <v>8</v>
      </c>
      <c r="C8" s="1">
        <v>123</v>
      </c>
      <c r="D8" s="1">
        <v>50</v>
      </c>
      <c r="F8" s="3" t="s">
        <v>16</v>
      </c>
      <c r="G8" s="1">
        <f>MIN(B2:B633)</f>
        <v>2</v>
      </c>
      <c r="I8" s="3" t="s">
        <v>16</v>
      </c>
      <c r="J8" s="1">
        <f>MIN(C2:C633)</f>
        <v>4</v>
      </c>
      <c r="L8" s="3" t="s">
        <v>16</v>
      </c>
      <c r="M8" s="1">
        <f>MIN(D2:D633)</f>
        <v>25.24</v>
      </c>
      <c r="O8" s="3" t="s">
        <v>18</v>
      </c>
      <c r="P8" s="4">
        <f>MAX(P10,P5-(1.5*P6))</f>
        <v>25.24</v>
      </c>
      <c r="R8" s="3" t="s">
        <v>18</v>
      </c>
      <c r="S8" s="4">
        <f>MAX(S10,S5-(1.5*S6))</f>
        <v>32.01</v>
      </c>
    </row>
    <row r="9" spans="1:19" x14ac:dyDescent="0.2">
      <c r="A9" s="1" t="s">
        <v>17</v>
      </c>
      <c r="B9" s="1">
        <v>11</v>
      </c>
      <c r="C9" s="1">
        <v>137</v>
      </c>
      <c r="D9" s="1">
        <v>56.37</v>
      </c>
      <c r="F9" s="3" t="s">
        <v>18</v>
      </c>
      <c r="G9" s="2">
        <f>MAX(G8,G5-(1.5*G6))</f>
        <v>2</v>
      </c>
      <c r="H9" s="1">
        <f>G5-(1.5*G6)</f>
        <v>-6</v>
      </c>
      <c r="I9" s="3" t="s">
        <v>18</v>
      </c>
      <c r="J9" s="2">
        <f>MAX(J8,J5-(1.5*J6))</f>
        <v>4</v>
      </c>
      <c r="K9" s="1">
        <f>J5-(1.5*J6)</f>
        <v>-240</v>
      </c>
      <c r="L9" s="3" t="s">
        <v>18</v>
      </c>
      <c r="M9" s="2">
        <f>MAX(M8,M5-(1.5*M6))</f>
        <v>25.24</v>
      </c>
      <c r="N9" s="1">
        <f>M5-(1.5*M6)</f>
        <v>-0.28999999999999915</v>
      </c>
      <c r="O9" s="3" t="s">
        <v>20</v>
      </c>
      <c r="P9">
        <f>_xlfn.MAXIFS($D$2:$D$633, $B$2:$B$633, "&lt;=10")</f>
        <v>93.44</v>
      </c>
      <c r="R9" s="3" t="s">
        <v>20</v>
      </c>
      <c r="S9">
        <f>_xlfn.MAXIFS($D$2:$D$633, $B$2:$B$633, "&gt;10")</f>
        <v>88.19</v>
      </c>
    </row>
    <row r="10" spans="1:19" x14ac:dyDescent="0.2">
      <c r="A10" s="1" t="s">
        <v>19</v>
      </c>
      <c r="B10" s="1">
        <v>4</v>
      </c>
      <c r="C10" s="1">
        <v>11</v>
      </c>
      <c r="D10" s="1">
        <v>82.81</v>
      </c>
      <c r="F10" s="3" t="s">
        <v>20</v>
      </c>
      <c r="G10" s="1">
        <f>MAX(B2:B633)</f>
        <v>32</v>
      </c>
      <c r="I10" s="3" t="s">
        <v>20</v>
      </c>
      <c r="J10" s="1">
        <f>MAX(C2:C633)</f>
        <v>2732</v>
      </c>
      <c r="L10" s="3" t="s">
        <v>20</v>
      </c>
      <c r="M10" s="1">
        <f>MAX(D2:D633)</f>
        <v>93.44</v>
      </c>
      <c r="O10" s="3" t="s">
        <v>16</v>
      </c>
      <c r="P10">
        <f>_xlfn.MINIFS($D$2:$D$633, $B$2:$B$633, "&lt;=10")</f>
        <v>25.24</v>
      </c>
      <c r="R10" s="3" t="s">
        <v>16</v>
      </c>
      <c r="S10">
        <f>_xlfn.MINIFS($D$2:$D$633, $B$2:$B$633, "&gt;10")</f>
        <v>32.01</v>
      </c>
    </row>
    <row r="11" spans="1:19" x14ac:dyDescent="0.2">
      <c r="A11" s="1" t="s">
        <v>21</v>
      </c>
      <c r="B11" s="1">
        <v>5</v>
      </c>
      <c r="C11" s="1">
        <v>7</v>
      </c>
      <c r="D11" s="1">
        <v>89.06</v>
      </c>
      <c r="O11" s="7" t="s">
        <v>666</v>
      </c>
      <c r="P11" s="5">
        <f>AVERAGEIF($B$2:$B$633, "&lt;=10", $D$2:$D$633)</f>
        <v>66.621927480916042</v>
      </c>
      <c r="R11" s="7" t="s">
        <v>666</v>
      </c>
      <c r="S11" s="5">
        <f>AVERAGEIF($B$2:$B$633, "&gt;10", $D$2:$D$633)</f>
        <v>48.185277777777806</v>
      </c>
    </row>
    <row r="12" spans="1:19" x14ac:dyDescent="0.2">
      <c r="A12" s="1" t="s">
        <v>22</v>
      </c>
      <c r="B12" s="1">
        <v>10</v>
      </c>
      <c r="C12" s="1">
        <v>176</v>
      </c>
      <c r="D12" s="1">
        <v>48.54</v>
      </c>
      <c r="O12" s="7" t="s">
        <v>663</v>
      </c>
      <c r="P12" cm="1">
        <f t="array" ref="P12">COUNT(_xlfn._xlws.FILTER($D$2:$D$633, $B$2:$B$633&lt;=10, ""))</f>
        <v>524</v>
      </c>
      <c r="R12" s="7" t="s">
        <v>663</v>
      </c>
      <c r="S12" cm="1">
        <f t="array" ref="S12">COUNT(_xlfn._xlws.FILTER($D$2:$D$633, $B$2:$B$633&gt;10, ""))</f>
        <v>108</v>
      </c>
    </row>
    <row r="13" spans="1:19" x14ac:dyDescent="0.2">
      <c r="A13" s="1" t="s">
        <v>23</v>
      </c>
      <c r="B13" s="1">
        <v>10</v>
      </c>
      <c r="C13" s="1">
        <v>159</v>
      </c>
      <c r="D13" s="1">
        <v>52.54</v>
      </c>
      <c r="R13" s="7" t="s">
        <v>667</v>
      </c>
      <c r="S13" cm="1">
        <f t="array" ref="S13">COUNT(_xlfn._xlws.FILTER($D$2:$D$633, ($B$2:$B$633&gt;10)*($D$2:$D$633&lt;=P3), ""))</f>
        <v>104</v>
      </c>
    </row>
    <row r="14" spans="1:19" x14ac:dyDescent="0.2">
      <c r="A14" s="1" t="s">
        <v>24</v>
      </c>
      <c r="B14" s="1">
        <v>12</v>
      </c>
      <c r="C14" s="1">
        <v>143</v>
      </c>
      <c r="D14" s="1">
        <v>47.04</v>
      </c>
      <c r="F14" s="2" t="s">
        <v>25</v>
      </c>
      <c r="R14" s="7" t="s">
        <v>668</v>
      </c>
      <c r="S14" s="9">
        <f>S13/S12</f>
        <v>0.96296296296296291</v>
      </c>
    </row>
    <row r="15" spans="1:19" x14ac:dyDescent="0.2">
      <c r="A15" s="1" t="s">
        <v>26</v>
      </c>
      <c r="B15" s="1">
        <v>12</v>
      </c>
      <c r="C15" s="1">
        <v>134</v>
      </c>
      <c r="D15" s="1">
        <v>50.74</v>
      </c>
    </row>
    <row r="16" spans="1:19" x14ac:dyDescent="0.2">
      <c r="A16" s="1" t="s">
        <v>27</v>
      </c>
      <c r="B16" s="1">
        <v>13</v>
      </c>
      <c r="C16" s="1">
        <v>180</v>
      </c>
      <c r="D16" s="1">
        <v>45.62</v>
      </c>
    </row>
    <row r="17" spans="1:13" x14ac:dyDescent="0.2">
      <c r="A17" s="1" t="s">
        <v>28</v>
      </c>
      <c r="B17" s="1">
        <v>12</v>
      </c>
      <c r="C17" s="1">
        <v>252</v>
      </c>
      <c r="D17" s="1">
        <v>48.99</v>
      </c>
    </row>
    <row r="18" spans="1:13" x14ac:dyDescent="0.2">
      <c r="A18" s="1" t="s">
        <v>29</v>
      </c>
      <c r="B18" s="1">
        <v>13</v>
      </c>
      <c r="C18" s="1">
        <v>171</v>
      </c>
      <c r="D18" s="1">
        <v>46.73</v>
      </c>
    </row>
    <row r="19" spans="1:13" x14ac:dyDescent="0.2">
      <c r="A19" s="1" t="s">
        <v>30</v>
      </c>
      <c r="B19" s="1">
        <v>11</v>
      </c>
      <c r="C19" s="1">
        <v>152</v>
      </c>
      <c r="D19" s="1">
        <v>44.12</v>
      </c>
    </row>
    <row r="20" spans="1:13" x14ac:dyDescent="0.2">
      <c r="A20" s="1" t="s">
        <v>31</v>
      </c>
      <c r="B20" s="1">
        <v>14</v>
      </c>
      <c r="C20" s="1">
        <v>282</v>
      </c>
      <c r="D20" s="1">
        <v>51.63</v>
      </c>
    </row>
    <row r="21" spans="1:13" x14ac:dyDescent="0.2">
      <c r="A21" s="1" t="s">
        <v>32</v>
      </c>
      <c r="B21" s="1">
        <v>15</v>
      </c>
      <c r="C21" s="1">
        <v>212</v>
      </c>
      <c r="D21" s="1">
        <v>40.950000000000003</v>
      </c>
    </row>
    <row r="22" spans="1:13" x14ac:dyDescent="0.2">
      <c r="A22" s="1" t="s">
        <v>33</v>
      </c>
      <c r="B22" s="1">
        <v>2</v>
      </c>
      <c r="C22" s="1">
        <v>6</v>
      </c>
      <c r="D22" s="1">
        <v>87.5</v>
      </c>
    </row>
    <row r="23" spans="1:13" x14ac:dyDescent="0.2">
      <c r="A23" s="1" t="s">
        <v>34</v>
      </c>
      <c r="B23" s="1">
        <v>2</v>
      </c>
      <c r="C23" s="1">
        <v>5</v>
      </c>
      <c r="D23" s="1">
        <v>86.49</v>
      </c>
    </row>
    <row r="24" spans="1:13" x14ac:dyDescent="0.2">
      <c r="A24" s="1" t="s">
        <v>35</v>
      </c>
      <c r="B24" s="1">
        <v>2</v>
      </c>
      <c r="C24" s="1">
        <v>6</v>
      </c>
      <c r="D24" s="1">
        <v>87.23</v>
      </c>
    </row>
    <row r="25" spans="1:13" x14ac:dyDescent="0.2">
      <c r="A25" s="1" t="s">
        <v>36</v>
      </c>
      <c r="B25" s="1">
        <v>2</v>
      </c>
      <c r="C25" s="1">
        <v>5</v>
      </c>
      <c r="D25" s="1">
        <v>90.57</v>
      </c>
    </row>
    <row r="26" spans="1:13" x14ac:dyDescent="0.2">
      <c r="A26" s="1" t="s">
        <v>37</v>
      </c>
      <c r="B26" s="1">
        <v>2</v>
      </c>
      <c r="C26" s="1">
        <v>80</v>
      </c>
      <c r="D26" s="1">
        <v>37.5</v>
      </c>
    </row>
    <row r="27" spans="1:13" x14ac:dyDescent="0.2">
      <c r="A27" s="1" t="s">
        <v>38</v>
      </c>
      <c r="B27" s="1">
        <v>3</v>
      </c>
      <c r="C27" s="1">
        <v>95</v>
      </c>
      <c r="D27" s="1">
        <v>37.5</v>
      </c>
    </row>
    <row r="28" spans="1:13" x14ac:dyDescent="0.2">
      <c r="A28" s="1" t="s">
        <v>39</v>
      </c>
      <c r="B28" s="1">
        <v>2</v>
      </c>
      <c r="C28" s="1">
        <v>42</v>
      </c>
      <c r="D28" s="1">
        <v>60.75</v>
      </c>
    </row>
    <row r="29" spans="1:13" x14ac:dyDescent="0.2">
      <c r="A29" s="1" t="s">
        <v>40</v>
      </c>
      <c r="B29" s="1">
        <v>5</v>
      </c>
      <c r="C29" s="1">
        <v>245</v>
      </c>
      <c r="D29" s="1">
        <v>49.28</v>
      </c>
    </row>
    <row r="30" spans="1:13" x14ac:dyDescent="0.2">
      <c r="A30" s="1" t="s">
        <v>41</v>
      </c>
      <c r="B30" s="1">
        <v>2</v>
      </c>
      <c r="C30" s="1">
        <v>12</v>
      </c>
      <c r="D30" s="1">
        <v>82.09</v>
      </c>
    </row>
    <row r="31" spans="1:13" x14ac:dyDescent="0.2">
      <c r="A31" s="1" t="s">
        <v>42</v>
      </c>
      <c r="B31" s="1">
        <v>2</v>
      </c>
      <c r="C31" s="1">
        <v>5</v>
      </c>
      <c r="D31" s="1">
        <v>88.64</v>
      </c>
      <c r="M31" s="2"/>
    </row>
    <row r="32" spans="1:13" x14ac:dyDescent="0.2">
      <c r="A32" s="1" t="s">
        <v>43</v>
      </c>
      <c r="B32" s="1">
        <v>2</v>
      </c>
      <c r="C32" s="1">
        <v>5</v>
      </c>
      <c r="D32" s="1">
        <v>88.64</v>
      </c>
    </row>
    <row r="33" spans="1:15" x14ac:dyDescent="0.2">
      <c r="A33" s="1" t="s">
        <v>44</v>
      </c>
      <c r="B33" s="1">
        <v>2</v>
      </c>
      <c r="C33" s="1">
        <v>5</v>
      </c>
      <c r="D33" s="1">
        <v>88.64</v>
      </c>
      <c r="M33" s="2"/>
    </row>
    <row r="34" spans="1:15" x14ac:dyDescent="0.2">
      <c r="A34" s="1" t="s">
        <v>45</v>
      </c>
      <c r="B34" s="1">
        <v>2</v>
      </c>
      <c r="C34" s="1">
        <v>6</v>
      </c>
      <c r="D34" s="1">
        <v>87.5</v>
      </c>
    </row>
    <row r="35" spans="1:15" x14ac:dyDescent="0.2">
      <c r="A35" s="1" t="s">
        <v>46</v>
      </c>
      <c r="B35" s="1">
        <v>3</v>
      </c>
      <c r="C35" s="1">
        <v>6</v>
      </c>
      <c r="D35" s="1">
        <v>88.68</v>
      </c>
      <c r="M35" s="2"/>
    </row>
    <row r="36" spans="1:15" x14ac:dyDescent="0.2">
      <c r="A36" s="1" t="s">
        <v>47</v>
      </c>
      <c r="B36" s="1">
        <v>15</v>
      </c>
      <c r="C36" s="1">
        <v>789</v>
      </c>
      <c r="D36" s="1">
        <v>48.63</v>
      </c>
    </row>
    <row r="37" spans="1:15" x14ac:dyDescent="0.2">
      <c r="A37" s="1" t="s">
        <v>48</v>
      </c>
      <c r="B37" s="1">
        <v>8</v>
      </c>
      <c r="C37" s="1">
        <v>49</v>
      </c>
      <c r="D37" s="1">
        <v>61.42</v>
      </c>
    </row>
    <row r="38" spans="1:15" x14ac:dyDescent="0.2">
      <c r="A38" s="1" t="s">
        <v>49</v>
      </c>
      <c r="B38" s="1">
        <v>5</v>
      </c>
      <c r="C38" s="1">
        <v>6</v>
      </c>
      <c r="D38" s="1">
        <v>87.23</v>
      </c>
    </row>
    <row r="39" spans="1:15" x14ac:dyDescent="0.2">
      <c r="A39" s="1" t="s">
        <v>50</v>
      </c>
      <c r="B39" s="1">
        <v>9</v>
      </c>
      <c r="C39" s="1">
        <v>26</v>
      </c>
      <c r="D39" s="1">
        <v>67.900000000000006</v>
      </c>
    </row>
    <row r="40" spans="1:15" x14ac:dyDescent="0.2">
      <c r="A40" s="1" t="s">
        <v>51</v>
      </c>
      <c r="B40" s="1">
        <v>7</v>
      </c>
      <c r="C40" s="1">
        <v>189</v>
      </c>
      <c r="D40" s="1">
        <v>44.74</v>
      </c>
      <c r="O40" s="2"/>
    </row>
    <row r="41" spans="1:15" x14ac:dyDescent="0.2">
      <c r="A41" s="1" t="s">
        <v>52</v>
      </c>
      <c r="B41" s="1">
        <v>7</v>
      </c>
      <c r="C41" s="1">
        <v>66</v>
      </c>
      <c r="D41" s="1">
        <v>62.29</v>
      </c>
    </row>
    <row r="42" spans="1:15" x14ac:dyDescent="0.2">
      <c r="A42" s="1" t="s">
        <v>53</v>
      </c>
      <c r="B42" s="1">
        <v>6</v>
      </c>
      <c r="C42" s="1">
        <v>6</v>
      </c>
      <c r="D42" s="1">
        <v>87.5</v>
      </c>
    </row>
    <row r="43" spans="1:15" x14ac:dyDescent="0.2">
      <c r="A43" s="1" t="s">
        <v>54</v>
      </c>
      <c r="B43" s="1">
        <v>16</v>
      </c>
      <c r="C43" s="1">
        <v>726</v>
      </c>
      <c r="D43" s="1">
        <v>43.98</v>
      </c>
    </row>
    <row r="44" spans="1:15" x14ac:dyDescent="0.2">
      <c r="A44" s="1" t="s">
        <v>55</v>
      </c>
      <c r="B44" s="1">
        <v>8</v>
      </c>
      <c r="C44" s="1">
        <v>99</v>
      </c>
      <c r="D44" s="1">
        <v>56.77</v>
      </c>
    </row>
    <row r="45" spans="1:15" x14ac:dyDescent="0.2">
      <c r="A45" s="1" t="s">
        <v>56</v>
      </c>
      <c r="B45" s="1">
        <v>8</v>
      </c>
      <c r="C45" s="1">
        <v>217</v>
      </c>
      <c r="D45" s="1">
        <v>40.71</v>
      </c>
    </row>
    <row r="46" spans="1:15" x14ac:dyDescent="0.2">
      <c r="A46" s="1" t="s">
        <v>57</v>
      </c>
      <c r="B46" s="1">
        <v>7</v>
      </c>
      <c r="C46" s="1">
        <v>5</v>
      </c>
      <c r="D46" s="1">
        <v>88.89</v>
      </c>
    </row>
    <row r="47" spans="1:15" x14ac:dyDescent="0.2">
      <c r="A47" s="1" t="s">
        <v>58</v>
      </c>
      <c r="B47" s="1">
        <v>6</v>
      </c>
      <c r="C47" s="1">
        <v>55</v>
      </c>
      <c r="D47" s="1">
        <v>58.33</v>
      </c>
    </row>
    <row r="48" spans="1:15" x14ac:dyDescent="0.2">
      <c r="A48" s="1" t="s">
        <v>59</v>
      </c>
      <c r="B48" s="1">
        <v>5</v>
      </c>
      <c r="C48" s="1">
        <v>48</v>
      </c>
      <c r="D48" s="1">
        <v>65.709999999999994</v>
      </c>
    </row>
    <row r="49" spans="1:4" x14ac:dyDescent="0.2">
      <c r="A49" s="1" t="s">
        <v>60</v>
      </c>
      <c r="B49" s="1">
        <v>11</v>
      </c>
      <c r="C49" s="1">
        <v>653</v>
      </c>
      <c r="D49" s="1">
        <v>37.69</v>
      </c>
    </row>
    <row r="50" spans="1:4" x14ac:dyDescent="0.2">
      <c r="A50" s="1" t="s">
        <v>61</v>
      </c>
      <c r="B50" s="1">
        <v>17</v>
      </c>
      <c r="C50" s="1">
        <v>1063</v>
      </c>
      <c r="D50" s="1">
        <v>36.35</v>
      </c>
    </row>
    <row r="51" spans="1:4" x14ac:dyDescent="0.2">
      <c r="A51" s="1" t="s">
        <v>62</v>
      </c>
      <c r="B51" s="1">
        <v>8</v>
      </c>
      <c r="C51" s="1">
        <v>42</v>
      </c>
      <c r="D51" s="1">
        <v>65</v>
      </c>
    </row>
    <row r="52" spans="1:4" x14ac:dyDescent="0.2">
      <c r="A52" s="1" t="s">
        <v>63</v>
      </c>
      <c r="B52" s="1">
        <v>5</v>
      </c>
      <c r="C52" s="1">
        <v>6</v>
      </c>
      <c r="D52" s="1">
        <v>88.68</v>
      </c>
    </row>
    <row r="53" spans="1:4" x14ac:dyDescent="0.2">
      <c r="A53" s="1" t="s">
        <v>64</v>
      </c>
      <c r="B53" s="1">
        <v>9</v>
      </c>
      <c r="C53" s="1">
        <v>140</v>
      </c>
      <c r="D53" s="1">
        <v>55.84</v>
      </c>
    </row>
    <row r="54" spans="1:4" x14ac:dyDescent="0.2">
      <c r="A54" s="1" t="s">
        <v>65</v>
      </c>
      <c r="B54" s="1">
        <v>4</v>
      </c>
      <c r="C54" s="1">
        <v>18</v>
      </c>
      <c r="D54" s="1">
        <v>75.680000000000007</v>
      </c>
    </row>
    <row r="55" spans="1:4" x14ac:dyDescent="0.2">
      <c r="A55" s="1" t="s">
        <v>66</v>
      </c>
      <c r="B55" s="1">
        <v>8</v>
      </c>
      <c r="C55" s="1">
        <v>106</v>
      </c>
      <c r="D55" s="1">
        <v>53.91</v>
      </c>
    </row>
    <row r="56" spans="1:4" x14ac:dyDescent="0.2">
      <c r="A56" s="1" t="s">
        <v>67</v>
      </c>
      <c r="B56" s="1">
        <v>7</v>
      </c>
      <c r="C56" s="1">
        <v>561</v>
      </c>
      <c r="D56" s="1">
        <v>41.01</v>
      </c>
    </row>
    <row r="57" spans="1:4" x14ac:dyDescent="0.2">
      <c r="A57" s="1" t="s">
        <v>68</v>
      </c>
      <c r="B57" s="1">
        <v>12</v>
      </c>
      <c r="C57" s="1">
        <v>565</v>
      </c>
      <c r="D57" s="1">
        <v>41.45</v>
      </c>
    </row>
    <row r="58" spans="1:4" x14ac:dyDescent="0.2">
      <c r="A58" s="1" t="s">
        <v>69</v>
      </c>
      <c r="B58" s="1">
        <v>4</v>
      </c>
      <c r="C58" s="1">
        <v>14</v>
      </c>
      <c r="D58" s="1">
        <v>80.56</v>
      </c>
    </row>
    <row r="59" spans="1:4" x14ac:dyDescent="0.2">
      <c r="A59" s="1" t="s">
        <v>70</v>
      </c>
      <c r="B59" s="1">
        <v>9</v>
      </c>
      <c r="C59" s="1">
        <v>133</v>
      </c>
      <c r="D59" s="1">
        <v>45.04</v>
      </c>
    </row>
    <row r="60" spans="1:4" x14ac:dyDescent="0.2">
      <c r="A60" s="1" t="s">
        <v>71</v>
      </c>
      <c r="B60" s="1">
        <v>6</v>
      </c>
      <c r="C60" s="1">
        <v>215</v>
      </c>
      <c r="D60" s="1">
        <v>45.98</v>
      </c>
    </row>
    <row r="61" spans="1:4" x14ac:dyDescent="0.2">
      <c r="A61" s="1" t="s">
        <v>72</v>
      </c>
      <c r="B61" s="1">
        <v>5</v>
      </c>
      <c r="C61" s="1">
        <v>98</v>
      </c>
      <c r="D61" s="1">
        <v>57.39</v>
      </c>
    </row>
    <row r="62" spans="1:4" x14ac:dyDescent="0.2">
      <c r="A62" s="1" t="s">
        <v>73</v>
      </c>
      <c r="B62" s="1">
        <v>10</v>
      </c>
      <c r="C62" s="1">
        <v>597</v>
      </c>
      <c r="D62" s="1">
        <v>41.7</v>
      </c>
    </row>
    <row r="63" spans="1:4" x14ac:dyDescent="0.2">
      <c r="A63" s="1" t="s">
        <v>74</v>
      </c>
      <c r="B63" s="1">
        <v>6</v>
      </c>
      <c r="C63" s="1">
        <v>19</v>
      </c>
      <c r="D63" s="1">
        <v>77.38</v>
      </c>
    </row>
    <row r="64" spans="1:4" x14ac:dyDescent="0.2">
      <c r="A64" s="1" t="s">
        <v>75</v>
      </c>
      <c r="B64" s="1">
        <v>6</v>
      </c>
      <c r="C64" s="1">
        <v>55</v>
      </c>
      <c r="D64" s="1">
        <v>60.43</v>
      </c>
    </row>
    <row r="65" spans="1:4" x14ac:dyDescent="0.2">
      <c r="A65" s="1" t="s">
        <v>76</v>
      </c>
      <c r="B65" s="1">
        <v>6</v>
      </c>
      <c r="C65" s="1">
        <v>157</v>
      </c>
      <c r="D65" s="1">
        <v>26.64</v>
      </c>
    </row>
    <row r="66" spans="1:4" x14ac:dyDescent="0.2">
      <c r="A66" s="1" t="s">
        <v>77</v>
      </c>
      <c r="B66" s="1">
        <v>14</v>
      </c>
      <c r="C66" s="1">
        <v>670</v>
      </c>
      <c r="D66" s="1">
        <v>38.979999999999997</v>
      </c>
    </row>
    <row r="67" spans="1:4" x14ac:dyDescent="0.2">
      <c r="A67" s="1" t="s">
        <v>78</v>
      </c>
      <c r="B67" s="1">
        <v>9</v>
      </c>
      <c r="C67" s="1">
        <v>158</v>
      </c>
      <c r="D67" s="1">
        <v>50.63</v>
      </c>
    </row>
    <row r="68" spans="1:4" x14ac:dyDescent="0.2">
      <c r="A68" s="1" t="s">
        <v>79</v>
      </c>
      <c r="B68" s="1">
        <v>5</v>
      </c>
      <c r="C68" s="1">
        <v>81</v>
      </c>
      <c r="D68" s="1">
        <v>54.24</v>
      </c>
    </row>
    <row r="69" spans="1:4" x14ac:dyDescent="0.2">
      <c r="A69" s="1" t="s">
        <v>80</v>
      </c>
      <c r="B69" s="1">
        <v>3</v>
      </c>
      <c r="C69" s="1">
        <v>39</v>
      </c>
      <c r="D69" s="1">
        <v>67.23</v>
      </c>
    </row>
    <row r="70" spans="1:4" x14ac:dyDescent="0.2">
      <c r="A70" s="1" t="s">
        <v>81</v>
      </c>
      <c r="B70" s="1">
        <v>11</v>
      </c>
      <c r="C70" s="1">
        <v>233</v>
      </c>
      <c r="D70" s="1">
        <v>41.31</v>
      </c>
    </row>
    <row r="71" spans="1:4" x14ac:dyDescent="0.2">
      <c r="A71" s="1" t="s">
        <v>82</v>
      </c>
      <c r="B71" s="1">
        <v>11</v>
      </c>
      <c r="C71" s="1">
        <v>423</v>
      </c>
      <c r="D71" s="1">
        <v>37.89</v>
      </c>
    </row>
    <row r="72" spans="1:4" x14ac:dyDescent="0.2">
      <c r="A72" s="1" t="s">
        <v>83</v>
      </c>
      <c r="B72" s="1">
        <v>7</v>
      </c>
      <c r="C72" s="1">
        <v>65</v>
      </c>
      <c r="D72" s="1">
        <v>58.6</v>
      </c>
    </row>
    <row r="73" spans="1:4" x14ac:dyDescent="0.2">
      <c r="A73" s="1" t="s">
        <v>84</v>
      </c>
      <c r="B73" s="1">
        <v>4</v>
      </c>
      <c r="C73" s="1">
        <v>5</v>
      </c>
      <c r="D73" s="1">
        <v>88.89</v>
      </c>
    </row>
    <row r="74" spans="1:4" x14ac:dyDescent="0.2">
      <c r="A74" s="1" t="s">
        <v>85</v>
      </c>
      <c r="B74" s="1">
        <v>4</v>
      </c>
      <c r="C74" s="1">
        <v>64</v>
      </c>
      <c r="D74" s="1">
        <v>61.68</v>
      </c>
    </row>
    <row r="75" spans="1:4" x14ac:dyDescent="0.2">
      <c r="A75" s="1" t="s">
        <v>86</v>
      </c>
      <c r="B75" s="1">
        <v>2</v>
      </c>
      <c r="C75" s="1">
        <v>72</v>
      </c>
      <c r="D75" s="1">
        <v>63.08</v>
      </c>
    </row>
    <row r="76" spans="1:4" x14ac:dyDescent="0.2">
      <c r="A76" s="1" t="s">
        <v>87</v>
      </c>
      <c r="B76" s="1">
        <v>4</v>
      </c>
      <c r="C76" s="1">
        <v>6</v>
      </c>
      <c r="D76" s="1">
        <v>91.89</v>
      </c>
    </row>
    <row r="77" spans="1:4" x14ac:dyDescent="0.2">
      <c r="A77" s="1" t="s">
        <v>88</v>
      </c>
      <c r="B77" s="1">
        <v>4</v>
      </c>
      <c r="C77" s="1">
        <v>11</v>
      </c>
      <c r="D77" s="1">
        <v>91.73</v>
      </c>
    </row>
    <row r="78" spans="1:4" x14ac:dyDescent="0.2">
      <c r="A78" s="1" t="s">
        <v>89</v>
      </c>
      <c r="B78" s="1">
        <v>14</v>
      </c>
      <c r="C78" s="1">
        <v>767</v>
      </c>
      <c r="D78" s="1">
        <v>49.64</v>
      </c>
    </row>
    <row r="79" spans="1:4" x14ac:dyDescent="0.2">
      <c r="A79" s="1" t="s">
        <v>90</v>
      </c>
      <c r="B79" s="1">
        <v>6</v>
      </c>
      <c r="C79" s="1">
        <v>42</v>
      </c>
      <c r="D79" s="1">
        <v>65.849999999999994</v>
      </c>
    </row>
    <row r="80" spans="1:4" x14ac:dyDescent="0.2">
      <c r="A80" s="1" t="s">
        <v>91</v>
      </c>
      <c r="B80" s="1">
        <v>13</v>
      </c>
      <c r="C80" s="1">
        <v>259</v>
      </c>
      <c r="D80" s="1">
        <v>55.73</v>
      </c>
    </row>
    <row r="81" spans="1:4" x14ac:dyDescent="0.2">
      <c r="A81" s="1" t="s">
        <v>92</v>
      </c>
      <c r="B81" s="1">
        <v>5</v>
      </c>
      <c r="C81" s="1">
        <v>7</v>
      </c>
      <c r="D81" s="1">
        <v>89.71</v>
      </c>
    </row>
    <row r="82" spans="1:4" x14ac:dyDescent="0.2">
      <c r="A82" s="1" t="s">
        <v>93</v>
      </c>
      <c r="B82" s="1">
        <v>6</v>
      </c>
      <c r="C82" s="1">
        <v>13</v>
      </c>
      <c r="D82" s="1">
        <v>87.13</v>
      </c>
    </row>
    <row r="83" spans="1:4" x14ac:dyDescent="0.2">
      <c r="A83" s="1" t="s">
        <v>94</v>
      </c>
      <c r="B83" s="1">
        <v>9</v>
      </c>
      <c r="C83" s="1">
        <v>101</v>
      </c>
      <c r="D83" s="1">
        <v>52.8</v>
      </c>
    </row>
    <row r="84" spans="1:4" x14ac:dyDescent="0.2">
      <c r="A84" s="1" t="s">
        <v>95</v>
      </c>
      <c r="B84" s="1">
        <v>10</v>
      </c>
      <c r="C84" s="1">
        <v>126</v>
      </c>
      <c r="D84" s="1">
        <v>50.39</v>
      </c>
    </row>
    <row r="85" spans="1:4" x14ac:dyDescent="0.2">
      <c r="A85" s="1" t="s">
        <v>96</v>
      </c>
      <c r="B85" s="1">
        <v>7</v>
      </c>
      <c r="C85" s="1">
        <v>9</v>
      </c>
      <c r="D85" s="1">
        <v>85</v>
      </c>
    </row>
    <row r="86" spans="1:4" x14ac:dyDescent="0.2">
      <c r="A86" s="1" t="s">
        <v>97</v>
      </c>
      <c r="B86" s="1">
        <v>2</v>
      </c>
      <c r="C86" s="1">
        <v>30</v>
      </c>
      <c r="D86" s="1">
        <v>76</v>
      </c>
    </row>
    <row r="87" spans="1:4" x14ac:dyDescent="0.2">
      <c r="A87" s="1" t="s">
        <v>98</v>
      </c>
      <c r="B87" s="1">
        <v>2</v>
      </c>
      <c r="C87" s="1">
        <v>15</v>
      </c>
      <c r="D87" s="1">
        <v>79.17</v>
      </c>
    </row>
    <row r="88" spans="1:4" x14ac:dyDescent="0.2">
      <c r="A88" s="1" t="s">
        <v>99</v>
      </c>
      <c r="B88" s="1">
        <v>6</v>
      </c>
      <c r="C88" s="1">
        <v>382</v>
      </c>
      <c r="D88" s="1">
        <v>25.24</v>
      </c>
    </row>
    <row r="89" spans="1:4" x14ac:dyDescent="0.2">
      <c r="A89" s="1" t="s">
        <v>100</v>
      </c>
      <c r="B89" s="1">
        <v>5</v>
      </c>
      <c r="C89" s="1">
        <v>140</v>
      </c>
      <c r="D89" s="1">
        <v>53.33</v>
      </c>
    </row>
    <row r="90" spans="1:4" x14ac:dyDescent="0.2">
      <c r="A90" s="1" t="s">
        <v>101</v>
      </c>
      <c r="B90" s="1">
        <v>7</v>
      </c>
      <c r="C90" s="1">
        <v>72</v>
      </c>
      <c r="D90" s="1">
        <v>58.86</v>
      </c>
    </row>
    <row r="91" spans="1:4" x14ac:dyDescent="0.2">
      <c r="A91" s="1" t="s">
        <v>102</v>
      </c>
      <c r="B91" s="1">
        <v>6</v>
      </c>
      <c r="C91" s="1">
        <v>208</v>
      </c>
      <c r="D91" s="1">
        <v>41.57</v>
      </c>
    </row>
    <row r="92" spans="1:4" x14ac:dyDescent="0.2">
      <c r="A92" s="1" t="s">
        <v>103</v>
      </c>
      <c r="B92" s="1">
        <v>5</v>
      </c>
      <c r="C92" s="1">
        <v>33</v>
      </c>
      <c r="D92" s="1">
        <v>70.27</v>
      </c>
    </row>
    <row r="93" spans="1:4" x14ac:dyDescent="0.2">
      <c r="A93" s="1" t="s">
        <v>104</v>
      </c>
      <c r="B93" s="1">
        <v>3</v>
      </c>
      <c r="C93" s="1">
        <v>4</v>
      </c>
      <c r="D93" s="1">
        <v>92.59</v>
      </c>
    </row>
    <row r="94" spans="1:4" x14ac:dyDescent="0.2">
      <c r="A94" s="1" t="s">
        <v>105</v>
      </c>
      <c r="B94" s="1">
        <v>3</v>
      </c>
      <c r="C94" s="1">
        <v>5</v>
      </c>
      <c r="D94" s="1">
        <v>90.57</v>
      </c>
    </row>
    <row r="95" spans="1:4" x14ac:dyDescent="0.2">
      <c r="A95" s="1" t="s">
        <v>106</v>
      </c>
      <c r="B95" s="1">
        <v>7</v>
      </c>
      <c r="C95" s="1">
        <v>234</v>
      </c>
      <c r="D95" s="1">
        <v>43.07</v>
      </c>
    </row>
    <row r="96" spans="1:4" x14ac:dyDescent="0.2">
      <c r="A96" s="1" t="s">
        <v>107</v>
      </c>
      <c r="B96" s="1">
        <v>7</v>
      </c>
      <c r="C96" s="1">
        <v>242</v>
      </c>
      <c r="D96" s="1">
        <v>40.69</v>
      </c>
    </row>
    <row r="97" spans="1:4" x14ac:dyDescent="0.2">
      <c r="A97" s="1" t="s">
        <v>108</v>
      </c>
      <c r="B97" s="1">
        <v>14</v>
      </c>
      <c r="C97" s="1">
        <v>179</v>
      </c>
      <c r="D97" s="1">
        <v>53.26</v>
      </c>
    </row>
    <row r="98" spans="1:4" x14ac:dyDescent="0.2">
      <c r="A98" s="1" t="s">
        <v>109</v>
      </c>
      <c r="B98" s="1">
        <v>5</v>
      </c>
      <c r="C98" s="1">
        <v>6</v>
      </c>
      <c r="D98" s="1">
        <v>88.46</v>
      </c>
    </row>
    <row r="99" spans="1:4" x14ac:dyDescent="0.2">
      <c r="A99" s="1" t="s">
        <v>110</v>
      </c>
      <c r="B99" s="1">
        <v>11</v>
      </c>
      <c r="C99" s="1">
        <v>118</v>
      </c>
      <c r="D99" s="1">
        <v>44.86</v>
      </c>
    </row>
    <row r="100" spans="1:4" x14ac:dyDescent="0.2">
      <c r="A100" s="1" t="s">
        <v>111</v>
      </c>
      <c r="B100" s="1">
        <v>7</v>
      </c>
      <c r="C100" s="1">
        <v>149</v>
      </c>
      <c r="D100" s="1">
        <v>53.44</v>
      </c>
    </row>
    <row r="101" spans="1:4" x14ac:dyDescent="0.2">
      <c r="A101" s="1" t="s">
        <v>112</v>
      </c>
      <c r="B101" s="1">
        <v>2</v>
      </c>
      <c r="C101" s="1">
        <v>59</v>
      </c>
      <c r="D101" s="1">
        <v>60.4</v>
      </c>
    </row>
    <row r="102" spans="1:4" x14ac:dyDescent="0.2">
      <c r="A102" s="1" t="s">
        <v>113</v>
      </c>
      <c r="B102" s="1">
        <v>3</v>
      </c>
      <c r="C102" s="1">
        <v>70</v>
      </c>
      <c r="D102" s="1">
        <v>53.02</v>
      </c>
    </row>
    <row r="103" spans="1:4" x14ac:dyDescent="0.2">
      <c r="A103" s="1" t="s">
        <v>114</v>
      </c>
      <c r="B103" s="1">
        <v>2</v>
      </c>
      <c r="C103" s="1">
        <v>4</v>
      </c>
      <c r="D103" s="1">
        <v>91.67</v>
      </c>
    </row>
    <row r="104" spans="1:4" x14ac:dyDescent="0.2">
      <c r="A104" s="1" t="s">
        <v>115</v>
      </c>
      <c r="B104" s="1">
        <v>2</v>
      </c>
      <c r="C104" s="1">
        <v>4</v>
      </c>
      <c r="D104" s="1">
        <v>91.49</v>
      </c>
    </row>
    <row r="105" spans="1:4" x14ac:dyDescent="0.2">
      <c r="A105" s="1" t="s">
        <v>116</v>
      </c>
      <c r="B105" s="1">
        <v>22</v>
      </c>
      <c r="C105" s="1">
        <v>1000</v>
      </c>
      <c r="D105" s="1">
        <v>46.52</v>
      </c>
    </row>
    <row r="106" spans="1:4" x14ac:dyDescent="0.2">
      <c r="A106" s="1" t="s">
        <v>117</v>
      </c>
      <c r="B106" s="1">
        <v>4</v>
      </c>
      <c r="C106" s="1">
        <v>25</v>
      </c>
      <c r="D106" s="1">
        <v>73.12</v>
      </c>
    </row>
    <row r="107" spans="1:4" x14ac:dyDescent="0.2">
      <c r="A107" s="1" t="s">
        <v>118</v>
      </c>
      <c r="B107" s="1">
        <v>7</v>
      </c>
      <c r="C107" s="1">
        <v>97</v>
      </c>
      <c r="D107" s="1">
        <v>58.01</v>
      </c>
    </row>
    <row r="108" spans="1:4" x14ac:dyDescent="0.2">
      <c r="A108" s="1" t="s">
        <v>119</v>
      </c>
      <c r="B108" s="1">
        <v>5</v>
      </c>
      <c r="C108" s="1">
        <v>4</v>
      </c>
      <c r="D108" s="1">
        <v>92.16</v>
      </c>
    </row>
    <row r="109" spans="1:4" x14ac:dyDescent="0.2">
      <c r="A109" s="1" t="s">
        <v>120</v>
      </c>
      <c r="B109" s="1">
        <v>7</v>
      </c>
      <c r="C109" s="1">
        <v>102</v>
      </c>
      <c r="D109" s="1">
        <v>55.84</v>
      </c>
    </row>
    <row r="110" spans="1:4" x14ac:dyDescent="0.2">
      <c r="A110" s="1" t="s">
        <v>121</v>
      </c>
      <c r="B110" s="1">
        <v>10</v>
      </c>
      <c r="C110" s="1">
        <v>235</v>
      </c>
      <c r="D110" s="1">
        <v>62.7</v>
      </c>
    </row>
    <row r="111" spans="1:4" x14ac:dyDescent="0.2">
      <c r="A111" s="1" t="s">
        <v>122</v>
      </c>
      <c r="B111" s="1">
        <v>5</v>
      </c>
      <c r="C111" s="1">
        <v>15</v>
      </c>
      <c r="D111" s="1">
        <v>76.92</v>
      </c>
    </row>
    <row r="112" spans="1:4" x14ac:dyDescent="0.2">
      <c r="A112" s="1" t="s">
        <v>123</v>
      </c>
      <c r="B112" s="1">
        <v>8</v>
      </c>
      <c r="C112" s="1">
        <v>355</v>
      </c>
      <c r="D112" s="1">
        <v>58.53</v>
      </c>
    </row>
    <row r="113" spans="1:4" x14ac:dyDescent="0.2">
      <c r="A113" s="1" t="s">
        <v>124</v>
      </c>
      <c r="B113" s="1">
        <v>6</v>
      </c>
      <c r="C113" s="1">
        <v>175</v>
      </c>
      <c r="D113" s="1">
        <v>56.79</v>
      </c>
    </row>
    <row r="114" spans="1:4" x14ac:dyDescent="0.2">
      <c r="A114" s="1" t="s">
        <v>125</v>
      </c>
      <c r="B114" s="1">
        <v>2</v>
      </c>
      <c r="C114" s="1">
        <v>6</v>
      </c>
      <c r="D114" s="1">
        <v>86.05</v>
      </c>
    </row>
    <row r="115" spans="1:4" x14ac:dyDescent="0.2">
      <c r="A115" s="1" t="s">
        <v>126</v>
      </c>
      <c r="B115" s="1">
        <v>2</v>
      </c>
      <c r="C115" s="1">
        <v>53</v>
      </c>
      <c r="D115" s="1">
        <v>70.22</v>
      </c>
    </row>
    <row r="116" spans="1:4" x14ac:dyDescent="0.2">
      <c r="A116" s="1" t="s">
        <v>127</v>
      </c>
      <c r="B116" s="1">
        <v>3</v>
      </c>
      <c r="C116" s="1">
        <v>13</v>
      </c>
      <c r="D116" s="1">
        <v>86.32</v>
      </c>
    </row>
    <row r="117" spans="1:4" x14ac:dyDescent="0.2">
      <c r="A117" s="1" t="s">
        <v>128</v>
      </c>
      <c r="B117" s="1">
        <v>4</v>
      </c>
      <c r="C117" s="1">
        <v>52</v>
      </c>
      <c r="D117" s="1">
        <v>63.64</v>
      </c>
    </row>
    <row r="118" spans="1:4" x14ac:dyDescent="0.2">
      <c r="A118" s="1" t="s">
        <v>129</v>
      </c>
      <c r="B118" s="1">
        <v>3</v>
      </c>
      <c r="C118" s="1">
        <v>6</v>
      </c>
      <c r="D118" s="1">
        <v>88.46</v>
      </c>
    </row>
    <row r="119" spans="1:4" x14ac:dyDescent="0.2">
      <c r="A119" s="1" t="s">
        <v>130</v>
      </c>
      <c r="B119" s="1">
        <v>5</v>
      </c>
      <c r="C119" s="1">
        <v>59</v>
      </c>
      <c r="D119" s="1">
        <v>62.18</v>
      </c>
    </row>
    <row r="120" spans="1:4" x14ac:dyDescent="0.2">
      <c r="A120" s="1" t="s">
        <v>131</v>
      </c>
      <c r="B120" s="1">
        <v>4</v>
      </c>
      <c r="C120" s="1">
        <v>36</v>
      </c>
      <c r="D120" s="1">
        <v>69.23</v>
      </c>
    </row>
    <row r="121" spans="1:4" x14ac:dyDescent="0.2">
      <c r="A121" s="1" t="s">
        <v>132</v>
      </c>
      <c r="B121" s="1">
        <v>10</v>
      </c>
      <c r="C121" s="1">
        <v>79</v>
      </c>
      <c r="D121" s="1">
        <v>58.64</v>
      </c>
    </row>
    <row r="122" spans="1:4" x14ac:dyDescent="0.2">
      <c r="A122" s="1" t="s">
        <v>133</v>
      </c>
      <c r="B122" s="1">
        <v>11</v>
      </c>
      <c r="C122" s="1">
        <v>65</v>
      </c>
      <c r="D122" s="1">
        <v>62.86</v>
      </c>
    </row>
    <row r="123" spans="1:4" x14ac:dyDescent="0.2">
      <c r="A123" s="1" t="s">
        <v>134</v>
      </c>
      <c r="B123" s="1">
        <v>8</v>
      </c>
      <c r="C123" s="1">
        <v>45</v>
      </c>
      <c r="D123" s="1">
        <v>61.54</v>
      </c>
    </row>
    <row r="124" spans="1:4" x14ac:dyDescent="0.2">
      <c r="A124" s="1" t="s">
        <v>135</v>
      </c>
      <c r="B124" s="1">
        <v>9</v>
      </c>
      <c r="C124" s="1">
        <v>181</v>
      </c>
      <c r="D124" s="1">
        <v>51.21</v>
      </c>
    </row>
    <row r="125" spans="1:4" x14ac:dyDescent="0.2">
      <c r="A125" s="1" t="s">
        <v>136</v>
      </c>
      <c r="B125" s="1">
        <v>5</v>
      </c>
      <c r="C125" s="1">
        <v>13</v>
      </c>
      <c r="D125" s="1">
        <v>86.32</v>
      </c>
    </row>
    <row r="126" spans="1:4" x14ac:dyDescent="0.2">
      <c r="A126" s="1" t="s">
        <v>137</v>
      </c>
      <c r="B126" s="1">
        <v>2</v>
      </c>
      <c r="C126" s="1">
        <v>38</v>
      </c>
      <c r="D126" s="1">
        <v>63.46</v>
      </c>
    </row>
    <row r="127" spans="1:4" x14ac:dyDescent="0.2">
      <c r="A127" s="1" t="s">
        <v>138</v>
      </c>
      <c r="B127" s="1">
        <v>10</v>
      </c>
      <c r="C127" s="1">
        <v>79</v>
      </c>
      <c r="D127" s="1">
        <v>58.42</v>
      </c>
    </row>
    <row r="128" spans="1:4" x14ac:dyDescent="0.2">
      <c r="A128" s="1" t="s">
        <v>139</v>
      </c>
      <c r="B128" s="1">
        <v>7</v>
      </c>
      <c r="C128" s="1">
        <v>56</v>
      </c>
      <c r="D128" s="1">
        <v>63.64</v>
      </c>
    </row>
    <row r="129" spans="1:4" x14ac:dyDescent="0.2">
      <c r="A129" s="1" t="s">
        <v>140</v>
      </c>
      <c r="B129" s="1">
        <v>2</v>
      </c>
      <c r="C129" s="1">
        <v>23</v>
      </c>
      <c r="D129" s="1">
        <v>73.86</v>
      </c>
    </row>
    <row r="130" spans="1:4" x14ac:dyDescent="0.2">
      <c r="A130" s="1" t="s">
        <v>141</v>
      </c>
      <c r="B130" s="1">
        <v>7</v>
      </c>
      <c r="C130" s="1">
        <v>81</v>
      </c>
      <c r="D130" s="1">
        <v>61.61</v>
      </c>
    </row>
    <row r="131" spans="1:4" x14ac:dyDescent="0.2">
      <c r="A131" s="1" t="s">
        <v>142</v>
      </c>
      <c r="B131" s="1">
        <v>10</v>
      </c>
      <c r="C131" s="1">
        <v>79</v>
      </c>
      <c r="D131" s="1">
        <v>58.42</v>
      </c>
    </row>
    <row r="132" spans="1:4" x14ac:dyDescent="0.2">
      <c r="A132" s="1" t="s">
        <v>143</v>
      </c>
      <c r="B132" s="1">
        <v>8</v>
      </c>
      <c r="C132" s="1">
        <v>86</v>
      </c>
      <c r="D132" s="1">
        <v>54.74</v>
      </c>
    </row>
    <row r="133" spans="1:4" x14ac:dyDescent="0.2">
      <c r="A133" s="1" t="s">
        <v>144</v>
      </c>
      <c r="B133" s="1">
        <v>3</v>
      </c>
      <c r="C133" s="1">
        <v>10</v>
      </c>
      <c r="D133" s="1">
        <v>82.46</v>
      </c>
    </row>
    <row r="134" spans="1:4" x14ac:dyDescent="0.2">
      <c r="A134" s="1" t="s">
        <v>145</v>
      </c>
      <c r="B134" s="1">
        <v>10</v>
      </c>
      <c r="C134" s="1">
        <v>79</v>
      </c>
      <c r="D134" s="1">
        <v>58.42</v>
      </c>
    </row>
    <row r="135" spans="1:4" x14ac:dyDescent="0.2">
      <c r="A135" s="1" t="s">
        <v>146</v>
      </c>
      <c r="B135" s="1">
        <v>3</v>
      </c>
      <c r="C135" s="1">
        <v>35</v>
      </c>
      <c r="D135" s="1">
        <v>65.349999999999994</v>
      </c>
    </row>
    <row r="136" spans="1:4" x14ac:dyDescent="0.2">
      <c r="A136" s="1" t="s">
        <v>147</v>
      </c>
      <c r="B136" s="1">
        <v>3</v>
      </c>
      <c r="C136" s="1">
        <v>56</v>
      </c>
      <c r="D136" s="1">
        <v>63.4</v>
      </c>
    </row>
    <row r="137" spans="1:4" x14ac:dyDescent="0.2">
      <c r="A137" s="1" t="s">
        <v>148</v>
      </c>
      <c r="B137" s="1">
        <v>7</v>
      </c>
      <c r="C137" s="1">
        <v>14</v>
      </c>
      <c r="D137" s="1">
        <v>78.790000000000006</v>
      </c>
    </row>
    <row r="138" spans="1:4" x14ac:dyDescent="0.2">
      <c r="A138" s="1" t="s">
        <v>149</v>
      </c>
      <c r="B138" s="1">
        <v>5</v>
      </c>
      <c r="C138" s="1">
        <v>6</v>
      </c>
      <c r="D138" s="1">
        <v>88</v>
      </c>
    </row>
    <row r="139" spans="1:4" x14ac:dyDescent="0.2">
      <c r="A139" s="1" t="s">
        <v>150</v>
      </c>
      <c r="B139" s="1">
        <v>3</v>
      </c>
      <c r="C139" s="1">
        <v>12</v>
      </c>
      <c r="D139" s="1">
        <v>80.650000000000006</v>
      </c>
    </row>
    <row r="140" spans="1:4" x14ac:dyDescent="0.2">
      <c r="A140" s="1" t="s">
        <v>151</v>
      </c>
      <c r="B140" s="1">
        <v>4</v>
      </c>
      <c r="C140" s="1">
        <v>5</v>
      </c>
      <c r="D140" s="1">
        <v>90.91</v>
      </c>
    </row>
    <row r="141" spans="1:4" x14ac:dyDescent="0.2">
      <c r="A141" s="1" t="s">
        <v>152</v>
      </c>
      <c r="B141" s="1">
        <v>4</v>
      </c>
      <c r="C141" s="1">
        <v>34</v>
      </c>
      <c r="D141" s="1">
        <v>70.430000000000007</v>
      </c>
    </row>
    <row r="142" spans="1:4" x14ac:dyDescent="0.2">
      <c r="A142" s="1" t="s">
        <v>153</v>
      </c>
      <c r="B142" s="1">
        <v>6</v>
      </c>
      <c r="C142" s="1">
        <v>6</v>
      </c>
      <c r="D142" s="1">
        <v>87.23</v>
      </c>
    </row>
    <row r="143" spans="1:4" x14ac:dyDescent="0.2">
      <c r="A143" s="1" t="s">
        <v>154</v>
      </c>
      <c r="B143" s="1">
        <v>5</v>
      </c>
      <c r="C143" s="1">
        <v>5</v>
      </c>
      <c r="D143" s="1">
        <v>90.38</v>
      </c>
    </row>
    <row r="144" spans="1:4" x14ac:dyDescent="0.2">
      <c r="A144" s="1" t="s">
        <v>155</v>
      </c>
      <c r="B144" s="1">
        <v>4</v>
      </c>
      <c r="C144" s="1">
        <v>35</v>
      </c>
      <c r="D144" s="1">
        <v>69.569999999999993</v>
      </c>
    </row>
    <row r="145" spans="1:4" x14ac:dyDescent="0.2">
      <c r="A145" s="1" t="s">
        <v>156</v>
      </c>
      <c r="B145" s="1">
        <v>3</v>
      </c>
      <c r="C145" s="1">
        <v>5</v>
      </c>
      <c r="D145" s="1">
        <v>88.89</v>
      </c>
    </row>
    <row r="146" spans="1:4" x14ac:dyDescent="0.2">
      <c r="A146" s="1" t="s">
        <v>157</v>
      </c>
      <c r="B146" s="1">
        <v>4</v>
      </c>
      <c r="C146" s="1">
        <v>5</v>
      </c>
      <c r="D146" s="1">
        <v>89.8</v>
      </c>
    </row>
    <row r="147" spans="1:4" x14ac:dyDescent="0.2">
      <c r="A147" s="1" t="s">
        <v>158</v>
      </c>
      <c r="B147" s="1">
        <v>5</v>
      </c>
      <c r="C147" s="1">
        <v>12</v>
      </c>
      <c r="D147" s="1">
        <v>80.95</v>
      </c>
    </row>
    <row r="148" spans="1:4" x14ac:dyDescent="0.2">
      <c r="A148" s="1" t="s">
        <v>159</v>
      </c>
      <c r="B148" s="1">
        <v>5</v>
      </c>
      <c r="C148" s="1">
        <v>6</v>
      </c>
      <c r="D148" s="1">
        <v>88</v>
      </c>
    </row>
    <row r="149" spans="1:4" x14ac:dyDescent="0.2">
      <c r="A149" s="1" t="s">
        <v>160</v>
      </c>
      <c r="B149" s="1">
        <v>3</v>
      </c>
      <c r="C149" s="1">
        <v>12</v>
      </c>
      <c r="D149" s="1">
        <v>81.25</v>
      </c>
    </row>
    <row r="150" spans="1:4" x14ac:dyDescent="0.2">
      <c r="A150" s="1" t="s">
        <v>161</v>
      </c>
      <c r="B150" s="1">
        <v>4</v>
      </c>
      <c r="C150" s="1">
        <v>5</v>
      </c>
      <c r="D150" s="1">
        <v>90</v>
      </c>
    </row>
    <row r="151" spans="1:4" x14ac:dyDescent="0.2">
      <c r="A151" s="1" t="s">
        <v>162</v>
      </c>
      <c r="B151" s="1">
        <v>5</v>
      </c>
      <c r="C151" s="1">
        <v>19</v>
      </c>
      <c r="D151" s="1">
        <v>78.16</v>
      </c>
    </row>
    <row r="152" spans="1:4" x14ac:dyDescent="0.2">
      <c r="A152" s="1" t="s">
        <v>163</v>
      </c>
      <c r="B152" s="1">
        <v>4</v>
      </c>
      <c r="C152" s="1">
        <v>5</v>
      </c>
      <c r="D152" s="1">
        <v>89.8</v>
      </c>
    </row>
    <row r="153" spans="1:4" x14ac:dyDescent="0.2">
      <c r="A153" s="1" t="s">
        <v>164</v>
      </c>
      <c r="B153" s="1">
        <v>3</v>
      </c>
      <c r="C153" s="1">
        <v>12</v>
      </c>
      <c r="D153" s="1">
        <v>80.33</v>
      </c>
    </row>
    <row r="154" spans="1:4" x14ac:dyDescent="0.2">
      <c r="A154" s="1" t="s">
        <v>165</v>
      </c>
      <c r="B154" s="1">
        <v>4</v>
      </c>
      <c r="C154" s="1">
        <v>5</v>
      </c>
      <c r="D154" s="1">
        <v>90</v>
      </c>
    </row>
    <row r="155" spans="1:4" x14ac:dyDescent="0.2">
      <c r="A155" s="1" t="s">
        <v>166</v>
      </c>
      <c r="B155" s="1">
        <v>3</v>
      </c>
      <c r="C155" s="1">
        <v>20</v>
      </c>
      <c r="D155" s="1">
        <v>76.739999999999995</v>
      </c>
    </row>
    <row r="156" spans="1:4" x14ac:dyDescent="0.2">
      <c r="A156" s="1" t="s">
        <v>167</v>
      </c>
      <c r="B156" s="1">
        <v>6</v>
      </c>
      <c r="C156" s="1">
        <v>123</v>
      </c>
      <c r="D156" s="1">
        <v>48.54</v>
      </c>
    </row>
    <row r="157" spans="1:4" x14ac:dyDescent="0.2">
      <c r="A157" s="1" t="s">
        <v>168</v>
      </c>
      <c r="B157" s="1">
        <v>3</v>
      </c>
      <c r="C157" s="1">
        <v>13</v>
      </c>
      <c r="D157" s="1">
        <v>81.16</v>
      </c>
    </row>
    <row r="158" spans="1:4" x14ac:dyDescent="0.2">
      <c r="A158" s="1" t="s">
        <v>169</v>
      </c>
      <c r="B158" s="1">
        <v>3</v>
      </c>
      <c r="C158" s="1">
        <v>12</v>
      </c>
      <c r="D158" s="1">
        <v>81.540000000000006</v>
      </c>
    </row>
    <row r="159" spans="1:4" x14ac:dyDescent="0.2">
      <c r="A159" s="1" t="s">
        <v>170</v>
      </c>
      <c r="B159" s="1">
        <v>2</v>
      </c>
      <c r="C159" s="1">
        <v>11</v>
      </c>
      <c r="D159" s="1">
        <v>83.33</v>
      </c>
    </row>
    <row r="160" spans="1:4" x14ac:dyDescent="0.2">
      <c r="A160" s="1" t="s">
        <v>171</v>
      </c>
      <c r="B160" s="1">
        <v>4</v>
      </c>
      <c r="C160" s="1">
        <v>4</v>
      </c>
      <c r="D160" s="1">
        <v>93.44</v>
      </c>
    </row>
    <row r="161" spans="1:4" x14ac:dyDescent="0.2">
      <c r="A161" s="1" t="s">
        <v>172</v>
      </c>
      <c r="B161" s="1">
        <v>4</v>
      </c>
      <c r="C161" s="1">
        <v>8</v>
      </c>
      <c r="D161" s="1">
        <v>87.1</v>
      </c>
    </row>
    <row r="162" spans="1:4" x14ac:dyDescent="0.2">
      <c r="A162" s="1" t="s">
        <v>173</v>
      </c>
      <c r="B162" s="1">
        <v>3</v>
      </c>
      <c r="C162" s="1">
        <v>34</v>
      </c>
      <c r="D162" s="1">
        <v>70.180000000000007</v>
      </c>
    </row>
    <row r="163" spans="1:4" x14ac:dyDescent="0.2">
      <c r="A163" s="1" t="s">
        <v>174</v>
      </c>
      <c r="B163" s="1">
        <v>2</v>
      </c>
      <c r="C163" s="1">
        <v>106</v>
      </c>
      <c r="D163" s="1">
        <v>43.62</v>
      </c>
    </row>
    <row r="164" spans="1:4" x14ac:dyDescent="0.2">
      <c r="A164" s="1" t="s">
        <v>175</v>
      </c>
      <c r="B164" s="1">
        <v>6</v>
      </c>
      <c r="C164" s="1">
        <v>89</v>
      </c>
      <c r="D164" s="1">
        <v>48.85</v>
      </c>
    </row>
    <row r="165" spans="1:4" x14ac:dyDescent="0.2">
      <c r="A165" s="1" t="s">
        <v>176</v>
      </c>
      <c r="B165" s="1">
        <v>7</v>
      </c>
      <c r="C165" s="1">
        <v>65</v>
      </c>
      <c r="D165" s="1">
        <v>66.150000000000006</v>
      </c>
    </row>
    <row r="166" spans="1:4" x14ac:dyDescent="0.2">
      <c r="A166" s="1" t="s">
        <v>177</v>
      </c>
      <c r="B166" s="1">
        <v>3</v>
      </c>
      <c r="C166" s="1">
        <v>84</v>
      </c>
      <c r="D166" s="1">
        <v>44.37</v>
      </c>
    </row>
    <row r="167" spans="1:4" x14ac:dyDescent="0.2">
      <c r="A167" s="1" t="s">
        <v>178</v>
      </c>
      <c r="B167" s="1">
        <v>3</v>
      </c>
      <c r="C167" s="1">
        <v>117</v>
      </c>
      <c r="D167" s="1">
        <v>41.79</v>
      </c>
    </row>
    <row r="168" spans="1:4" x14ac:dyDescent="0.2">
      <c r="A168" s="1" t="s">
        <v>179</v>
      </c>
      <c r="B168" s="1">
        <v>4</v>
      </c>
      <c r="C168" s="1">
        <v>418</v>
      </c>
      <c r="D168" s="1">
        <v>34.07</v>
      </c>
    </row>
    <row r="169" spans="1:4" x14ac:dyDescent="0.2">
      <c r="A169" s="1" t="s">
        <v>180</v>
      </c>
      <c r="B169" s="1">
        <v>5</v>
      </c>
      <c r="C169" s="1">
        <v>262</v>
      </c>
      <c r="D169" s="1">
        <v>46.42</v>
      </c>
    </row>
    <row r="170" spans="1:4" x14ac:dyDescent="0.2">
      <c r="A170" s="1" t="s">
        <v>181</v>
      </c>
      <c r="B170" s="1">
        <v>24</v>
      </c>
      <c r="C170" s="1">
        <v>780</v>
      </c>
      <c r="D170" s="1">
        <v>48.14</v>
      </c>
    </row>
    <row r="171" spans="1:4" x14ac:dyDescent="0.2">
      <c r="A171" s="1" t="s">
        <v>182</v>
      </c>
      <c r="B171" s="1">
        <v>12</v>
      </c>
      <c r="C171" s="1">
        <v>135</v>
      </c>
      <c r="D171" s="1">
        <v>52.8</v>
      </c>
    </row>
    <row r="172" spans="1:4" x14ac:dyDescent="0.2">
      <c r="A172" s="1" t="s">
        <v>183</v>
      </c>
      <c r="B172" s="1">
        <v>7</v>
      </c>
      <c r="C172" s="1">
        <v>103</v>
      </c>
      <c r="D172" s="1">
        <v>51.64</v>
      </c>
    </row>
    <row r="173" spans="1:4" x14ac:dyDescent="0.2">
      <c r="A173" s="1" t="s">
        <v>184</v>
      </c>
      <c r="B173" s="1">
        <v>10</v>
      </c>
      <c r="C173" s="1">
        <v>155</v>
      </c>
      <c r="D173" s="1">
        <v>50.79</v>
      </c>
    </row>
    <row r="174" spans="1:4" x14ac:dyDescent="0.2">
      <c r="A174" s="1" t="s">
        <v>185</v>
      </c>
      <c r="B174" s="1">
        <v>5</v>
      </c>
      <c r="C174" s="1">
        <v>52</v>
      </c>
      <c r="D174" s="1">
        <v>60.9</v>
      </c>
    </row>
    <row r="175" spans="1:4" x14ac:dyDescent="0.2">
      <c r="A175" s="1" t="s">
        <v>186</v>
      </c>
      <c r="B175" s="1">
        <v>3</v>
      </c>
      <c r="C175" s="1">
        <v>57</v>
      </c>
      <c r="D175" s="1">
        <v>59.86</v>
      </c>
    </row>
    <row r="176" spans="1:4" x14ac:dyDescent="0.2">
      <c r="A176" s="1" t="s">
        <v>187</v>
      </c>
      <c r="B176" s="1">
        <v>9</v>
      </c>
      <c r="C176" s="1">
        <v>115</v>
      </c>
      <c r="D176" s="1">
        <v>52.48</v>
      </c>
    </row>
    <row r="177" spans="1:4" x14ac:dyDescent="0.2">
      <c r="A177" s="1" t="s">
        <v>188</v>
      </c>
      <c r="B177" s="1">
        <v>6</v>
      </c>
      <c r="C177" s="1">
        <v>7</v>
      </c>
      <c r="D177" s="1">
        <v>90.91</v>
      </c>
    </row>
    <row r="178" spans="1:4" x14ac:dyDescent="0.2">
      <c r="A178" s="1" t="s">
        <v>189</v>
      </c>
      <c r="B178" s="1">
        <v>5</v>
      </c>
      <c r="C178" s="1">
        <v>5</v>
      </c>
      <c r="D178" s="1">
        <v>91.07</v>
      </c>
    </row>
    <row r="179" spans="1:4" x14ac:dyDescent="0.2">
      <c r="A179" s="1" t="s">
        <v>190</v>
      </c>
      <c r="B179" s="1">
        <v>5</v>
      </c>
      <c r="C179" s="1">
        <v>5</v>
      </c>
      <c r="D179" s="1">
        <v>91.8</v>
      </c>
    </row>
    <row r="180" spans="1:4" x14ac:dyDescent="0.2">
      <c r="A180" s="1" t="s">
        <v>191</v>
      </c>
      <c r="B180" s="1">
        <v>5</v>
      </c>
      <c r="C180" s="1">
        <v>5</v>
      </c>
      <c r="D180" s="1">
        <v>90</v>
      </c>
    </row>
    <row r="181" spans="1:4" x14ac:dyDescent="0.2">
      <c r="A181" s="1" t="s">
        <v>192</v>
      </c>
      <c r="B181" s="1">
        <v>5</v>
      </c>
      <c r="C181" s="1">
        <v>77</v>
      </c>
      <c r="D181" s="1">
        <v>54.44</v>
      </c>
    </row>
    <row r="182" spans="1:4" x14ac:dyDescent="0.2">
      <c r="A182" s="1" t="s">
        <v>193</v>
      </c>
      <c r="B182" s="1">
        <v>2</v>
      </c>
      <c r="C182" s="1">
        <v>6</v>
      </c>
      <c r="D182" s="1">
        <v>88.89</v>
      </c>
    </row>
    <row r="183" spans="1:4" x14ac:dyDescent="0.2">
      <c r="A183" s="1" t="s">
        <v>194</v>
      </c>
      <c r="B183" s="1">
        <v>6</v>
      </c>
      <c r="C183" s="1">
        <v>106</v>
      </c>
      <c r="D183" s="1">
        <v>46.46</v>
      </c>
    </row>
    <row r="184" spans="1:4" x14ac:dyDescent="0.2">
      <c r="A184" s="1" t="s">
        <v>195</v>
      </c>
      <c r="B184" s="1">
        <v>6</v>
      </c>
      <c r="C184" s="1">
        <v>54</v>
      </c>
      <c r="D184" s="1">
        <v>55.74</v>
      </c>
    </row>
    <row r="185" spans="1:4" x14ac:dyDescent="0.2">
      <c r="A185" s="1" t="s">
        <v>196</v>
      </c>
      <c r="B185" s="1">
        <v>4</v>
      </c>
      <c r="C185" s="1">
        <v>64</v>
      </c>
      <c r="D185" s="1">
        <v>54.61</v>
      </c>
    </row>
    <row r="186" spans="1:4" x14ac:dyDescent="0.2">
      <c r="A186" s="1" t="s">
        <v>197</v>
      </c>
      <c r="B186" s="1">
        <v>6</v>
      </c>
      <c r="C186" s="1">
        <v>128</v>
      </c>
      <c r="D186" s="1">
        <v>48.18</v>
      </c>
    </row>
    <row r="187" spans="1:4" x14ac:dyDescent="0.2">
      <c r="A187" s="1" t="s">
        <v>198</v>
      </c>
      <c r="B187" s="1">
        <v>6</v>
      </c>
      <c r="C187" s="1">
        <v>124</v>
      </c>
      <c r="D187" s="1">
        <v>48.97</v>
      </c>
    </row>
    <row r="188" spans="1:4" x14ac:dyDescent="0.2">
      <c r="A188" s="1" t="s">
        <v>199</v>
      </c>
      <c r="B188" s="1">
        <v>7</v>
      </c>
      <c r="C188" s="1">
        <v>28</v>
      </c>
      <c r="D188" s="1">
        <v>69.569999999999993</v>
      </c>
    </row>
    <row r="189" spans="1:4" x14ac:dyDescent="0.2">
      <c r="A189" s="1" t="s">
        <v>200</v>
      </c>
      <c r="B189" s="1">
        <v>9</v>
      </c>
      <c r="C189" s="1">
        <v>76</v>
      </c>
      <c r="D189" s="1">
        <v>55.29</v>
      </c>
    </row>
    <row r="190" spans="1:4" x14ac:dyDescent="0.2">
      <c r="A190" s="1" t="s">
        <v>201</v>
      </c>
      <c r="B190" s="1">
        <v>10</v>
      </c>
      <c r="C190" s="1">
        <v>112</v>
      </c>
      <c r="D190" s="1">
        <v>47.17</v>
      </c>
    </row>
    <row r="191" spans="1:4" x14ac:dyDescent="0.2">
      <c r="A191" s="1" t="s">
        <v>202</v>
      </c>
      <c r="B191" s="1">
        <v>6</v>
      </c>
      <c r="C191" s="1">
        <v>11</v>
      </c>
      <c r="D191" s="1">
        <v>87.06</v>
      </c>
    </row>
    <row r="192" spans="1:4" x14ac:dyDescent="0.2">
      <c r="A192" s="1" t="s">
        <v>203</v>
      </c>
      <c r="B192" s="1">
        <v>4</v>
      </c>
      <c r="C192" s="1">
        <v>5</v>
      </c>
      <c r="D192" s="1">
        <v>90.74</v>
      </c>
    </row>
    <row r="193" spans="1:4" x14ac:dyDescent="0.2">
      <c r="A193" s="1" t="s">
        <v>204</v>
      </c>
      <c r="B193" s="1">
        <v>6</v>
      </c>
      <c r="C193" s="1">
        <v>47</v>
      </c>
      <c r="D193" s="1">
        <v>64.66</v>
      </c>
    </row>
    <row r="194" spans="1:4" x14ac:dyDescent="0.2">
      <c r="A194" s="1" t="s">
        <v>205</v>
      </c>
      <c r="B194" s="1">
        <v>8</v>
      </c>
      <c r="C194" s="1">
        <v>57</v>
      </c>
      <c r="D194" s="1">
        <v>60.42</v>
      </c>
    </row>
    <row r="195" spans="1:4" x14ac:dyDescent="0.2">
      <c r="A195" s="1" t="s">
        <v>206</v>
      </c>
      <c r="B195" s="1">
        <v>3</v>
      </c>
      <c r="C195" s="1">
        <v>43</v>
      </c>
      <c r="D195" s="1">
        <v>63.87</v>
      </c>
    </row>
    <row r="196" spans="1:4" x14ac:dyDescent="0.2">
      <c r="A196" s="1" t="s">
        <v>207</v>
      </c>
      <c r="B196" s="1">
        <v>5</v>
      </c>
      <c r="C196" s="1">
        <v>57</v>
      </c>
      <c r="D196" s="1">
        <v>58.39</v>
      </c>
    </row>
    <row r="197" spans="1:4" x14ac:dyDescent="0.2">
      <c r="A197" s="1" t="s">
        <v>208</v>
      </c>
      <c r="B197" s="1">
        <v>2</v>
      </c>
      <c r="C197" s="1">
        <v>47</v>
      </c>
      <c r="D197" s="1">
        <v>59.13</v>
      </c>
    </row>
    <row r="198" spans="1:4" x14ac:dyDescent="0.2">
      <c r="A198" s="1" t="s">
        <v>209</v>
      </c>
      <c r="B198" s="1">
        <v>7</v>
      </c>
      <c r="C198" s="1">
        <v>85</v>
      </c>
      <c r="D198" s="1">
        <v>63.04</v>
      </c>
    </row>
    <row r="199" spans="1:4" x14ac:dyDescent="0.2">
      <c r="A199" s="1" t="s">
        <v>210</v>
      </c>
      <c r="B199" s="1">
        <v>8</v>
      </c>
      <c r="C199" s="1">
        <v>37</v>
      </c>
      <c r="D199" s="1">
        <v>71.319999999999993</v>
      </c>
    </row>
    <row r="200" spans="1:4" x14ac:dyDescent="0.2">
      <c r="A200" s="1" t="s">
        <v>211</v>
      </c>
      <c r="B200" s="1">
        <v>6</v>
      </c>
      <c r="C200" s="1">
        <v>58</v>
      </c>
      <c r="D200" s="1">
        <v>66.47</v>
      </c>
    </row>
    <row r="201" spans="1:4" x14ac:dyDescent="0.2">
      <c r="A201" s="1" t="s">
        <v>212</v>
      </c>
      <c r="B201" s="1">
        <v>9</v>
      </c>
      <c r="C201" s="1">
        <v>58</v>
      </c>
      <c r="D201" s="1">
        <v>61.59</v>
      </c>
    </row>
    <row r="202" spans="1:4" x14ac:dyDescent="0.2">
      <c r="A202" s="1" t="s">
        <v>213</v>
      </c>
      <c r="B202" s="1">
        <v>6</v>
      </c>
      <c r="C202" s="1">
        <v>59</v>
      </c>
      <c r="D202" s="1">
        <v>66.09</v>
      </c>
    </row>
    <row r="203" spans="1:4" x14ac:dyDescent="0.2">
      <c r="A203" s="1" t="s">
        <v>214</v>
      </c>
      <c r="B203" s="1">
        <v>7</v>
      </c>
      <c r="C203" s="1">
        <v>109</v>
      </c>
      <c r="D203" s="1">
        <v>52.81</v>
      </c>
    </row>
    <row r="204" spans="1:4" x14ac:dyDescent="0.2">
      <c r="A204" s="1" t="s">
        <v>215</v>
      </c>
      <c r="B204" s="1">
        <v>5</v>
      </c>
      <c r="C204" s="1">
        <v>70</v>
      </c>
      <c r="D204" s="1">
        <v>55.13</v>
      </c>
    </row>
    <row r="205" spans="1:4" x14ac:dyDescent="0.2">
      <c r="A205" s="1" t="s">
        <v>216</v>
      </c>
      <c r="B205" s="1">
        <v>4</v>
      </c>
      <c r="C205" s="1">
        <v>5</v>
      </c>
      <c r="D205" s="1">
        <v>90.74</v>
      </c>
    </row>
    <row r="206" spans="1:4" x14ac:dyDescent="0.2">
      <c r="A206" s="1" t="s">
        <v>217</v>
      </c>
      <c r="B206" s="1">
        <v>5</v>
      </c>
      <c r="C206" s="1">
        <v>5</v>
      </c>
      <c r="D206" s="1">
        <v>91.23</v>
      </c>
    </row>
    <row r="207" spans="1:4" x14ac:dyDescent="0.2">
      <c r="A207" s="1" t="s">
        <v>218</v>
      </c>
      <c r="B207" s="1">
        <v>4</v>
      </c>
      <c r="C207" s="1">
        <v>5</v>
      </c>
      <c r="D207" s="1">
        <v>90.57</v>
      </c>
    </row>
    <row r="208" spans="1:4" x14ac:dyDescent="0.2">
      <c r="A208" s="1" t="s">
        <v>219</v>
      </c>
      <c r="B208" s="1">
        <v>4</v>
      </c>
      <c r="C208" s="1">
        <v>5</v>
      </c>
      <c r="D208" s="1">
        <v>90.57</v>
      </c>
    </row>
    <row r="209" spans="1:4" x14ac:dyDescent="0.2">
      <c r="A209" s="1" t="s">
        <v>220</v>
      </c>
      <c r="B209" s="1">
        <v>8</v>
      </c>
      <c r="C209" s="1">
        <v>334</v>
      </c>
      <c r="D209" s="1">
        <v>51.1</v>
      </c>
    </row>
    <row r="210" spans="1:4" x14ac:dyDescent="0.2">
      <c r="A210" s="1" t="s">
        <v>221</v>
      </c>
      <c r="B210" s="1">
        <v>6</v>
      </c>
      <c r="C210" s="1">
        <v>468</v>
      </c>
      <c r="D210" s="1">
        <v>52.39</v>
      </c>
    </row>
    <row r="211" spans="1:4" x14ac:dyDescent="0.2">
      <c r="A211" s="1" t="s">
        <v>222</v>
      </c>
      <c r="B211" s="1">
        <v>3</v>
      </c>
      <c r="C211" s="1">
        <v>69</v>
      </c>
      <c r="D211" s="1">
        <v>59.41</v>
      </c>
    </row>
    <row r="212" spans="1:4" x14ac:dyDescent="0.2">
      <c r="A212" s="1" t="s">
        <v>223</v>
      </c>
      <c r="B212" s="1">
        <v>3</v>
      </c>
      <c r="C212" s="1">
        <v>56</v>
      </c>
      <c r="D212" s="1">
        <v>60.56</v>
      </c>
    </row>
    <row r="213" spans="1:4" x14ac:dyDescent="0.2">
      <c r="A213" s="1" t="s">
        <v>224</v>
      </c>
      <c r="B213" s="1">
        <v>2</v>
      </c>
      <c r="C213" s="1">
        <v>5</v>
      </c>
      <c r="D213" s="1">
        <v>90</v>
      </c>
    </row>
    <row r="214" spans="1:4" x14ac:dyDescent="0.2">
      <c r="A214" s="1" t="s">
        <v>225</v>
      </c>
      <c r="B214" s="1">
        <v>2</v>
      </c>
      <c r="C214" s="1">
        <v>5</v>
      </c>
      <c r="D214" s="1">
        <v>88.89</v>
      </c>
    </row>
    <row r="215" spans="1:4" x14ac:dyDescent="0.2">
      <c r="A215" s="1" t="s">
        <v>226</v>
      </c>
      <c r="B215" s="1">
        <v>7</v>
      </c>
      <c r="C215" s="1">
        <v>347</v>
      </c>
      <c r="D215" s="1">
        <v>43.76</v>
      </c>
    </row>
    <row r="216" spans="1:4" x14ac:dyDescent="0.2">
      <c r="A216" s="1" t="s">
        <v>227</v>
      </c>
      <c r="B216" s="1">
        <v>5</v>
      </c>
      <c r="C216" s="1">
        <v>392</v>
      </c>
      <c r="D216" s="1">
        <v>40.79</v>
      </c>
    </row>
    <row r="217" spans="1:4" x14ac:dyDescent="0.2">
      <c r="A217" s="1" t="s">
        <v>228</v>
      </c>
      <c r="B217" s="1">
        <v>4</v>
      </c>
      <c r="C217" s="1">
        <v>64</v>
      </c>
      <c r="D217" s="1">
        <v>59.24</v>
      </c>
    </row>
    <row r="218" spans="1:4" x14ac:dyDescent="0.2">
      <c r="A218" s="1" t="s">
        <v>229</v>
      </c>
      <c r="B218" s="1">
        <v>7</v>
      </c>
      <c r="C218" s="1">
        <v>69</v>
      </c>
      <c r="D218" s="1">
        <v>60.34</v>
      </c>
    </row>
    <row r="219" spans="1:4" x14ac:dyDescent="0.2">
      <c r="A219" s="1" t="s">
        <v>230</v>
      </c>
      <c r="B219" s="1">
        <v>32</v>
      </c>
      <c r="C219" s="1">
        <v>2415</v>
      </c>
      <c r="D219" s="1">
        <v>46.61</v>
      </c>
    </row>
    <row r="220" spans="1:4" x14ac:dyDescent="0.2">
      <c r="A220" s="1" t="s">
        <v>231</v>
      </c>
      <c r="B220" s="1">
        <v>3</v>
      </c>
      <c r="C220" s="1">
        <v>6</v>
      </c>
      <c r="D220" s="1">
        <v>87.23</v>
      </c>
    </row>
    <row r="221" spans="1:4" x14ac:dyDescent="0.2">
      <c r="A221" s="1" t="s">
        <v>232</v>
      </c>
      <c r="B221" s="1">
        <v>14</v>
      </c>
      <c r="C221" s="1">
        <v>358</v>
      </c>
      <c r="D221" s="1">
        <v>41.6</v>
      </c>
    </row>
    <row r="222" spans="1:4" x14ac:dyDescent="0.2">
      <c r="A222" s="1" t="s">
        <v>233</v>
      </c>
      <c r="B222" s="1">
        <v>15</v>
      </c>
      <c r="C222" s="1">
        <v>396</v>
      </c>
      <c r="D222" s="1">
        <v>42.69</v>
      </c>
    </row>
    <row r="223" spans="1:4" x14ac:dyDescent="0.2">
      <c r="A223" s="1" t="s">
        <v>234</v>
      </c>
      <c r="B223" s="1">
        <v>12</v>
      </c>
      <c r="C223" s="1">
        <v>307</v>
      </c>
      <c r="D223" s="1">
        <v>40.39</v>
      </c>
    </row>
    <row r="224" spans="1:4" x14ac:dyDescent="0.2">
      <c r="A224" s="1" t="s">
        <v>235</v>
      </c>
      <c r="B224" s="1">
        <v>16</v>
      </c>
      <c r="C224" s="1">
        <v>371</v>
      </c>
      <c r="D224" s="1">
        <v>42.57</v>
      </c>
    </row>
    <row r="225" spans="1:4" x14ac:dyDescent="0.2">
      <c r="A225" s="1" t="s">
        <v>236</v>
      </c>
      <c r="B225" s="1">
        <v>2</v>
      </c>
      <c r="C225" s="1">
        <v>78</v>
      </c>
      <c r="D225" s="1">
        <v>50</v>
      </c>
    </row>
    <row r="226" spans="1:4" x14ac:dyDescent="0.2">
      <c r="A226" s="1" t="s">
        <v>237</v>
      </c>
      <c r="B226" s="1">
        <v>5</v>
      </c>
      <c r="C226" s="1">
        <v>438</v>
      </c>
      <c r="D226" s="1">
        <v>43.56</v>
      </c>
    </row>
    <row r="227" spans="1:4" x14ac:dyDescent="0.2">
      <c r="A227" s="1" t="s">
        <v>238</v>
      </c>
      <c r="B227" s="1">
        <v>2</v>
      </c>
      <c r="C227" s="1">
        <v>41</v>
      </c>
      <c r="D227" s="1">
        <v>62.73</v>
      </c>
    </row>
    <row r="228" spans="1:4" x14ac:dyDescent="0.2">
      <c r="A228" s="1" t="s">
        <v>239</v>
      </c>
      <c r="B228" s="1">
        <v>2</v>
      </c>
      <c r="C228" s="1">
        <v>87</v>
      </c>
      <c r="D228" s="1">
        <v>45.96</v>
      </c>
    </row>
    <row r="229" spans="1:4" x14ac:dyDescent="0.2">
      <c r="A229" s="1" t="s">
        <v>240</v>
      </c>
      <c r="B229" s="1">
        <v>3</v>
      </c>
      <c r="C229" s="1">
        <v>178</v>
      </c>
      <c r="D229" s="1">
        <v>52.66</v>
      </c>
    </row>
    <row r="230" spans="1:4" x14ac:dyDescent="0.2">
      <c r="A230" s="1" t="s">
        <v>241</v>
      </c>
      <c r="B230" s="1">
        <v>3</v>
      </c>
      <c r="C230" s="1">
        <v>61</v>
      </c>
      <c r="D230" s="1">
        <v>53.79</v>
      </c>
    </row>
    <row r="231" spans="1:4" x14ac:dyDescent="0.2">
      <c r="A231" s="1" t="s">
        <v>242</v>
      </c>
      <c r="B231" s="1">
        <v>3</v>
      </c>
      <c r="C231" s="1">
        <v>59</v>
      </c>
      <c r="D231" s="1">
        <v>54.62</v>
      </c>
    </row>
    <row r="232" spans="1:4" x14ac:dyDescent="0.2">
      <c r="A232" s="1" t="s">
        <v>243</v>
      </c>
      <c r="B232" s="1">
        <v>2</v>
      </c>
      <c r="C232" s="1">
        <v>51</v>
      </c>
      <c r="D232" s="1">
        <v>57.5</v>
      </c>
    </row>
    <row r="233" spans="1:4" x14ac:dyDescent="0.2">
      <c r="A233" s="1" t="s">
        <v>244</v>
      </c>
      <c r="B233" s="1">
        <v>2</v>
      </c>
      <c r="C233" s="1">
        <v>70</v>
      </c>
      <c r="D233" s="1">
        <v>50</v>
      </c>
    </row>
    <row r="234" spans="1:4" x14ac:dyDescent="0.2">
      <c r="A234" s="1" t="s">
        <v>245</v>
      </c>
      <c r="B234" s="1">
        <v>2</v>
      </c>
      <c r="C234" s="1">
        <v>49</v>
      </c>
      <c r="D234" s="1">
        <v>58.82</v>
      </c>
    </row>
    <row r="235" spans="1:4" x14ac:dyDescent="0.2">
      <c r="A235" s="1" t="s">
        <v>246</v>
      </c>
      <c r="B235" s="1">
        <v>2</v>
      </c>
      <c r="C235" s="1">
        <v>45</v>
      </c>
      <c r="D235" s="1">
        <v>58.72</v>
      </c>
    </row>
    <row r="236" spans="1:4" x14ac:dyDescent="0.2">
      <c r="A236" s="1" t="s">
        <v>247</v>
      </c>
      <c r="B236" s="1">
        <v>16</v>
      </c>
      <c r="C236" s="1">
        <v>298</v>
      </c>
      <c r="D236" s="1">
        <v>55.79</v>
      </c>
    </row>
    <row r="237" spans="1:4" x14ac:dyDescent="0.2">
      <c r="A237" s="1" t="s">
        <v>248</v>
      </c>
      <c r="B237" s="1">
        <v>7</v>
      </c>
      <c r="C237" s="1">
        <v>109</v>
      </c>
      <c r="D237" s="1">
        <v>66.36</v>
      </c>
    </row>
    <row r="238" spans="1:4" x14ac:dyDescent="0.2">
      <c r="A238" s="1" t="s">
        <v>249</v>
      </c>
      <c r="B238" s="1">
        <v>5</v>
      </c>
      <c r="C238" s="1">
        <v>5</v>
      </c>
      <c r="D238" s="1">
        <v>91.67</v>
      </c>
    </row>
    <row r="239" spans="1:4" x14ac:dyDescent="0.2">
      <c r="A239" s="1" t="s">
        <v>250</v>
      </c>
      <c r="B239" s="1">
        <v>8</v>
      </c>
      <c r="C239" s="1">
        <v>276</v>
      </c>
      <c r="D239" s="1">
        <v>40.39</v>
      </c>
    </row>
    <row r="240" spans="1:4" x14ac:dyDescent="0.2">
      <c r="A240" s="1" t="s">
        <v>251</v>
      </c>
      <c r="B240" s="1">
        <v>6</v>
      </c>
      <c r="C240" s="1">
        <v>74</v>
      </c>
      <c r="D240" s="1">
        <v>61.66</v>
      </c>
    </row>
    <row r="241" spans="1:4" x14ac:dyDescent="0.2">
      <c r="A241" s="1" t="s">
        <v>252</v>
      </c>
      <c r="B241" s="1">
        <v>10</v>
      </c>
      <c r="C241" s="1">
        <v>228</v>
      </c>
      <c r="D241" s="1">
        <v>51.18</v>
      </c>
    </row>
    <row r="242" spans="1:4" x14ac:dyDescent="0.2">
      <c r="A242" s="1" t="s">
        <v>253</v>
      </c>
      <c r="B242" s="1">
        <v>11</v>
      </c>
      <c r="C242" s="1">
        <v>100</v>
      </c>
      <c r="D242" s="1">
        <v>58.68</v>
      </c>
    </row>
    <row r="243" spans="1:4" x14ac:dyDescent="0.2">
      <c r="A243" s="1" t="s">
        <v>254</v>
      </c>
      <c r="B243" s="1">
        <v>10</v>
      </c>
      <c r="C243" s="1">
        <v>131</v>
      </c>
      <c r="D243" s="1">
        <v>57.05</v>
      </c>
    </row>
    <row r="244" spans="1:4" x14ac:dyDescent="0.2">
      <c r="A244" s="1" t="s">
        <v>255</v>
      </c>
      <c r="B244" s="1">
        <v>4</v>
      </c>
      <c r="C244" s="1">
        <v>7</v>
      </c>
      <c r="D244" s="1">
        <v>88.14</v>
      </c>
    </row>
    <row r="245" spans="1:4" x14ac:dyDescent="0.2">
      <c r="A245" s="1" t="s">
        <v>256</v>
      </c>
      <c r="B245" s="1">
        <v>4</v>
      </c>
      <c r="C245" s="1">
        <v>14</v>
      </c>
      <c r="D245" s="1">
        <v>86.27</v>
      </c>
    </row>
    <row r="246" spans="1:4" x14ac:dyDescent="0.2">
      <c r="A246" s="1" t="s">
        <v>257</v>
      </c>
      <c r="B246" s="1">
        <v>3</v>
      </c>
      <c r="C246" s="1">
        <v>12</v>
      </c>
      <c r="D246" s="1">
        <v>80.650000000000006</v>
      </c>
    </row>
    <row r="247" spans="1:4" x14ac:dyDescent="0.2">
      <c r="A247" s="1" t="s">
        <v>258</v>
      </c>
      <c r="B247" s="1">
        <v>4</v>
      </c>
      <c r="C247" s="1">
        <v>5</v>
      </c>
      <c r="D247" s="1">
        <v>90.2</v>
      </c>
    </row>
    <row r="248" spans="1:4" x14ac:dyDescent="0.2">
      <c r="A248" s="1" t="s">
        <v>259</v>
      </c>
      <c r="B248" s="1">
        <v>16</v>
      </c>
      <c r="C248" s="1">
        <v>373</v>
      </c>
      <c r="D248" s="1">
        <v>50.4</v>
      </c>
    </row>
    <row r="249" spans="1:4" x14ac:dyDescent="0.2">
      <c r="A249" s="1" t="s">
        <v>260</v>
      </c>
      <c r="B249" s="1">
        <v>10</v>
      </c>
      <c r="C249" s="1">
        <v>279</v>
      </c>
      <c r="D249" s="1">
        <v>50.36</v>
      </c>
    </row>
    <row r="250" spans="1:4" x14ac:dyDescent="0.2">
      <c r="A250" s="1" t="s">
        <v>261</v>
      </c>
      <c r="B250" s="1">
        <v>4</v>
      </c>
      <c r="C250" s="1">
        <v>5</v>
      </c>
      <c r="D250" s="1">
        <v>92.06</v>
      </c>
    </row>
    <row r="251" spans="1:4" x14ac:dyDescent="0.2">
      <c r="A251" s="1" t="s">
        <v>262</v>
      </c>
      <c r="B251" s="1">
        <v>12</v>
      </c>
      <c r="C251" s="1">
        <v>159</v>
      </c>
      <c r="D251" s="1">
        <v>55.96</v>
      </c>
    </row>
    <row r="252" spans="1:4" x14ac:dyDescent="0.2">
      <c r="A252" s="1" t="s">
        <v>263</v>
      </c>
      <c r="B252" s="1">
        <v>16</v>
      </c>
      <c r="C252" s="1">
        <v>327</v>
      </c>
      <c r="D252" s="1">
        <v>52.61</v>
      </c>
    </row>
    <row r="253" spans="1:4" x14ac:dyDescent="0.2">
      <c r="A253" s="1" t="s">
        <v>264</v>
      </c>
      <c r="B253" s="1">
        <v>10</v>
      </c>
      <c r="C253" s="1">
        <v>149</v>
      </c>
      <c r="D253" s="1">
        <v>53.73</v>
      </c>
    </row>
    <row r="254" spans="1:4" x14ac:dyDescent="0.2">
      <c r="A254" s="1" t="s">
        <v>265</v>
      </c>
      <c r="B254" s="1">
        <v>10</v>
      </c>
      <c r="C254" s="1">
        <v>181</v>
      </c>
      <c r="D254" s="1">
        <v>53.71</v>
      </c>
    </row>
    <row r="255" spans="1:4" x14ac:dyDescent="0.2">
      <c r="A255" s="1" t="s">
        <v>266</v>
      </c>
      <c r="B255" s="1">
        <v>11</v>
      </c>
      <c r="C255" s="1">
        <v>417</v>
      </c>
      <c r="D255" s="1">
        <v>54.58</v>
      </c>
    </row>
    <row r="256" spans="1:4" x14ac:dyDescent="0.2">
      <c r="A256" s="1" t="s">
        <v>267</v>
      </c>
      <c r="B256" s="1">
        <v>6</v>
      </c>
      <c r="C256" s="1">
        <v>6</v>
      </c>
      <c r="D256" s="1">
        <v>87.5</v>
      </c>
    </row>
    <row r="257" spans="1:4" x14ac:dyDescent="0.2">
      <c r="A257" s="1" t="s">
        <v>268</v>
      </c>
      <c r="B257" s="1">
        <v>5</v>
      </c>
      <c r="C257" s="1">
        <v>12</v>
      </c>
      <c r="D257" s="1">
        <v>86.36</v>
      </c>
    </row>
    <row r="258" spans="1:4" x14ac:dyDescent="0.2">
      <c r="A258" s="1" t="s">
        <v>269</v>
      </c>
      <c r="B258" s="1">
        <v>15</v>
      </c>
      <c r="C258" s="1">
        <v>507</v>
      </c>
      <c r="D258" s="1">
        <v>47.95</v>
      </c>
    </row>
    <row r="259" spans="1:4" x14ac:dyDescent="0.2">
      <c r="A259" s="1" t="s">
        <v>270</v>
      </c>
      <c r="B259" s="1">
        <v>3</v>
      </c>
      <c r="C259" s="1">
        <v>455</v>
      </c>
      <c r="D259" s="1">
        <v>39.74</v>
      </c>
    </row>
    <row r="260" spans="1:4" x14ac:dyDescent="0.2">
      <c r="A260" s="1" t="s">
        <v>271</v>
      </c>
      <c r="B260" s="1">
        <v>8</v>
      </c>
      <c r="C260" s="1">
        <v>82</v>
      </c>
      <c r="D260" s="1">
        <v>58.38</v>
      </c>
    </row>
    <row r="261" spans="1:4" x14ac:dyDescent="0.2">
      <c r="A261" s="1" t="s">
        <v>272</v>
      </c>
      <c r="B261" s="1">
        <v>13</v>
      </c>
      <c r="C261" s="1">
        <v>268</v>
      </c>
      <c r="D261" s="1">
        <v>55.56</v>
      </c>
    </row>
    <row r="262" spans="1:4" x14ac:dyDescent="0.2">
      <c r="A262" s="1" t="s">
        <v>273</v>
      </c>
      <c r="B262" s="1">
        <v>9</v>
      </c>
      <c r="C262" s="1">
        <v>89</v>
      </c>
      <c r="D262" s="1">
        <v>55.05</v>
      </c>
    </row>
    <row r="263" spans="1:4" x14ac:dyDescent="0.2">
      <c r="A263" s="1" t="s">
        <v>274</v>
      </c>
      <c r="B263" s="1">
        <v>19</v>
      </c>
      <c r="C263" s="1">
        <v>643</v>
      </c>
      <c r="D263" s="1">
        <v>44.71</v>
      </c>
    </row>
    <row r="264" spans="1:4" x14ac:dyDescent="0.2">
      <c r="A264" s="1" t="s">
        <v>275</v>
      </c>
      <c r="B264" s="1">
        <v>4</v>
      </c>
      <c r="C264" s="1">
        <v>11</v>
      </c>
      <c r="D264" s="1">
        <v>86.25</v>
      </c>
    </row>
    <row r="265" spans="1:4" x14ac:dyDescent="0.2">
      <c r="A265" s="1" t="s">
        <v>276</v>
      </c>
      <c r="B265" s="1">
        <v>2</v>
      </c>
      <c r="C265" s="1">
        <v>24</v>
      </c>
      <c r="D265" s="1">
        <v>75</v>
      </c>
    </row>
    <row r="266" spans="1:4" x14ac:dyDescent="0.2">
      <c r="A266" s="1" t="s">
        <v>277</v>
      </c>
      <c r="B266" s="1">
        <v>5</v>
      </c>
      <c r="C266" s="1">
        <v>355</v>
      </c>
      <c r="D266" s="1">
        <v>38.15</v>
      </c>
    </row>
    <row r="267" spans="1:4" x14ac:dyDescent="0.2">
      <c r="A267" s="1" t="s">
        <v>278</v>
      </c>
      <c r="B267" s="1">
        <v>2</v>
      </c>
      <c r="C267" s="1">
        <v>106</v>
      </c>
      <c r="D267" s="1">
        <v>46.46</v>
      </c>
    </row>
    <row r="268" spans="1:4" x14ac:dyDescent="0.2">
      <c r="A268" s="1" t="s">
        <v>279</v>
      </c>
      <c r="B268" s="1">
        <v>2</v>
      </c>
      <c r="C268" s="1">
        <v>6</v>
      </c>
      <c r="D268" s="1">
        <v>87.5</v>
      </c>
    </row>
    <row r="269" spans="1:4" x14ac:dyDescent="0.2">
      <c r="A269" s="1" t="s">
        <v>280</v>
      </c>
      <c r="B269" s="1">
        <v>2</v>
      </c>
      <c r="C269" s="1">
        <v>114</v>
      </c>
      <c r="D269" s="1">
        <v>54.94</v>
      </c>
    </row>
    <row r="270" spans="1:4" x14ac:dyDescent="0.2">
      <c r="A270" s="1" t="s">
        <v>281</v>
      </c>
      <c r="B270" s="1">
        <v>6</v>
      </c>
      <c r="C270" s="1">
        <v>1547</v>
      </c>
      <c r="D270" s="1">
        <v>47.04</v>
      </c>
    </row>
    <row r="271" spans="1:4" x14ac:dyDescent="0.2">
      <c r="A271" s="1" t="s">
        <v>282</v>
      </c>
      <c r="B271" s="1">
        <v>2</v>
      </c>
      <c r="C271" s="1">
        <v>81</v>
      </c>
      <c r="D271" s="1">
        <v>66.11</v>
      </c>
    </row>
    <row r="272" spans="1:4" x14ac:dyDescent="0.2">
      <c r="A272" s="1" t="s">
        <v>283</v>
      </c>
      <c r="B272" s="1">
        <v>22</v>
      </c>
      <c r="C272" s="1">
        <v>656</v>
      </c>
      <c r="D272" s="1">
        <v>50.27</v>
      </c>
    </row>
    <row r="273" spans="1:4" x14ac:dyDescent="0.2">
      <c r="A273" s="1" t="s">
        <v>284</v>
      </c>
      <c r="B273" s="1">
        <v>4</v>
      </c>
      <c r="C273" s="1">
        <v>11</v>
      </c>
      <c r="D273" s="1">
        <v>83.08</v>
      </c>
    </row>
    <row r="274" spans="1:4" x14ac:dyDescent="0.2">
      <c r="A274" s="1" t="s">
        <v>285</v>
      </c>
      <c r="B274" s="1">
        <v>11</v>
      </c>
      <c r="C274" s="1">
        <v>117</v>
      </c>
      <c r="D274" s="1">
        <v>55.68</v>
      </c>
    </row>
    <row r="275" spans="1:4" x14ac:dyDescent="0.2">
      <c r="A275" s="1" t="s">
        <v>286</v>
      </c>
      <c r="B275" s="1">
        <v>4</v>
      </c>
      <c r="C275" s="1">
        <v>14</v>
      </c>
      <c r="D275" s="1">
        <v>77.05</v>
      </c>
    </row>
    <row r="276" spans="1:4" x14ac:dyDescent="0.2">
      <c r="A276" s="1" t="s">
        <v>287</v>
      </c>
      <c r="B276" s="1">
        <v>6</v>
      </c>
      <c r="C276" s="1">
        <v>11</v>
      </c>
      <c r="D276" s="1">
        <v>82.26</v>
      </c>
    </row>
    <row r="277" spans="1:4" x14ac:dyDescent="0.2">
      <c r="A277" s="1" t="s">
        <v>288</v>
      </c>
      <c r="B277" s="1">
        <v>27</v>
      </c>
      <c r="C277" s="1">
        <v>988</v>
      </c>
      <c r="D277" s="1">
        <v>46.33</v>
      </c>
    </row>
    <row r="278" spans="1:4" x14ac:dyDescent="0.2">
      <c r="A278" s="1" t="s">
        <v>289</v>
      </c>
      <c r="B278" s="1">
        <v>22</v>
      </c>
      <c r="C278" s="1">
        <v>331</v>
      </c>
      <c r="D278" s="1">
        <v>47.46</v>
      </c>
    </row>
    <row r="279" spans="1:4" x14ac:dyDescent="0.2">
      <c r="A279" s="1" t="s">
        <v>290</v>
      </c>
      <c r="B279" s="1">
        <v>5</v>
      </c>
      <c r="C279" s="1">
        <v>5</v>
      </c>
      <c r="D279" s="1">
        <v>91.38</v>
      </c>
    </row>
    <row r="280" spans="1:4" x14ac:dyDescent="0.2">
      <c r="A280" s="1" t="s">
        <v>291</v>
      </c>
      <c r="B280" s="1">
        <v>24</v>
      </c>
      <c r="C280" s="1">
        <v>677</v>
      </c>
      <c r="D280" s="1">
        <v>47.15</v>
      </c>
    </row>
    <row r="281" spans="1:4" x14ac:dyDescent="0.2">
      <c r="A281" s="1" t="s">
        <v>292</v>
      </c>
      <c r="B281" s="1">
        <v>20</v>
      </c>
      <c r="C281" s="1">
        <v>764</v>
      </c>
      <c r="D281" s="1">
        <v>47.09</v>
      </c>
    </row>
    <row r="282" spans="1:4" x14ac:dyDescent="0.2">
      <c r="A282" s="1" t="s">
        <v>293</v>
      </c>
      <c r="B282" s="1">
        <v>4</v>
      </c>
      <c r="C282" s="1">
        <v>6</v>
      </c>
      <c r="D282" s="1">
        <v>88.68</v>
      </c>
    </row>
    <row r="283" spans="1:4" x14ac:dyDescent="0.2">
      <c r="A283" s="1" t="s">
        <v>294</v>
      </c>
      <c r="B283" s="1">
        <v>4</v>
      </c>
      <c r="C283" s="1">
        <v>43</v>
      </c>
      <c r="D283" s="1">
        <v>68.150000000000006</v>
      </c>
    </row>
    <row r="284" spans="1:4" x14ac:dyDescent="0.2">
      <c r="A284" s="1" t="s">
        <v>295</v>
      </c>
      <c r="B284" s="1">
        <v>10</v>
      </c>
      <c r="C284" s="1">
        <v>237</v>
      </c>
      <c r="D284" s="1">
        <v>39.07</v>
      </c>
    </row>
    <row r="285" spans="1:4" x14ac:dyDescent="0.2">
      <c r="A285" s="1" t="s">
        <v>296</v>
      </c>
      <c r="B285" s="1">
        <v>2</v>
      </c>
      <c r="C285" s="1">
        <v>6</v>
      </c>
      <c r="D285" s="1">
        <v>88.46</v>
      </c>
    </row>
    <row r="286" spans="1:4" x14ac:dyDescent="0.2">
      <c r="A286" s="1" t="s">
        <v>297</v>
      </c>
      <c r="B286" s="1">
        <v>31</v>
      </c>
      <c r="C286" s="1">
        <v>2732</v>
      </c>
      <c r="D286" s="1">
        <v>45.15</v>
      </c>
    </row>
    <row r="287" spans="1:4" x14ac:dyDescent="0.2">
      <c r="A287" s="1" t="s">
        <v>298</v>
      </c>
      <c r="B287" s="1">
        <v>6</v>
      </c>
      <c r="C287" s="1">
        <v>18</v>
      </c>
      <c r="D287" s="1">
        <v>88.08</v>
      </c>
    </row>
    <row r="288" spans="1:4" x14ac:dyDescent="0.2">
      <c r="A288" s="1" t="s">
        <v>299</v>
      </c>
      <c r="B288" s="1">
        <v>30</v>
      </c>
      <c r="C288" s="1">
        <v>1235</v>
      </c>
      <c r="D288" s="1">
        <v>55.48</v>
      </c>
    </row>
    <row r="289" spans="1:4" x14ac:dyDescent="0.2">
      <c r="A289" s="1" t="s">
        <v>300</v>
      </c>
      <c r="B289" s="1">
        <v>4</v>
      </c>
      <c r="C289" s="1">
        <v>6</v>
      </c>
      <c r="D289" s="1">
        <v>89.66</v>
      </c>
    </row>
    <row r="290" spans="1:4" x14ac:dyDescent="0.2">
      <c r="A290" s="1" t="s">
        <v>301</v>
      </c>
      <c r="B290" s="1">
        <v>28</v>
      </c>
      <c r="C290" s="1">
        <v>925</v>
      </c>
      <c r="D290" s="1">
        <v>40.01</v>
      </c>
    </row>
    <row r="291" spans="1:4" x14ac:dyDescent="0.2">
      <c r="A291" s="1" t="s">
        <v>302</v>
      </c>
      <c r="B291" s="1">
        <v>10</v>
      </c>
      <c r="C291" s="1">
        <v>192</v>
      </c>
      <c r="D291" s="1">
        <v>35.79</v>
      </c>
    </row>
    <row r="292" spans="1:4" x14ac:dyDescent="0.2">
      <c r="A292" s="1" t="s">
        <v>303</v>
      </c>
      <c r="B292" s="1">
        <v>7</v>
      </c>
      <c r="C292" s="1">
        <v>11</v>
      </c>
      <c r="D292" s="1">
        <v>86.9</v>
      </c>
    </row>
    <row r="293" spans="1:4" x14ac:dyDescent="0.2">
      <c r="A293" s="1" t="s">
        <v>304</v>
      </c>
      <c r="B293" s="1">
        <v>16</v>
      </c>
      <c r="C293" s="1">
        <v>683</v>
      </c>
      <c r="D293" s="1">
        <v>43.08</v>
      </c>
    </row>
    <row r="294" spans="1:4" x14ac:dyDescent="0.2">
      <c r="A294" s="1" t="s">
        <v>305</v>
      </c>
      <c r="B294" s="1">
        <v>16</v>
      </c>
      <c r="C294" s="1">
        <v>596</v>
      </c>
      <c r="D294" s="1">
        <v>41.11</v>
      </c>
    </row>
    <row r="295" spans="1:4" x14ac:dyDescent="0.2">
      <c r="A295" s="1" t="s">
        <v>306</v>
      </c>
      <c r="B295" s="1">
        <v>16</v>
      </c>
      <c r="C295" s="1">
        <v>170</v>
      </c>
      <c r="D295" s="1">
        <v>88.19</v>
      </c>
    </row>
    <row r="296" spans="1:4" x14ac:dyDescent="0.2">
      <c r="A296" s="1" t="s">
        <v>307</v>
      </c>
      <c r="B296" s="1">
        <v>3</v>
      </c>
      <c r="C296" s="1">
        <v>64</v>
      </c>
      <c r="D296" s="1">
        <v>65.59</v>
      </c>
    </row>
    <row r="297" spans="1:4" x14ac:dyDescent="0.2">
      <c r="A297" s="1" t="s">
        <v>308</v>
      </c>
      <c r="B297" s="1">
        <v>8</v>
      </c>
      <c r="C297" s="1">
        <v>174</v>
      </c>
      <c r="D297" s="1">
        <v>46.3</v>
      </c>
    </row>
    <row r="298" spans="1:4" x14ac:dyDescent="0.2">
      <c r="A298" s="1" t="s">
        <v>309</v>
      </c>
      <c r="B298" s="1">
        <v>2</v>
      </c>
      <c r="C298" s="1">
        <v>7</v>
      </c>
      <c r="D298" s="1">
        <v>86.54</v>
      </c>
    </row>
    <row r="299" spans="1:4" x14ac:dyDescent="0.2">
      <c r="A299" s="1" t="s">
        <v>310</v>
      </c>
      <c r="B299" s="1">
        <v>12</v>
      </c>
      <c r="C299" s="1">
        <v>351</v>
      </c>
      <c r="D299" s="1">
        <v>36.76</v>
      </c>
    </row>
    <row r="300" spans="1:4" x14ac:dyDescent="0.2">
      <c r="A300" s="1" t="s">
        <v>311</v>
      </c>
      <c r="B300" s="1">
        <v>7</v>
      </c>
      <c r="C300" s="1">
        <v>215</v>
      </c>
      <c r="D300" s="1">
        <v>36.76</v>
      </c>
    </row>
    <row r="301" spans="1:4" x14ac:dyDescent="0.2">
      <c r="A301" s="1" t="s">
        <v>312</v>
      </c>
      <c r="B301" s="1">
        <v>9</v>
      </c>
      <c r="C301" s="1">
        <v>218</v>
      </c>
      <c r="D301" s="1">
        <v>34.340000000000003</v>
      </c>
    </row>
    <row r="302" spans="1:4" x14ac:dyDescent="0.2">
      <c r="A302" s="1" t="s">
        <v>313</v>
      </c>
      <c r="B302" s="1">
        <v>6</v>
      </c>
      <c r="C302" s="1">
        <v>117</v>
      </c>
      <c r="D302" s="1">
        <v>46.82</v>
      </c>
    </row>
    <row r="303" spans="1:4" x14ac:dyDescent="0.2">
      <c r="A303" s="1" t="s">
        <v>314</v>
      </c>
      <c r="B303" s="1">
        <v>12</v>
      </c>
      <c r="C303" s="1">
        <v>291</v>
      </c>
      <c r="D303" s="1">
        <v>32.01</v>
      </c>
    </row>
    <row r="304" spans="1:4" x14ac:dyDescent="0.2">
      <c r="A304" s="1" t="s">
        <v>315</v>
      </c>
      <c r="B304" s="1">
        <v>12</v>
      </c>
      <c r="C304" s="1">
        <v>222</v>
      </c>
      <c r="D304" s="1">
        <v>44.91</v>
      </c>
    </row>
    <row r="305" spans="1:4" x14ac:dyDescent="0.2">
      <c r="A305" s="1" t="s">
        <v>316</v>
      </c>
      <c r="B305" s="1">
        <v>14</v>
      </c>
      <c r="C305" s="1">
        <v>379</v>
      </c>
      <c r="D305" s="1">
        <v>51.03</v>
      </c>
    </row>
    <row r="306" spans="1:4" x14ac:dyDescent="0.2">
      <c r="A306" s="1" t="s">
        <v>317</v>
      </c>
      <c r="B306" s="1">
        <v>11</v>
      </c>
      <c r="C306" s="1">
        <v>268</v>
      </c>
      <c r="D306" s="1">
        <v>45.64</v>
      </c>
    </row>
    <row r="307" spans="1:4" x14ac:dyDescent="0.2">
      <c r="A307" s="1" t="s">
        <v>318</v>
      </c>
      <c r="B307" s="1">
        <v>13</v>
      </c>
      <c r="C307" s="1">
        <v>269</v>
      </c>
      <c r="D307" s="1">
        <v>49.63</v>
      </c>
    </row>
    <row r="308" spans="1:4" x14ac:dyDescent="0.2">
      <c r="A308" s="1" t="s">
        <v>319</v>
      </c>
      <c r="B308" s="1">
        <v>12</v>
      </c>
      <c r="C308" s="1">
        <v>284</v>
      </c>
      <c r="D308" s="1">
        <v>35.159999999999997</v>
      </c>
    </row>
    <row r="309" spans="1:4" x14ac:dyDescent="0.2">
      <c r="A309" s="1" t="s">
        <v>320</v>
      </c>
      <c r="B309" s="1">
        <v>11</v>
      </c>
      <c r="C309" s="1">
        <v>216</v>
      </c>
      <c r="D309" s="1">
        <v>37.57</v>
      </c>
    </row>
    <row r="310" spans="1:4" x14ac:dyDescent="0.2">
      <c r="A310" s="1" t="s">
        <v>321</v>
      </c>
      <c r="B310" s="1">
        <v>6</v>
      </c>
      <c r="C310" s="1">
        <v>106</v>
      </c>
      <c r="D310" s="1">
        <v>47.52</v>
      </c>
    </row>
    <row r="311" spans="1:4" x14ac:dyDescent="0.2">
      <c r="A311" s="1" t="s">
        <v>322</v>
      </c>
      <c r="B311" s="1">
        <v>12</v>
      </c>
      <c r="C311" s="1">
        <v>342</v>
      </c>
      <c r="D311" s="1">
        <v>33.979999999999997</v>
      </c>
    </row>
    <row r="312" spans="1:4" x14ac:dyDescent="0.2">
      <c r="A312" s="1" t="s">
        <v>323</v>
      </c>
      <c r="B312" s="1">
        <v>11</v>
      </c>
      <c r="C312" s="1">
        <v>269</v>
      </c>
      <c r="D312" s="1">
        <v>36.85</v>
      </c>
    </row>
    <row r="313" spans="1:4" x14ac:dyDescent="0.2">
      <c r="A313" s="1" t="s">
        <v>324</v>
      </c>
      <c r="B313" s="1">
        <v>10</v>
      </c>
      <c r="C313" s="1">
        <v>261</v>
      </c>
      <c r="D313" s="1">
        <v>39.159999999999997</v>
      </c>
    </row>
    <row r="314" spans="1:4" x14ac:dyDescent="0.2">
      <c r="A314" s="1" t="s">
        <v>325</v>
      </c>
      <c r="B314" s="1">
        <v>22</v>
      </c>
      <c r="C314" s="1">
        <v>489</v>
      </c>
      <c r="D314" s="1">
        <v>41.79</v>
      </c>
    </row>
    <row r="315" spans="1:4" x14ac:dyDescent="0.2">
      <c r="A315" s="1" t="s">
        <v>326</v>
      </c>
      <c r="B315" s="1">
        <v>7</v>
      </c>
      <c r="C315" s="1">
        <v>82</v>
      </c>
      <c r="D315" s="1">
        <v>59.61</v>
      </c>
    </row>
    <row r="316" spans="1:4" x14ac:dyDescent="0.2">
      <c r="A316" s="1" t="s">
        <v>327</v>
      </c>
      <c r="B316" s="1">
        <v>9</v>
      </c>
      <c r="C316" s="1">
        <v>179</v>
      </c>
      <c r="D316" s="1">
        <v>47.97</v>
      </c>
    </row>
    <row r="317" spans="1:4" x14ac:dyDescent="0.2">
      <c r="A317" s="1" t="s">
        <v>328</v>
      </c>
      <c r="B317" s="1">
        <v>2</v>
      </c>
      <c r="C317" s="1">
        <v>6</v>
      </c>
      <c r="D317" s="1">
        <v>89.47</v>
      </c>
    </row>
    <row r="318" spans="1:4" x14ac:dyDescent="0.2">
      <c r="A318" s="1" t="s">
        <v>329</v>
      </c>
      <c r="B318" s="1">
        <v>2</v>
      </c>
      <c r="C318" s="1">
        <v>70</v>
      </c>
      <c r="D318" s="1">
        <v>64.290000000000006</v>
      </c>
    </row>
    <row r="319" spans="1:4" x14ac:dyDescent="0.2">
      <c r="A319" s="1" t="s">
        <v>330</v>
      </c>
      <c r="B319" s="1">
        <v>3</v>
      </c>
      <c r="C319" s="1">
        <v>49</v>
      </c>
      <c r="D319" s="1">
        <v>68.59</v>
      </c>
    </row>
    <row r="320" spans="1:4" x14ac:dyDescent="0.2">
      <c r="A320" s="1" t="s">
        <v>331</v>
      </c>
      <c r="B320" s="1">
        <v>6</v>
      </c>
      <c r="C320" s="1">
        <v>49</v>
      </c>
      <c r="D320" s="1">
        <v>68.790000000000006</v>
      </c>
    </row>
    <row r="321" spans="1:4" x14ac:dyDescent="0.2">
      <c r="A321" s="1" t="s">
        <v>332</v>
      </c>
      <c r="B321" s="1">
        <v>5</v>
      </c>
      <c r="C321" s="1">
        <v>8</v>
      </c>
      <c r="D321" s="1">
        <v>89.04</v>
      </c>
    </row>
    <row r="322" spans="1:4" x14ac:dyDescent="0.2">
      <c r="A322" s="1" t="s">
        <v>333</v>
      </c>
      <c r="B322" s="1">
        <v>8</v>
      </c>
      <c r="C322" s="1">
        <v>35</v>
      </c>
      <c r="D322" s="1">
        <v>80.77</v>
      </c>
    </row>
    <row r="323" spans="1:4" x14ac:dyDescent="0.2">
      <c r="A323" s="1" t="s">
        <v>334</v>
      </c>
      <c r="B323" s="1">
        <v>3</v>
      </c>
      <c r="C323" s="1">
        <v>31</v>
      </c>
      <c r="D323" s="1">
        <v>69.900000000000006</v>
      </c>
    </row>
    <row r="324" spans="1:4" x14ac:dyDescent="0.2">
      <c r="A324" s="1" t="s">
        <v>335</v>
      </c>
      <c r="B324" s="1">
        <v>4</v>
      </c>
      <c r="C324" s="1">
        <v>153</v>
      </c>
      <c r="D324" s="1">
        <v>38.06</v>
      </c>
    </row>
    <row r="325" spans="1:4" x14ac:dyDescent="0.2">
      <c r="A325" s="1" t="s">
        <v>336</v>
      </c>
      <c r="B325" s="1">
        <v>5</v>
      </c>
      <c r="C325" s="1">
        <v>204</v>
      </c>
      <c r="D325" s="1">
        <v>40.700000000000003</v>
      </c>
    </row>
    <row r="326" spans="1:4" x14ac:dyDescent="0.2">
      <c r="A326" s="1" t="s">
        <v>337</v>
      </c>
      <c r="B326" s="1">
        <v>30</v>
      </c>
      <c r="C326" s="1">
        <v>974</v>
      </c>
      <c r="D326" s="1">
        <v>36.090000000000003</v>
      </c>
    </row>
    <row r="327" spans="1:4" x14ac:dyDescent="0.2">
      <c r="A327" s="1" t="s">
        <v>338</v>
      </c>
      <c r="B327" s="1">
        <v>15</v>
      </c>
      <c r="C327" s="1">
        <v>429</v>
      </c>
      <c r="D327" s="1">
        <v>47.56</v>
      </c>
    </row>
    <row r="328" spans="1:4" x14ac:dyDescent="0.2">
      <c r="A328" s="1" t="s">
        <v>339</v>
      </c>
      <c r="B328" s="1">
        <v>12</v>
      </c>
      <c r="C328" s="1">
        <v>200</v>
      </c>
      <c r="D328" s="1">
        <v>39.020000000000003</v>
      </c>
    </row>
    <row r="329" spans="1:4" x14ac:dyDescent="0.2">
      <c r="A329" s="1" t="s">
        <v>340</v>
      </c>
      <c r="B329" s="1">
        <v>4</v>
      </c>
      <c r="C329" s="1">
        <v>249</v>
      </c>
      <c r="D329" s="1">
        <v>43.02</v>
      </c>
    </row>
    <row r="330" spans="1:4" x14ac:dyDescent="0.2">
      <c r="A330" s="1" t="s">
        <v>341</v>
      </c>
      <c r="B330" s="1">
        <v>2</v>
      </c>
      <c r="C330" s="1">
        <v>6</v>
      </c>
      <c r="D330" s="1">
        <v>88.46</v>
      </c>
    </row>
    <row r="331" spans="1:4" x14ac:dyDescent="0.2">
      <c r="A331" s="1" t="s">
        <v>342</v>
      </c>
      <c r="B331" s="1">
        <v>8</v>
      </c>
      <c r="C331" s="1">
        <v>168</v>
      </c>
      <c r="D331" s="1">
        <v>50.88</v>
      </c>
    </row>
    <row r="332" spans="1:4" x14ac:dyDescent="0.2">
      <c r="A332" s="1" t="s">
        <v>343</v>
      </c>
      <c r="B332" s="1">
        <v>3</v>
      </c>
      <c r="C332" s="1">
        <v>173</v>
      </c>
      <c r="D332" s="1">
        <v>38.65</v>
      </c>
    </row>
    <row r="333" spans="1:4" x14ac:dyDescent="0.2">
      <c r="A333" s="1" t="s">
        <v>344</v>
      </c>
      <c r="B333" s="1">
        <v>8</v>
      </c>
      <c r="C333" s="1">
        <v>214</v>
      </c>
      <c r="D333" s="1">
        <v>36.869999999999997</v>
      </c>
    </row>
    <row r="334" spans="1:4" x14ac:dyDescent="0.2">
      <c r="A334" s="1" t="s">
        <v>345</v>
      </c>
      <c r="B334" s="1">
        <v>10</v>
      </c>
      <c r="C334" s="1">
        <v>243</v>
      </c>
      <c r="D334" s="1">
        <v>45.76</v>
      </c>
    </row>
    <row r="335" spans="1:4" x14ac:dyDescent="0.2">
      <c r="A335" s="1" t="s">
        <v>346</v>
      </c>
      <c r="B335" s="1">
        <v>13</v>
      </c>
      <c r="C335" s="1">
        <v>170</v>
      </c>
      <c r="D335" s="1">
        <v>48.95</v>
      </c>
    </row>
    <row r="336" spans="1:4" x14ac:dyDescent="0.2">
      <c r="A336" s="1" t="s">
        <v>347</v>
      </c>
      <c r="B336" s="1">
        <v>10</v>
      </c>
      <c r="C336" s="1">
        <v>335</v>
      </c>
      <c r="D336" s="1">
        <v>44.99</v>
      </c>
    </row>
    <row r="337" spans="1:4" x14ac:dyDescent="0.2">
      <c r="A337" s="1" t="s">
        <v>348</v>
      </c>
      <c r="B337" s="1">
        <v>9</v>
      </c>
      <c r="C337" s="1">
        <v>325</v>
      </c>
      <c r="D337" s="1">
        <v>34.08</v>
      </c>
    </row>
    <row r="338" spans="1:4" x14ac:dyDescent="0.2">
      <c r="A338" s="1" t="s">
        <v>349</v>
      </c>
      <c r="B338" s="1">
        <v>11</v>
      </c>
      <c r="C338" s="1">
        <v>224</v>
      </c>
      <c r="D338" s="1">
        <v>40.11</v>
      </c>
    </row>
    <row r="339" spans="1:4" x14ac:dyDescent="0.2">
      <c r="A339" s="1" t="s">
        <v>350</v>
      </c>
      <c r="B339" s="1">
        <v>7</v>
      </c>
      <c r="C339" s="1">
        <v>106</v>
      </c>
      <c r="D339" s="1">
        <v>47.52</v>
      </c>
    </row>
    <row r="340" spans="1:4" x14ac:dyDescent="0.2">
      <c r="A340" s="1" t="s">
        <v>351</v>
      </c>
      <c r="B340" s="1">
        <v>20</v>
      </c>
      <c r="C340" s="1">
        <v>466</v>
      </c>
      <c r="D340" s="1">
        <v>48.34</v>
      </c>
    </row>
    <row r="341" spans="1:4" x14ac:dyDescent="0.2">
      <c r="A341" s="1" t="s">
        <v>352</v>
      </c>
      <c r="B341" s="1">
        <v>8</v>
      </c>
      <c r="C341" s="1">
        <v>207</v>
      </c>
      <c r="D341" s="1">
        <v>34.08</v>
      </c>
    </row>
    <row r="342" spans="1:4" x14ac:dyDescent="0.2">
      <c r="A342" s="1" t="s">
        <v>353</v>
      </c>
      <c r="B342" s="1">
        <v>8</v>
      </c>
      <c r="C342" s="1">
        <v>84</v>
      </c>
      <c r="D342" s="1">
        <v>46.5</v>
      </c>
    </row>
    <row r="343" spans="1:4" x14ac:dyDescent="0.2">
      <c r="A343" s="1" t="s">
        <v>354</v>
      </c>
      <c r="B343" s="1">
        <v>17</v>
      </c>
      <c r="C343" s="1">
        <v>387</v>
      </c>
      <c r="D343" s="1">
        <v>40.369999999999997</v>
      </c>
    </row>
    <row r="344" spans="1:4" x14ac:dyDescent="0.2">
      <c r="A344" s="1" t="s">
        <v>355</v>
      </c>
      <c r="B344" s="1">
        <v>13</v>
      </c>
      <c r="C344" s="1">
        <v>234</v>
      </c>
      <c r="D344" s="1">
        <v>40.31</v>
      </c>
    </row>
    <row r="345" spans="1:4" x14ac:dyDescent="0.2">
      <c r="A345" s="1" t="s">
        <v>356</v>
      </c>
      <c r="B345" s="1">
        <v>7</v>
      </c>
      <c r="C345" s="1">
        <v>11</v>
      </c>
      <c r="D345" s="1">
        <v>86.25</v>
      </c>
    </row>
    <row r="346" spans="1:4" x14ac:dyDescent="0.2">
      <c r="A346" s="1" t="s">
        <v>357</v>
      </c>
      <c r="B346" s="1">
        <v>18</v>
      </c>
      <c r="C346" s="1">
        <v>623</v>
      </c>
      <c r="D346" s="1">
        <v>42.53</v>
      </c>
    </row>
    <row r="347" spans="1:4" x14ac:dyDescent="0.2">
      <c r="A347" s="1" t="s">
        <v>358</v>
      </c>
      <c r="B347" s="1">
        <v>17</v>
      </c>
      <c r="C347" s="1">
        <v>258</v>
      </c>
      <c r="D347" s="1">
        <v>46.69</v>
      </c>
    </row>
    <row r="348" spans="1:4" x14ac:dyDescent="0.2">
      <c r="A348" s="1" t="s">
        <v>359</v>
      </c>
      <c r="B348" s="1">
        <v>12</v>
      </c>
      <c r="C348" s="1">
        <v>434</v>
      </c>
      <c r="D348" s="1">
        <v>40.79</v>
      </c>
    </row>
    <row r="349" spans="1:4" x14ac:dyDescent="0.2">
      <c r="A349" s="1" t="s">
        <v>360</v>
      </c>
      <c r="B349" s="1">
        <v>10</v>
      </c>
      <c r="C349" s="1">
        <v>192</v>
      </c>
      <c r="D349" s="1">
        <v>38.26</v>
      </c>
    </row>
    <row r="350" spans="1:4" x14ac:dyDescent="0.2">
      <c r="A350" s="1" t="s">
        <v>361</v>
      </c>
      <c r="B350" s="1">
        <v>15</v>
      </c>
      <c r="C350" s="1">
        <v>708</v>
      </c>
      <c r="D350" s="1">
        <v>33.020000000000003</v>
      </c>
    </row>
    <row r="351" spans="1:4" x14ac:dyDescent="0.2">
      <c r="A351" s="1" t="s">
        <v>362</v>
      </c>
      <c r="B351" s="1">
        <v>12</v>
      </c>
      <c r="C351" s="1">
        <v>169</v>
      </c>
      <c r="D351" s="1">
        <v>49.7</v>
      </c>
    </row>
    <row r="352" spans="1:4" x14ac:dyDescent="0.2">
      <c r="A352" s="1" t="s">
        <v>363</v>
      </c>
      <c r="B352" s="1">
        <v>10</v>
      </c>
      <c r="C352" s="1">
        <v>213</v>
      </c>
      <c r="D352" s="1">
        <v>48.67</v>
      </c>
    </row>
    <row r="353" spans="1:4" x14ac:dyDescent="0.2">
      <c r="A353" s="1" t="s">
        <v>364</v>
      </c>
      <c r="B353" s="1">
        <v>19</v>
      </c>
      <c r="C353" s="1">
        <v>169</v>
      </c>
      <c r="D353" s="1">
        <v>87.26</v>
      </c>
    </row>
    <row r="354" spans="1:4" x14ac:dyDescent="0.2">
      <c r="A354" s="1" t="s">
        <v>365</v>
      </c>
      <c r="B354" s="1">
        <v>2</v>
      </c>
      <c r="C354" s="1">
        <v>37</v>
      </c>
      <c r="D354" s="1">
        <v>79.67</v>
      </c>
    </row>
    <row r="355" spans="1:4" x14ac:dyDescent="0.2">
      <c r="A355" s="1" t="s">
        <v>366</v>
      </c>
      <c r="B355" s="1">
        <v>21</v>
      </c>
      <c r="C355" s="1">
        <v>521</v>
      </c>
      <c r="D355" s="1">
        <v>51.67</v>
      </c>
    </row>
    <row r="356" spans="1:4" x14ac:dyDescent="0.2">
      <c r="A356" s="1" t="s">
        <v>367</v>
      </c>
      <c r="B356" s="1">
        <v>14</v>
      </c>
      <c r="C356" s="1">
        <v>272</v>
      </c>
      <c r="D356" s="1">
        <v>51.6</v>
      </c>
    </row>
    <row r="357" spans="1:4" x14ac:dyDescent="0.2">
      <c r="A357" s="1" t="s">
        <v>368</v>
      </c>
      <c r="B357" s="1">
        <v>13</v>
      </c>
      <c r="C357" s="1">
        <v>258</v>
      </c>
      <c r="D357" s="1">
        <v>44.28</v>
      </c>
    </row>
    <row r="358" spans="1:4" x14ac:dyDescent="0.2">
      <c r="A358" s="1" t="s">
        <v>369</v>
      </c>
      <c r="B358" s="1">
        <v>11</v>
      </c>
      <c r="C358" s="1">
        <v>293</v>
      </c>
      <c r="D358" s="1">
        <v>48.14</v>
      </c>
    </row>
    <row r="359" spans="1:4" x14ac:dyDescent="0.2">
      <c r="A359" s="1" t="s">
        <v>370</v>
      </c>
      <c r="B359" s="1">
        <v>15</v>
      </c>
      <c r="C359" s="1">
        <v>167</v>
      </c>
      <c r="D359" s="1">
        <v>47.15</v>
      </c>
    </row>
    <row r="360" spans="1:4" x14ac:dyDescent="0.2">
      <c r="A360" s="1" t="s">
        <v>371</v>
      </c>
      <c r="B360" s="1">
        <v>10</v>
      </c>
      <c r="C360" s="1">
        <v>142</v>
      </c>
      <c r="D360" s="1">
        <v>48.74</v>
      </c>
    </row>
    <row r="361" spans="1:4" x14ac:dyDescent="0.2">
      <c r="A361" s="1" t="s">
        <v>372</v>
      </c>
      <c r="B361" s="1">
        <v>20</v>
      </c>
      <c r="C361" s="1">
        <v>947</v>
      </c>
      <c r="D361" s="1">
        <v>42.4</v>
      </c>
    </row>
    <row r="362" spans="1:4" x14ac:dyDescent="0.2">
      <c r="A362" s="1" t="s">
        <v>373</v>
      </c>
      <c r="B362" s="1">
        <v>3</v>
      </c>
      <c r="C362" s="1">
        <v>32</v>
      </c>
      <c r="D362" s="1">
        <v>68.319999999999993</v>
      </c>
    </row>
    <row r="363" spans="1:4" x14ac:dyDescent="0.2">
      <c r="A363" s="1" t="s">
        <v>374</v>
      </c>
      <c r="B363" s="1">
        <v>2</v>
      </c>
      <c r="C363" s="1">
        <v>35</v>
      </c>
      <c r="D363" s="1">
        <v>69.3</v>
      </c>
    </row>
    <row r="364" spans="1:4" x14ac:dyDescent="0.2">
      <c r="A364" s="1" t="s">
        <v>375</v>
      </c>
      <c r="B364" s="1">
        <v>2</v>
      </c>
      <c r="C364" s="1">
        <v>25</v>
      </c>
      <c r="D364" s="1">
        <v>69.88</v>
      </c>
    </row>
    <row r="365" spans="1:4" x14ac:dyDescent="0.2">
      <c r="A365" s="1" t="s">
        <v>376</v>
      </c>
      <c r="B365" s="1">
        <v>2</v>
      </c>
      <c r="C365" s="1">
        <v>28</v>
      </c>
      <c r="D365" s="1">
        <v>70.83</v>
      </c>
    </row>
    <row r="366" spans="1:4" x14ac:dyDescent="0.2">
      <c r="A366" s="1" t="s">
        <v>377</v>
      </c>
      <c r="B366" s="1">
        <v>2</v>
      </c>
      <c r="C366" s="1">
        <v>7</v>
      </c>
      <c r="D366" s="1">
        <v>88.14</v>
      </c>
    </row>
    <row r="367" spans="1:4" x14ac:dyDescent="0.2">
      <c r="A367" s="1" t="s">
        <v>378</v>
      </c>
      <c r="B367" s="1">
        <v>9</v>
      </c>
      <c r="C367" s="1">
        <v>1575</v>
      </c>
      <c r="D367" s="1">
        <v>42.73</v>
      </c>
    </row>
    <row r="368" spans="1:4" x14ac:dyDescent="0.2">
      <c r="A368" s="1" t="s">
        <v>379</v>
      </c>
      <c r="B368" s="1">
        <v>8</v>
      </c>
      <c r="C368" s="1">
        <v>398</v>
      </c>
      <c r="D368" s="1">
        <v>29.81</v>
      </c>
    </row>
    <row r="369" spans="1:4" x14ac:dyDescent="0.2">
      <c r="A369" s="1" t="s">
        <v>380</v>
      </c>
      <c r="B369" s="1">
        <v>4</v>
      </c>
      <c r="C369" s="1">
        <v>156</v>
      </c>
      <c r="D369" s="1">
        <v>34.729999999999997</v>
      </c>
    </row>
    <row r="370" spans="1:4" x14ac:dyDescent="0.2">
      <c r="A370" s="1" t="s">
        <v>381</v>
      </c>
      <c r="B370" s="1">
        <v>2</v>
      </c>
      <c r="C370" s="1">
        <v>6</v>
      </c>
      <c r="D370" s="1">
        <v>88.46</v>
      </c>
    </row>
    <row r="371" spans="1:4" x14ac:dyDescent="0.2">
      <c r="A371" s="1" t="s">
        <v>382</v>
      </c>
      <c r="B371" s="1">
        <v>2</v>
      </c>
      <c r="C371" s="1">
        <v>5</v>
      </c>
      <c r="D371" s="1">
        <v>90</v>
      </c>
    </row>
    <row r="372" spans="1:4" x14ac:dyDescent="0.2">
      <c r="A372" s="1" t="s">
        <v>383</v>
      </c>
      <c r="B372" s="1">
        <v>3</v>
      </c>
      <c r="C372" s="1">
        <v>18</v>
      </c>
      <c r="D372" s="1">
        <v>77.78</v>
      </c>
    </row>
    <row r="373" spans="1:4" x14ac:dyDescent="0.2">
      <c r="A373" s="1" t="s">
        <v>384</v>
      </c>
      <c r="B373" s="1">
        <v>5</v>
      </c>
      <c r="C373" s="1">
        <v>221</v>
      </c>
      <c r="D373" s="1">
        <v>50.11</v>
      </c>
    </row>
    <row r="374" spans="1:4" x14ac:dyDescent="0.2">
      <c r="A374" s="1" t="s">
        <v>385</v>
      </c>
      <c r="B374" s="1">
        <v>4</v>
      </c>
      <c r="C374" s="1">
        <v>143</v>
      </c>
      <c r="D374" s="1">
        <v>38.630000000000003</v>
      </c>
    </row>
    <row r="375" spans="1:4" x14ac:dyDescent="0.2">
      <c r="A375" s="1" t="s">
        <v>386</v>
      </c>
      <c r="B375" s="1">
        <v>2</v>
      </c>
      <c r="C375" s="1">
        <v>10</v>
      </c>
      <c r="D375" s="1">
        <v>82.76</v>
      </c>
    </row>
    <row r="376" spans="1:4" x14ac:dyDescent="0.2">
      <c r="A376" s="1" t="s">
        <v>387</v>
      </c>
      <c r="B376" s="1">
        <v>2</v>
      </c>
      <c r="C376" s="1">
        <v>82</v>
      </c>
      <c r="D376" s="1">
        <v>44.59</v>
      </c>
    </row>
    <row r="377" spans="1:4" x14ac:dyDescent="0.2">
      <c r="A377" s="1" t="s">
        <v>388</v>
      </c>
      <c r="B377" s="1">
        <v>3</v>
      </c>
      <c r="C377" s="1">
        <v>97</v>
      </c>
      <c r="D377" s="1">
        <v>35.76</v>
      </c>
    </row>
    <row r="378" spans="1:4" x14ac:dyDescent="0.2">
      <c r="A378" s="1" t="s">
        <v>389</v>
      </c>
      <c r="B378" s="1">
        <v>5</v>
      </c>
      <c r="C378" s="1">
        <v>365</v>
      </c>
      <c r="D378" s="1">
        <v>34.94</v>
      </c>
    </row>
    <row r="379" spans="1:4" x14ac:dyDescent="0.2">
      <c r="A379" s="1" t="s">
        <v>390</v>
      </c>
      <c r="B379" s="1">
        <v>3</v>
      </c>
      <c r="C379" s="1">
        <v>110</v>
      </c>
      <c r="D379" s="1">
        <v>41.18</v>
      </c>
    </row>
    <row r="380" spans="1:4" x14ac:dyDescent="0.2">
      <c r="A380" s="1" t="s">
        <v>391</v>
      </c>
      <c r="B380" s="1">
        <v>4</v>
      </c>
      <c r="C380" s="1">
        <v>155</v>
      </c>
      <c r="D380" s="1">
        <v>38.74</v>
      </c>
    </row>
    <row r="381" spans="1:4" x14ac:dyDescent="0.2">
      <c r="A381" s="1" t="s">
        <v>392</v>
      </c>
      <c r="B381" s="1">
        <v>4</v>
      </c>
      <c r="C381" s="1">
        <v>226</v>
      </c>
      <c r="D381" s="1">
        <v>38.42</v>
      </c>
    </row>
    <row r="382" spans="1:4" x14ac:dyDescent="0.2">
      <c r="A382" s="1" t="s">
        <v>393</v>
      </c>
      <c r="B382" s="1">
        <v>3</v>
      </c>
      <c r="C382" s="1">
        <v>113</v>
      </c>
      <c r="D382" s="1">
        <v>37.909999999999997</v>
      </c>
    </row>
    <row r="383" spans="1:4" x14ac:dyDescent="0.2">
      <c r="A383" s="1" t="s">
        <v>394</v>
      </c>
      <c r="B383" s="1">
        <v>3</v>
      </c>
      <c r="C383" s="1">
        <v>29</v>
      </c>
      <c r="D383" s="1">
        <v>66.28</v>
      </c>
    </row>
    <row r="384" spans="1:4" x14ac:dyDescent="0.2">
      <c r="A384" s="1" t="s">
        <v>395</v>
      </c>
      <c r="B384" s="1">
        <v>2</v>
      </c>
      <c r="C384" s="1">
        <v>147</v>
      </c>
      <c r="D384" s="1">
        <v>37.71</v>
      </c>
    </row>
    <row r="385" spans="1:4" x14ac:dyDescent="0.2">
      <c r="A385" s="1" t="s">
        <v>396</v>
      </c>
      <c r="B385" s="1">
        <v>2</v>
      </c>
      <c r="C385" s="1">
        <v>43</v>
      </c>
      <c r="D385" s="1">
        <v>57</v>
      </c>
    </row>
    <row r="386" spans="1:4" x14ac:dyDescent="0.2">
      <c r="A386" s="1" t="s">
        <v>397</v>
      </c>
      <c r="B386" s="1">
        <v>2</v>
      </c>
      <c r="C386" s="1">
        <v>30</v>
      </c>
      <c r="D386" s="1">
        <v>63.86</v>
      </c>
    </row>
    <row r="387" spans="1:4" x14ac:dyDescent="0.2">
      <c r="A387" s="1" t="s">
        <v>398</v>
      </c>
      <c r="B387" s="1">
        <v>2</v>
      </c>
      <c r="C387" s="1">
        <v>72</v>
      </c>
      <c r="D387" s="1">
        <v>50.68</v>
      </c>
    </row>
    <row r="388" spans="1:4" x14ac:dyDescent="0.2">
      <c r="A388" s="1" t="s">
        <v>399</v>
      </c>
      <c r="B388" s="1">
        <v>4</v>
      </c>
      <c r="C388" s="1">
        <v>65</v>
      </c>
      <c r="D388" s="1">
        <v>53.24</v>
      </c>
    </row>
    <row r="389" spans="1:4" x14ac:dyDescent="0.2">
      <c r="A389" s="1" t="s">
        <v>400</v>
      </c>
      <c r="B389" s="1">
        <v>2</v>
      </c>
      <c r="C389" s="1">
        <v>30</v>
      </c>
      <c r="D389" s="1">
        <v>61.54</v>
      </c>
    </row>
    <row r="390" spans="1:4" x14ac:dyDescent="0.2">
      <c r="A390" s="1" t="s">
        <v>401</v>
      </c>
      <c r="B390" s="1">
        <v>3</v>
      </c>
      <c r="C390" s="1">
        <v>7</v>
      </c>
      <c r="D390" s="1">
        <v>91.03</v>
      </c>
    </row>
    <row r="391" spans="1:4" x14ac:dyDescent="0.2">
      <c r="A391" s="1" t="s">
        <v>402</v>
      </c>
      <c r="B391" s="1">
        <v>2</v>
      </c>
      <c r="C391" s="1">
        <v>7</v>
      </c>
      <c r="D391" s="1">
        <v>86</v>
      </c>
    </row>
    <row r="392" spans="1:4" x14ac:dyDescent="0.2">
      <c r="A392" s="1" t="s">
        <v>403</v>
      </c>
      <c r="B392" s="1">
        <v>2</v>
      </c>
      <c r="C392" s="1">
        <v>5</v>
      </c>
      <c r="D392" s="1">
        <v>89.58</v>
      </c>
    </row>
    <row r="393" spans="1:4" x14ac:dyDescent="0.2">
      <c r="A393" s="1" t="s">
        <v>404</v>
      </c>
      <c r="B393" s="1">
        <v>2</v>
      </c>
      <c r="C393" s="1">
        <v>116</v>
      </c>
      <c r="D393" s="1">
        <v>46.05</v>
      </c>
    </row>
    <row r="394" spans="1:4" x14ac:dyDescent="0.2">
      <c r="A394" s="1" t="s">
        <v>405</v>
      </c>
      <c r="B394" s="1">
        <v>4</v>
      </c>
      <c r="C394" s="1">
        <v>24</v>
      </c>
      <c r="D394" s="1">
        <v>85</v>
      </c>
    </row>
    <row r="395" spans="1:4" x14ac:dyDescent="0.2">
      <c r="A395" s="1" t="s">
        <v>406</v>
      </c>
      <c r="B395" s="1">
        <v>2</v>
      </c>
      <c r="C395" s="1">
        <v>85</v>
      </c>
      <c r="D395" s="1">
        <v>53.04</v>
      </c>
    </row>
    <row r="396" spans="1:4" x14ac:dyDescent="0.2">
      <c r="A396" s="1" t="s">
        <v>407</v>
      </c>
      <c r="B396" s="1">
        <v>3</v>
      </c>
      <c r="C396" s="1">
        <v>43</v>
      </c>
      <c r="D396" s="1">
        <v>51.14</v>
      </c>
    </row>
    <row r="397" spans="1:4" x14ac:dyDescent="0.2">
      <c r="A397" s="1" t="s">
        <v>408</v>
      </c>
      <c r="B397" s="1">
        <v>2</v>
      </c>
      <c r="C397" s="1">
        <v>46</v>
      </c>
      <c r="D397" s="1">
        <v>66.180000000000007</v>
      </c>
    </row>
    <row r="398" spans="1:4" x14ac:dyDescent="0.2">
      <c r="A398" s="1" t="s">
        <v>409</v>
      </c>
      <c r="B398" s="1">
        <v>2</v>
      </c>
      <c r="C398" s="1">
        <v>32</v>
      </c>
      <c r="D398" s="1">
        <v>69.52</v>
      </c>
    </row>
    <row r="399" spans="1:4" x14ac:dyDescent="0.2">
      <c r="A399" s="1" t="s">
        <v>410</v>
      </c>
      <c r="B399" s="1">
        <v>2</v>
      </c>
      <c r="C399" s="1">
        <v>98</v>
      </c>
      <c r="D399" s="1">
        <v>55.86</v>
      </c>
    </row>
    <row r="400" spans="1:4" x14ac:dyDescent="0.2">
      <c r="A400" s="1" t="s">
        <v>411</v>
      </c>
      <c r="B400" s="1">
        <v>2</v>
      </c>
      <c r="C400" s="1">
        <v>229</v>
      </c>
      <c r="D400" s="1">
        <v>54.29</v>
      </c>
    </row>
    <row r="401" spans="1:4" x14ac:dyDescent="0.2">
      <c r="A401" s="1" t="s">
        <v>412</v>
      </c>
      <c r="B401" s="1">
        <v>3</v>
      </c>
      <c r="C401" s="1">
        <v>18</v>
      </c>
      <c r="D401" s="1">
        <v>71.430000000000007</v>
      </c>
    </row>
    <row r="402" spans="1:4" x14ac:dyDescent="0.2">
      <c r="A402" s="1" t="s">
        <v>413</v>
      </c>
      <c r="B402" s="1">
        <v>3</v>
      </c>
      <c r="C402" s="1">
        <v>51</v>
      </c>
      <c r="D402" s="1">
        <v>64.83</v>
      </c>
    </row>
    <row r="403" spans="1:4" x14ac:dyDescent="0.2">
      <c r="A403" s="1" t="s">
        <v>414</v>
      </c>
      <c r="B403" s="1">
        <v>11</v>
      </c>
      <c r="C403" s="1">
        <v>137</v>
      </c>
      <c r="D403" s="1">
        <v>49.63</v>
      </c>
    </row>
    <row r="404" spans="1:4" x14ac:dyDescent="0.2">
      <c r="A404" s="1" t="s">
        <v>415</v>
      </c>
      <c r="B404" s="1">
        <v>5</v>
      </c>
      <c r="C404" s="1">
        <v>12</v>
      </c>
      <c r="D404" s="1">
        <v>78.180000000000007</v>
      </c>
    </row>
    <row r="405" spans="1:4" x14ac:dyDescent="0.2">
      <c r="A405" s="1" t="s">
        <v>416</v>
      </c>
      <c r="B405" s="1">
        <v>8</v>
      </c>
      <c r="C405" s="1">
        <v>204</v>
      </c>
      <c r="D405" s="1">
        <v>46.03</v>
      </c>
    </row>
    <row r="406" spans="1:4" x14ac:dyDescent="0.2">
      <c r="A406" s="1" t="s">
        <v>417</v>
      </c>
      <c r="B406" s="1">
        <v>9</v>
      </c>
      <c r="C406" s="1">
        <v>126</v>
      </c>
      <c r="D406" s="1">
        <v>52.99</v>
      </c>
    </row>
    <row r="407" spans="1:4" x14ac:dyDescent="0.2">
      <c r="A407" s="1" t="s">
        <v>418</v>
      </c>
      <c r="B407" s="1">
        <v>10</v>
      </c>
      <c r="C407" s="1">
        <v>108</v>
      </c>
      <c r="D407" s="1">
        <v>51.35</v>
      </c>
    </row>
    <row r="408" spans="1:4" x14ac:dyDescent="0.2">
      <c r="A408" s="1" t="s">
        <v>419</v>
      </c>
      <c r="B408" s="1">
        <v>4</v>
      </c>
      <c r="C408" s="1">
        <v>4</v>
      </c>
      <c r="D408" s="1">
        <v>90.91</v>
      </c>
    </row>
    <row r="409" spans="1:4" x14ac:dyDescent="0.2">
      <c r="A409" s="1" t="s">
        <v>420</v>
      </c>
      <c r="B409" s="1">
        <v>6</v>
      </c>
      <c r="C409" s="1">
        <v>393</v>
      </c>
      <c r="D409" s="1">
        <v>43.78</v>
      </c>
    </row>
    <row r="410" spans="1:4" x14ac:dyDescent="0.2">
      <c r="A410" s="1" t="s">
        <v>421</v>
      </c>
      <c r="B410" s="1">
        <v>8</v>
      </c>
      <c r="C410" s="1">
        <v>97</v>
      </c>
      <c r="D410" s="1">
        <v>56.5</v>
      </c>
    </row>
    <row r="411" spans="1:4" x14ac:dyDescent="0.2">
      <c r="A411" s="1" t="s">
        <v>422</v>
      </c>
      <c r="B411" s="1">
        <v>7</v>
      </c>
      <c r="C411" s="1">
        <v>37</v>
      </c>
      <c r="D411" s="1">
        <v>75.97</v>
      </c>
    </row>
    <row r="412" spans="1:4" x14ac:dyDescent="0.2">
      <c r="A412" s="1" t="s">
        <v>423</v>
      </c>
      <c r="B412" s="1">
        <v>7</v>
      </c>
      <c r="C412" s="1">
        <v>176</v>
      </c>
      <c r="D412" s="1">
        <v>46.67</v>
      </c>
    </row>
    <row r="413" spans="1:4" x14ac:dyDescent="0.2">
      <c r="A413" s="1" t="s">
        <v>424</v>
      </c>
      <c r="B413" s="1">
        <v>6</v>
      </c>
      <c r="C413" s="1">
        <v>119</v>
      </c>
      <c r="D413" s="1">
        <v>46.64</v>
      </c>
    </row>
    <row r="414" spans="1:4" x14ac:dyDescent="0.2">
      <c r="A414" s="1" t="s">
        <v>425</v>
      </c>
      <c r="B414" s="1">
        <v>13</v>
      </c>
      <c r="C414" s="1">
        <v>469</v>
      </c>
      <c r="D414" s="1">
        <v>41.38</v>
      </c>
    </row>
    <row r="415" spans="1:4" x14ac:dyDescent="0.2">
      <c r="A415" s="1" t="s">
        <v>426</v>
      </c>
      <c r="B415" s="1">
        <v>9</v>
      </c>
      <c r="C415" s="1">
        <v>180</v>
      </c>
      <c r="D415" s="1">
        <v>54.55</v>
      </c>
    </row>
    <row r="416" spans="1:4" x14ac:dyDescent="0.2">
      <c r="A416" s="1" t="s">
        <v>427</v>
      </c>
      <c r="B416" s="1">
        <v>4</v>
      </c>
      <c r="C416" s="1">
        <v>6</v>
      </c>
      <c r="D416" s="1">
        <v>91.78</v>
      </c>
    </row>
    <row r="417" spans="1:4" x14ac:dyDescent="0.2">
      <c r="A417" s="1" t="s">
        <v>428</v>
      </c>
      <c r="B417" s="1">
        <v>5</v>
      </c>
      <c r="C417" s="1">
        <v>88</v>
      </c>
      <c r="D417" s="1">
        <v>50.84</v>
      </c>
    </row>
    <row r="418" spans="1:4" x14ac:dyDescent="0.2">
      <c r="A418" s="1" t="s">
        <v>429</v>
      </c>
      <c r="B418" s="1">
        <v>8</v>
      </c>
      <c r="C418" s="1">
        <v>95</v>
      </c>
      <c r="D418" s="1">
        <v>53.43</v>
      </c>
    </row>
    <row r="419" spans="1:4" x14ac:dyDescent="0.2">
      <c r="A419" s="1" t="s">
        <v>430</v>
      </c>
      <c r="B419" s="1">
        <v>4</v>
      </c>
      <c r="C419" s="1">
        <v>89</v>
      </c>
      <c r="D419" s="1">
        <v>53.89</v>
      </c>
    </row>
    <row r="420" spans="1:4" x14ac:dyDescent="0.2">
      <c r="A420" s="1" t="s">
        <v>431</v>
      </c>
      <c r="B420" s="1">
        <v>5</v>
      </c>
      <c r="C420" s="1">
        <v>5</v>
      </c>
      <c r="D420" s="1">
        <v>92.19</v>
      </c>
    </row>
    <row r="421" spans="1:4" x14ac:dyDescent="0.2">
      <c r="A421" s="1" t="s">
        <v>432</v>
      </c>
      <c r="B421" s="1">
        <v>6</v>
      </c>
      <c r="C421" s="1">
        <v>86</v>
      </c>
      <c r="D421" s="1">
        <v>51.96</v>
      </c>
    </row>
    <row r="422" spans="1:4" x14ac:dyDescent="0.2">
      <c r="A422" s="1" t="s">
        <v>433</v>
      </c>
      <c r="B422" s="1">
        <v>6</v>
      </c>
      <c r="C422" s="1">
        <v>70</v>
      </c>
      <c r="D422" s="1">
        <v>53.64</v>
      </c>
    </row>
    <row r="423" spans="1:4" x14ac:dyDescent="0.2">
      <c r="A423" s="1" t="s">
        <v>434</v>
      </c>
      <c r="B423" s="1">
        <v>8</v>
      </c>
      <c r="C423" s="1">
        <v>58</v>
      </c>
      <c r="D423" s="1">
        <v>58.57</v>
      </c>
    </row>
    <row r="424" spans="1:4" x14ac:dyDescent="0.2">
      <c r="A424" s="1" t="s">
        <v>435</v>
      </c>
      <c r="B424" s="1">
        <v>2</v>
      </c>
      <c r="C424" s="1">
        <v>9</v>
      </c>
      <c r="D424" s="1">
        <v>85</v>
      </c>
    </row>
    <row r="425" spans="1:4" x14ac:dyDescent="0.2">
      <c r="A425" s="1" t="s">
        <v>436</v>
      </c>
      <c r="B425" s="1">
        <v>5</v>
      </c>
      <c r="C425" s="1">
        <v>90</v>
      </c>
      <c r="D425" s="1">
        <v>50.82</v>
      </c>
    </row>
    <row r="426" spans="1:4" x14ac:dyDescent="0.2">
      <c r="A426" s="1" t="s">
        <v>437</v>
      </c>
      <c r="B426" s="1">
        <v>3</v>
      </c>
      <c r="C426" s="1">
        <v>5</v>
      </c>
      <c r="D426" s="1">
        <v>92.42</v>
      </c>
    </row>
    <row r="427" spans="1:4" x14ac:dyDescent="0.2">
      <c r="A427" s="1" t="s">
        <v>438</v>
      </c>
      <c r="B427" s="1">
        <v>3</v>
      </c>
      <c r="C427" s="1">
        <v>5</v>
      </c>
      <c r="D427" s="1">
        <v>91.8</v>
      </c>
    </row>
    <row r="428" spans="1:4" x14ac:dyDescent="0.2">
      <c r="A428" s="1" t="s">
        <v>439</v>
      </c>
      <c r="B428" s="1">
        <v>8</v>
      </c>
      <c r="C428" s="1">
        <v>182</v>
      </c>
      <c r="D428" s="1">
        <v>39.130000000000003</v>
      </c>
    </row>
    <row r="429" spans="1:4" x14ac:dyDescent="0.2">
      <c r="A429" s="1" t="s">
        <v>440</v>
      </c>
      <c r="B429" s="1">
        <v>8</v>
      </c>
      <c r="C429" s="1">
        <v>158</v>
      </c>
      <c r="D429" s="1">
        <v>44.37</v>
      </c>
    </row>
    <row r="430" spans="1:4" x14ac:dyDescent="0.2">
      <c r="A430" s="1" t="s">
        <v>441</v>
      </c>
      <c r="B430" s="1">
        <v>6</v>
      </c>
      <c r="C430" s="1">
        <v>48</v>
      </c>
      <c r="D430" s="1">
        <v>61.6</v>
      </c>
    </row>
    <row r="431" spans="1:4" x14ac:dyDescent="0.2">
      <c r="A431" s="1" t="s">
        <v>442</v>
      </c>
      <c r="B431" s="1">
        <v>12</v>
      </c>
      <c r="C431" s="1">
        <v>112</v>
      </c>
      <c r="D431" s="1">
        <v>46.92</v>
      </c>
    </row>
    <row r="432" spans="1:4" x14ac:dyDescent="0.2">
      <c r="A432" s="1" t="s">
        <v>443</v>
      </c>
      <c r="B432" s="1">
        <v>2</v>
      </c>
      <c r="C432" s="1">
        <v>6</v>
      </c>
      <c r="D432" s="1">
        <v>87.23</v>
      </c>
    </row>
    <row r="433" spans="1:4" x14ac:dyDescent="0.2">
      <c r="A433" s="1" t="s">
        <v>444</v>
      </c>
      <c r="B433" s="1">
        <v>2</v>
      </c>
      <c r="C433" s="1">
        <v>7</v>
      </c>
      <c r="D433" s="1">
        <v>82.5</v>
      </c>
    </row>
    <row r="434" spans="1:4" x14ac:dyDescent="0.2">
      <c r="A434" s="1" t="s">
        <v>445</v>
      </c>
      <c r="B434" s="1">
        <v>5</v>
      </c>
      <c r="C434" s="1">
        <v>144</v>
      </c>
      <c r="D434" s="1">
        <v>59.44</v>
      </c>
    </row>
    <row r="435" spans="1:4" x14ac:dyDescent="0.2">
      <c r="A435" s="1" t="s">
        <v>446</v>
      </c>
      <c r="B435" s="1">
        <v>4</v>
      </c>
      <c r="C435" s="1">
        <v>7</v>
      </c>
      <c r="D435" s="1">
        <v>89.71</v>
      </c>
    </row>
    <row r="436" spans="1:4" x14ac:dyDescent="0.2">
      <c r="A436" s="1" t="s">
        <v>447</v>
      </c>
      <c r="B436" s="1">
        <v>2</v>
      </c>
      <c r="C436" s="1">
        <v>79</v>
      </c>
      <c r="D436" s="1">
        <v>49.36</v>
      </c>
    </row>
    <row r="437" spans="1:4" x14ac:dyDescent="0.2">
      <c r="A437" s="1" t="s">
        <v>448</v>
      </c>
      <c r="B437" s="1">
        <v>5</v>
      </c>
      <c r="C437" s="1">
        <v>25</v>
      </c>
      <c r="D437" s="1">
        <v>71.260000000000005</v>
      </c>
    </row>
    <row r="438" spans="1:4" x14ac:dyDescent="0.2">
      <c r="A438" s="1" t="s">
        <v>449</v>
      </c>
      <c r="B438" s="1">
        <v>4</v>
      </c>
      <c r="C438" s="1">
        <v>6</v>
      </c>
      <c r="D438" s="1">
        <v>90.77</v>
      </c>
    </row>
    <row r="439" spans="1:4" x14ac:dyDescent="0.2">
      <c r="A439" s="1" t="s">
        <v>450</v>
      </c>
      <c r="B439" s="1">
        <v>3</v>
      </c>
      <c r="C439" s="1">
        <v>7</v>
      </c>
      <c r="D439" s="1">
        <v>88.71</v>
      </c>
    </row>
    <row r="440" spans="1:4" x14ac:dyDescent="0.2">
      <c r="A440" s="1" t="s">
        <v>451</v>
      </c>
      <c r="B440" s="1">
        <v>8</v>
      </c>
      <c r="C440" s="1">
        <v>155</v>
      </c>
      <c r="D440" s="1">
        <v>48.68</v>
      </c>
    </row>
    <row r="441" spans="1:4" x14ac:dyDescent="0.2">
      <c r="A441" s="1" t="s">
        <v>452</v>
      </c>
      <c r="B441" s="1">
        <v>7</v>
      </c>
      <c r="C441" s="1">
        <v>146</v>
      </c>
      <c r="D441" s="1">
        <v>64.56</v>
      </c>
    </row>
    <row r="442" spans="1:4" x14ac:dyDescent="0.2">
      <c r="A442" s="1" t="s">
        <v>453</v>
      </c>
      <c r="B442" s="1">
        <v>8</v>
      </c>
      <c r="C442" s="1">
        <v>380</v>
      </c>
      <c r="D442" s="1">
        <v>48.79</v>
      </c>
    </row>
    <row r="443" spans="1:4" x14ac:dyDescent="0.2">
      <c r="A443" s="1" t="s">
        <v>454</v>
      </c>
      <c r="B443" s="1">
        <v>5</v>
      </c>
      <c r="C443" s="1">
        <v>8</v>
      </c>
      <c r="D443" s="1">
        <v>90.8</v>
      </c>
    </row>
    <row r="444" spans="1:4" x14ac:dyDescent="0.2">
      <c r="A444" s="1" t="s">
        <v>455</v>
      </c>
      <c r="B444" s="1">
        <v>8</v>
      </c>
      <c r="C444" s="1">
        <v>152</v>
      </c>
      <c r="D444" s="1">
        <v>56.32</v>
      </c>
    </row>
    <row r="445" spans="1:4" x14ac:dyDescent="0.2">
      <c r="A445" s="1" t="s">
        <v>456</v>
      </c>
      <c r="B445" s="1">
        <v>8</v>
      </c>
      <c r="C445" s="1">
        <v>56</v>
      </c>
      <c r="D445" s="1">
        <v>63.4</v>
      </c>
    </row>
    <row r="446" spans="1:4" x14ac:dyDescent="0.2">
      <c r="A446" s="1" t="s">
        <v>457</v>
      </c>
      <c r="B446" s="1">
        <v>12</v>
      </c>
      <c r="C446" s="1">
        <v>209</v>
      </c>
      <c r="D446" s="1">
        <v>50.94</v>
      </c>
    </row>
    <row r="447" spans="1:4" x14ac:dyDescent="0.2">
      <c r="A447" s="1" t="s">
        <v>458</v>
      </c>
      <c r="B447" s="1">
        <v>7</v>
      </c>
      <c r="C447" s="1">
        <v>126</v>
      </c>
      <c r="D447" s="1">
        <v>48.99</v>
      </c>
    </row>
    <row r="448" spans="1:4" x14ac:dyDescent="0.2">
      <c r="A448" s="1" t="s">
        <v>459</v>
      </c>
      <c r="B448" s="1">
        <v>7</v>
      </c>
      <c r="C448" s="1">
        <v>56</v>
      </c>
      <c r="D448" s="1">
        <v>62.42</v>
      </c>
    </row>
    <row r="449" spans="1:4" x14ac:dyDescent="0.2">
      <c r="A449" s="1" t="s">
        <v>460</v>
      </c>
      <c r="B449" s="1">
        <v>9</v>
      </c>
      <c r="C449" s="1">
        <v>203</v>
      </c>
      <c r="D449" s="1">
        <v>50.85</v>
      </c>
    </row>
    <row r="450" spans="1:4" x14ac:dyDescent="0.2">
      <c r="A450" s="1" t="s">
        <v>461</v>
      </c>
      <c r="B450" s="1">
        <v>13</v>
      </c>
      <c r="C450" s="1">
        <v>255</v>
      </c>
      <c r="D450" s="1">
        <v>49.7</v>
      </c>
    </row>
    <row r="451" spans="1:4" x14ac:dyDescent="0.2">
      <c r="A451" s="1" t="s">
        <v>462</v>
      </c>
      <c r="B451" s="1">
        <v>5</v>
      </c>
      <c r="C451" s="1">
        <v>6</v>
      </c>
      <c r="D451" s="1">
        <v>91.89</v>
      </c>
    </row>
    <row r="452" spans="1:4" x14ac:dyDescent="0.2">
      <c r="A452" s="1" t="s">
        <v>463</v>
      </c>
      <c r="B452" s="1">
        <v>6</v>
      </c>
      <c r="C452" s="1">
        <v>6</v>
      </c>
      <c r="D452" s="1">
        <v>87.23</v>
      </c>
    </row>
    <row r="453" spans="1:4" x14ac:dyDescent="0.2">
      <c r="A453" s="1" t="s">
        <v>464</v>
      </c>
      <c r="B453" s="1">
        <v>2</v>
      </c>
      <c r="C453" s="1">
        <v>181</v>
      </c>
      <c r="D453" s="1">
        <v>48.29</v>
      </c>
    </row>
    <row r="454" spans="1:4" x14ac:dyDescent="0.2">
      <c r="A454" s="1" t="s">
        <v>465</v>
      </c>
      <c r="B454" s="1">
        <v>2</v>
      </c>
      <c r="C454" s="1">
        <v>14</v>
      </c>
      <c r="D454" s="1">
        <v>88.62</v>
      </c>
    </row>
    <row r="455" spans="1:4" x14ac:dyDescent="0.2">
      <c r="A455" s="1" t="s">
        <v>466</v>
      </c>
      <c r="B455" s="1">
        <v>2</v>
      </c>
      <c r="C455" s="1">
        <v>93</v>
      </c>
      <c r="D455" s="1">
        <v>52.06</v>
      </c>
    </row>
    <row r="456" spans="1:4" x14ac:dyDescent="0.2">
      <c r="A456" s="1" t="s">
        <v>467</v>
      </c>
      <c r="B456" s="1">
        <v>2</v>
      </c>
      <c r="C456" s="1">
        <v>66</v>
      </c>
      <c r="D456" s="1">
        <v>57.69</v>
      </c>
    </row>
    <row r="457" spans="1:4" x14ac:dyDescent="0.2">
      <c r="A457" s="1" t="s">
        <v>468</v>
      </c>
      <c r="B457" s="1">
        <v>2</v>
      </c>
      <c r="C457" s="1">
        <v>56</v>
      </c>
      <c r="D457" s="1">
        <v>60</v>
      </c>
    </row>
    <row r="458" spans="1:4" x14ac:dyDescent="0.2">
      <c r="A458" s="1" t="s">
        <v>469</v>
      </c>
      <c r="B458" s="1">
        <v>4</v>
      </c>
      <c r="C458" s="1">
        <v>4</v>
      </c>
      <c r="D458" s="1">
        <v>92.59</v>
      </c>
    </row>
    <row r="459" spans="1:4" x14ac:dyDescent="0.2">
      <c r="A459" s="1" t="s">
        <v>470</v>
      </c>
      <c r="B459" s="1">
        <v>4</v>
      </c>
      <c r="C459" s="1">
        <v>42</v>
      </c>
      <c r="D459" s="1">
        <v>65.290000000000006</v>
      </c>
    </row>
    <row r="460" spans="1:4" x14ac:dyDescent="0.2">
      <c r="A460" s="1" t="s">
        <v>471</v>
      </c>
      <c r="B460" s="1">
        <v>4</v>
      </c>
      <c r="C460" s="1">
        <v>50</v>
      </c>
      <c r="D460" s="1">
        <v>61.24</v>
      </c>
    </row>
    <row r="461" spans="1:4" x14ac:dyDescent="0.2">
      <c r="A461" s="1" t="s">
        <v>472</v>
      </c>
      <c r="B461" s="1">
        <v>6</v>
      </c>
      <c r="C461" s="1">
        <v>38</v>
      </c>
      <c r="D461" s="1">
        <v>67.52</v>
      </c>
    </row>
    <row r="462" spans="1:4" x14ac:dyDescent="0.2">
      <c r="A462" s="1" t="s">
        <v>473</v>
      </c>
      <c r="B462" s="1">
        <v>4</v>
      </c>
      <c r="C462" s="1">
        <v>42</v>
      </c>
      <c r="D462" s="1">
        <v>65.290000000000006</v>
      </c>
    </row>
    <row r="463" spans="1:4" x14ac:dyDescent="0.2">
      <c r="A463" s="1" t="s">
        <v>474</v>
      </c>
      <c r="B463" s="1">
        <v>4</v>
      </c>
      <c r="C463" s="1">
        <v>15</v>
      </c>
      <c r="D463" s="1">
        <v>90.63</v>
      </c>
    </row>
    <row r="464" spans="1:4" x14ac:dyDescent="0.2">
      <c r="A464" s="1" t="s">
        <v>475</v>
      </c>
      <c r="B464" s="1">
        <v>6</v>
      </c>
      <c r="C464" s="1">
        <v>283</v>
      </c>
      <c r="D464" s="1">
        <v>54.13</v>
      </c>
    </row>
    <row r="465" spans="1:4" x14ac:dyDescent="0.2">
      <c r="A465" s="1" t="s">
        <v>476</v>
      </c>
      <c r="B465" s="1">
        <v>8</v>
      </c>
      <c r="C465" s="1">
        <v>98</v>
      </c>
      <c r="D465" s="1">
        <v>57.21</v>
      </c>
    </row>
    <row r="466" spans="1:4" x14ac:dyDescent="0.2">
      <c r="A466" s="1" t="s">
        <v>477</v>
      </c>
      <c r="B466" s="1">
        <v>8</v>
      </c>
      <c r="C466" s="1">
        <v>79</v>
      </c>
      <c r="D466" s="1">
        <v>57.07</v>
      </c>
    </row>
    <row r="467" spans="1:4" x14ac:dyDescent="0.2">
      <c r="A467" s="1" t="s">
        <v>478</v>
      </c>
      <c r="B467" s="1">
        <v>11</v>
      </c>
      <c r="C467" s="1">
        <v>316</v>
      </c>
      <c r="D467" s="1">
        <v>50.08</v>
      </c>
    </row>
    <row r="468" spans="1:4" x14ac:dyDescent="0.2">
      <c r="A468" s="1" t="s">
        <v>479</v>
      </c>
      <c r="B468" s="1">
        <v>6</v>
      </c>
      <c r="C468" s="1">
        <v>203</v>
      </c>
      <c r="D468" s="1">
        <v>54.38</v>
      </c>
    </row>
    <row r="469" spans="1:4" x14ac:dyDescent="0.2">
      <c r="A469" s="1" t="s">
        <v>480</v>
      </c>
      <c r="B469" s="1">
        <v>7</v>
      </c>
      <c r="C469" s="1">
        <v>70</v>
      </c>
      <c r="D469" s="1">
        <v>68.33</v>
      </c>
    </row>
    <row r="470" spans="1:4" x14ac:dyDescent="0.2">
      <c r="A470" s="1" t="s">
        <v>481</v>
      </c>
      <c r="B470" s="1">
        <v>3</v>
      </c>
      <c r="C470" s="1">
        <v>28</v>
      </c>
      <c r="D470" s="1">
        <v>72</v>
      </c>
    </row>
    <row r="471" spans="1:4" x14ac:dyDescent="0.2">
      <c r="A471" s="1" t="s">
        <v>482</v>
      </c>
      <c r="B471" s="1">
        <v>4</v>
      </c>
      <c r="C471" s="1">
        <v>5</v>
      </c>
      <c r="D471" s="1">
        <v>91.23</v>
      </c>
    </row>
    <row r="472" spans="1:4" x14ac:dyDescent="0.2">
      <c r="A472" s="1" t="s">
        <v>483</v>
      </c>
      <c r="B472" s="1">
        <v>3</v>
      </c>
      <c r="C472" s="1">
        <v>11</v>
      </c>
      <c r="D472" s="1">
        <v>86.25</v>
      </c>
    </row>
    <row r="473" spans="1:4" x14ac:dyDescent="0.2">
      <c r="A473" s="1" t="s">
        <v>484</v>
      </c>
      <c r="B473" s="1">
        <v>3</v>
      </c>
      <c r="C473" s="1">
        <v>5</v>
      </c>
      <c r="D473" s="1">
        <v>91.23</v>
      </c>
    </row>
    <row r="474" spans="1:4" x14ac:dyDescent="0.2">
      <c r="A474" s="1" t="s">
        <v>485</v>
      </c>
      <c r="B474" s="1">
        <v>13</v>
      </c>
      <c r="C474" s="1">
        <v>1459</v>
      </c>
      <c r="D474" s="1">
        <v>37.270000000000003</v>
      </c>
    </row>
    <row r="475" spans="1:4" x14ac:dyDescent="0.2">
      <c r="A475" s="1" t="s">
        <v>486</v>
      </c>
      <c r="B475" s="1">
        <v>7</v>
      </c>
      <c r="C475" s="1">
        <v>136</v>
      </c>
      <c r="D475" s="1">
        <v>55.7</v>
      </c>
    </row>
    <row r="476" spans="1:4" x14ac:dyDescent="0.2">
      <c r="A476" s="1" t="s">
        <v>487</v>
      </c>
      <c r="B476" s="1">
        <v>4</v>
      </c>
      <c r="C476" s="1">
        <v>78</v>
      </c>
      <c r="D476" s="1">
        <v>56.91</v>
      </c>
    </row>
    <row r="477" spans="1:4" x14ac:dyDescent="0.2">
      <c r="A477" s="1" t="s">
        <v>488</v>
      </c>
      <c r="B477" s="1">
        <v>3</v>
      </c>
      <c r="C477" s="1">
        <v>8</v>
      </c>
      <c r="D477" s="1">
        <v>85.96</v>
      </c>
    </row>
    <row r="478" spans="1:4" x14ac:dyDescent="0.2">
      <c r="A478" s="1" t="s">
        <v>489</v>
      </c>
      <c r="B478" s="1">
        <v>3</v>
      </c>
      <c r="C478" s="1">
        <v>5</v>
      </c>
      <c r="D478" s="1">
        <v>89.13</v>
      </c>
    </row>
    <row r="479" spans="1:4" x14ac:dyDescent="0.2">
      <c r="A479" s="1" t="s">
        <v>490</v>
      </c>
      <c r="B479" s="1">
        <v>14</v>
      </c>
      <c r="C479" s="1">
        <v>127</v>
      </c>
      <c r="D479" s="1">
        <v>60.68</v>
      </c>
    </row>
    <row r="480" spans="1:4" x14ac:dyDescent="0.2">
      <c r="A480" s="1" t="s">
        <v>491</v>
      </c>
      <c r="B480" s="1">
        <v>6</v>
      </c>
      <c r="C480" s="1">
        <v>42</v>
      </c>
      <c r="D480" s="1">
        <v>67.19</v>
      </c>
    </row>
    <row r="481" spans="1:4" x14ac:dyDescent="0.2">
      <c r="A481" s="1" t="s">
        <v>492</v>
      </c>
      <c r="B481" s="1">
        <v>3</v>
      </c>
      <c r="C481" s="1">
        <v>13</v>
      </c>
      <c r="D481" s="1">
        <v>90.78</v>
      </c>
    </row>
    <row r="482" spans="1:4" x14ac:dyDescent="0.2">
      <c r="A482" s="1" t="s">
        <v>493</v>
      </c>
      <c r="B482" s="1">
        <v>4</v>
      </c>
      <c r="C482" s="1">
        <v>50</v>
      </c>
      <c r="D482" s="1">
        <v>57.98</v>
      </c>
    </row>
    <row r="483" spans="1:4" x14ac:dyDescent="0.2">
      <c r="A483" s="1" t="s">
        <v>494</v>
      </c>
      <c r="B483" s="1">
        <v>2</v>
      </c>
      <c r="C483" s="1">
        <v>4</v>
      </c>
      <c r="D483" s="1">
        <v>91.49</v>
      </c>
    </row>
    <row r="484" spans="1:4" x14ac:dyDescent="0.2">
      <c r="A484" s="1" t="s">
        <v>495</v>
      </c>
      <c r="B484" s="1">
        <v>3</v>
      </c>
      <c r="C484" s="1">
        <v>4</v>
      </c>
      <c r="D484" s="1">
        <v>91.49</v>
      </c>
    </row>
    <row r="485" spans="1:4" x14ac:dyDescent="0.2">
      <c r="A485" s="1" t="s">
        <v>496</v>
      </c>
      <c r="B485" s="1">
        <v>3</v>
      </c>
      <c r="C485" s="1">
        <v>4</v>
      </c>
      <c r="D485" s="1">
        <v>90.7</v>
      </c>
    </row>
    <row r="486" spans="1:4" x14ac:dyDescent="0.2">
      <c r="A486" s="1" t="s">
        <v>497</v>
      </c>
      <c r="B486" s="1">
        <v>5</v>
      </c>
      <c r="C486" s="1">
        <v>5</v>
      </c>
      <c r="D486" s="1">
        <v>89.8</v>
      </c>
    </row>
    <row r="487" spans="1:4" x14ac:dyDescent="0.2">
      <c r="A487" s="1" t="s">
        <v>498</v>
      </c>
      <c r="B487" s="1">
        <v>12</v>
      </c>
      <c r="C487" s="1">
        <v>79</v>
      </c>
      <c r="D487" s="1">
        <v>64.25</v>
      </c>
    </row>
    <row r="488" spans="1:4" x14ac:dyDescent="0.2">
      <c r="A488" s="1" t="s">
        <v>499</v>
      </c>
      <c r="B488" s="1">
        <v>2</v>
      </c>
      <c r="C488" s="1">
        <v>9</v>
      </c>
      <c r="D488" s="1">
        <v>84.48</v>
      </c>
    </row>
    <row r="489" spans="1:4" x14ac:dyDescent="0.2">
      <c r="A489" s="1" t="s">
        <v>500</v>
      </c>
      <c r="B489" s="1">
        <v>3</v>
      </c>
      <c r="C489" s="1">
        <v>5</v>
      </c>
      <c r="D489" s="1">
        <v>90.74</v>
      </c>
    </row>
    <row r="490" spans="1:4" x14ac:dyDescent="0.2">
      <c r="A490" s="1" t="s">
        <v>501</v>
      </c>
      <c r="B490" s="1">
        <v>6</v>
      </c>
      <c r="C490" s="1">
        <v>11</v>
      </c>
      <c r="D490" s="1">
        <v>85.9</v>
      </c>
    </row>
    <row r="491" spans="1:4" x14ac:dyDescent="0.2">
      <c r="A491" s="1" t="s">
        <v>502</v>
      </c>
      <c r="B491" s="1">
        <v>2</v>
      </c>
      <c r="C491" s="1">
        <v>8</v>
      </c>
      <c r="D491" s="1">
        <v>86.21</v>
      </c>
    </row>
    <row r="492" spans="1:4" x14ac:dyDescent="0.2">
      <c r="A492" s="1" t="s">
        <v>503</v>
      </c>
      <c r="B492" s="1">
        <v>2</v>
      </c>
      <c r="C492" s="1">
        <v>4</v>
      </c>
      <c r="D492" s="1">
        <v>91.49</v>
      </c>
    </row>
    <row r="493" spans="1:4" x14ac:dyDescent="0.2">
      <c r="A493" s="1" t="s">
        <v>504</v>
      </c>
      <c r="B493" s="1">
        <v>5</v>
      </c>
      <c r="C493" s="1">
        <v>109</v>
      </c>
      <c r="D493" s="1">
        <v>60.07</v>
      </c>
    </row>
    <row r="494" spans="1:4" x14ac:dyDescent="0.2">
      <c r="A494" s="1" t="s">
        <v>505</v>
      </c>
      <c r="B494" s="1">
        <v>2</v>
      </c>
      <c r="C494" s="1">
        <v>96</v>
      </c>
      <c r="D494" s="1">
        <v>48.39</v>
      </c>
    </row>
    <row r="495" spans="1:4" x14ac:dyDescent="0.2">
      <c r="A495" s="1" t="s">
        <v>506</v>
      </c>
      <c r="B495" s="1">
        <v>4</v>
      </c>
      <c r="C495" s="1">
        <v>4</v>
      </c>
      <c r="D495" s="1">
        <v>91.49</v>
      </c>
    </row>
    <row r="496" spans="1:4" x14ac:dyDescent="0.2">
      <c r="A496" s="1" t="s">
        <v>507</v>
      </c>
      <c r="B496" s="1">
        <v>4</v>
      </c>
      <c r="C496" s="1">
        <v>72</v>
      </c>
      <c r="D496" s="1">
        <v>50</v>
      </c>
    </row>
    <row r="497" spans="1:4" x14ac:dyDescent="0.2">
      <c r="A497" s="1" t="s">
        <v>508</v>
      </c>
      <c r="B497" s="1">
        <v>2</v>
      </c>
      <c r="C497" s="1">
        <v>4</v>
      </c>
      <c r="D497" s="1">
        <v>90.24</v>
      </c>
    </row>
    <row r="498" spans="1:4" x14ac:dyDescent="0.2">
      <c r="A498" s="1" t="s">
        <v>509</v>
      </c>
      <c r="B498" s="1">
        <v>4</v>
      </c>
      <c r="C498" s="1">
        <v>85</v>
      </c>
      <c r="D498" s="1">
        <v>51.43</v>
      </c>
    </row>
    <row r="499" spans="1:4" x14ac:dyDescent="0.2">
      <c r="A499" s="1" t="s">
        <v>510</v>
      </c>
      <c r="B499" s="1">
        <v>3</v>
      </c>
      <c r="C499" s="1">
        <v>6</v>
      </c>
      <c r="D499" s="1">
        <v>86.96</v>
      </c>
    </row>
    <row r="500" spans="1:4" x14ac:dyDescent="0.2">
      <c r="A500" s="1" t="s">
        <v>511</v>
      </c>
      <c r="B500" s="1">
        <v>4</v>
      </c>
      <c r="C500" s="1">
        <v>156</v>
      </c>
      <c r="D500" s="1">
        <v>50.32</v>
      </c>
    </row>
    <row r="501" spans="1:4" x14ac:dyDescent="0.2">
      <c r="A501" s="1" t="s">
        <v>512</v>
      </c>
      <c r="B501" s="1">
        <v>7</v>
      </c>
      <c r="C501" s="1">
        <v>102</v>
      </c>
      <c r="D501" s="1">
        <v>45.45</v>
      </c>
    </row>
    <row r="502" spans="1:4" x14ac:dyDescent="0.2">
      <c r="A502" s="1" t="s">
        <v>513</v>
      </c>
      <c r="B502" s="1">
        <v>8</v>
      </c>
      <c r="C502" s="1">
        <v>56</v>
      </c>
      <c r="D502" s="1">
        <v>58.52</v>
      </c>
    </row>
    <row r="503" spans="1:4" x14ac:dyDescent="0.2">
      <c r="A503" s="1" t="s">
        <v>514</v>
      </c>
      <c r="B503" s="1">
        <v>8</v>
      </c>
      <c r="C503" s="1">
        <v>149</v>
      </c>
      <c r="D503" s="1">
        <v>52.7</v>
      </c>
    </row>
    <row r="504" spans="1:4" x14ac:dyDescent="0.2">
      <c r="A504" s="1" t="s">
        <v>515</v>
      </c>
      <c r="B504" s="1">
        <v>7</v>
      </c>
      <c r="C504" s="1">
        <v>244</v>
      </c>
      <c r="D504" s="1">
        <v>47.19</v>
      </c>
    </row>
    <row r="505" spans="1:4" x14ac:dyDescent="0.2">
      <c r="A505" s="1" t="s">
        <v>516</v>
      </c>
      <c r="B505" s="1">
        <v>4</v>
      </c>
      <c r="C505" s="1">
        <v>4</v>
      </c>
      <c r="D505" s="1">
        <v>92</v>
      </c>
    </row>
    <row r="506" spans="1:4" x14ac:dyDescent="0.2">
      <c r="A506" s="1" t="s">
        <v>517</v>
      </c>
      <c r="B506" s="1">
        <v>9</v>
      </c>
      <c r="C506" s="1">
        <v>84</v>
      </c>
      <c r="D506" s="1">
        <v>44.37</v>
      </c>
    </row>
    <row r="507" spans="1:4" x14ac:dyDescent="0.2">
      <c r="A507" s="1" t="s">
        <v>518</v>
      </c>
      <c r="B507" s="1">
        <v>5</v>
      </c>
      <c r="C507" s="1">
        <v>5</v>
      </c>
      <c r="D507" s="1">
        <v>90.38</v>
      </c>
    </row>
    <row r="508" spans="1:4" x14ac:dyDescent="0.2">
      <c r="A508" s="1" t="s">
        <v>519</v>
      </c>
      <c r="B508" s="1">
        <v>5</v>
      </c>
      <c r="C508" s="1">
        <v>8</v>
      </c>
      <c r="D508" s="1">
        <v>91.01</v>
      </c>
    </row>
    <row r="509" spans="1:4" x14ac:dyDescent="0.2">
      <c r="A509" s="1" t="s">
        <v>520</v>
      </c>
      <c r="B509" s="1">
        <v>6</v>
      </c>
      <c r="C509" s="1">
        <v>12</v>
      </c>
      <c r="D509" s="1">
        <v>88.35</v>
      </c>
    </row>
    <row r="510" spans="1:4" x14ac:dyDescent="0.2">
      <c r="A510" s="1" t="s">
        <v>521</v>
      </c>
      <c r="B510" s="1">
        <v>9</v>
      </c>
      <c r="C510" s="1">
        <v>72</v>
      </c>
      <c r="D510" s="1">
        <v>48.94</v>
      </c>
    </row>
    <row r="511" spans="1:4" x14ac:dyDescent="0.2">
      <c r="A511" s="1" t="s">
        <v>522</v>
      </c>
      <c r="B511" s="1">
        <v>7</v>
      </c>
      <c r="C511" s="1">
        <v>49</v>
      </c>
      <c r="D511" s="1">
        <v>54.21</v>
      </c>
    </row>
    <row r="512" spans="1:4" x14ac:dyDescent="0.2">
      <c r="A512" s="1" t="s">
        <v>523</v>
      </c>
      <c r="B512" s="1">
        <v>16</v>
      </c>
      <c r="C512" s="1">
        <v>162</v>
      </c>
      <c r="D512" s="1">
        <v>43.55</v>
      </c>
    </row>
    <row r="513" spans="1:4" x14ac:dyDescent="0.2">
      <c r="A513" s="1" t="s">
        <v>524</v>
      </c>
      <c r="B513" s="1">
        <v>8</v>
      </c>
      <c r="C513" s="1">
        <v>196</v>
      </c>
      <c r="D513" s="1">
        <v>53.77</v>
      </c>
    </row>
    <row r="514" spans="1:4" x14ac:dyDescent="0.2">
      <c r="A514" s="1" t="s">
        <v>525</v>
      </c>
      <c r="B514" s="1">
        <v>4</v>
      </c>
      <c r="C514" s="1">
        <v>6</v>
      </c>
      <c r="D514" s="1">
        <v>91.43</v>
      </c>
    </row>
    <row r="515" spans="1:4" x14ac:dyDescent="0.2">
      <c r="A515" s="1" t="s">
        <v>526</v>
      </c>
      <c r="B515" s="1">
        <v>5</v>
      </c>
      <c r="C515" s="1">
        <v>6</v>
      </c>
      <c r="D515" s="1">
        <v>88.68</v>
      </c>
    </row>
    <row r="516" spans="1:4" x14ac:dyDescent="0.2">
      <c r="A516" s="1" t="s">
        <v>527</v>
      </c>
      <c r="B516" s="1">
        <v>2</v>
      </c>
      <c r="C516" s="1">
        <v>12</v>
      </c>
      <c r="D516" s="1">
        <v>80.650000000000006</v>
      </c>
    </row>
    <row r="517" spans="1:4" x14ac:dyDescent="0.2">
      <c r="A517" s="1" t="s">
        <v>528</v>
      </c>
      <c r="B517" s="1">
        <v>2</v>
      </c>
      <c r="C517" s="1">
        <v>12</v>
      </c>
      <c r="D517" s="1">
        <v>80.650000000000006</v>
      </c>
    </row>
    <row r="518" spans="1:4" x14ac:dyDescent="0.2">
      <c r="A518" s="1" t="s">
        <v>529</v>
      </c>
      <c r="B518" s="1">
        <v>2</v>
      </c>
      <c r="C518" s="1">
        <v>12</v>
      </c>
      <c r="D518" s="1">
        <v>80.650000000000006</v>
      </c>
    </row>
    <row r="519" spans="1:4" x14ac:dyDescent="0.2">
      <c r="A519" s="1" t="s">
        <v>530</v>
      </c>
      <c r="B519" s="1">
        <v>2</v>
      </c>
      <c r="C519" s="1">
        <v>12</v>
      </c>
      <c r="D519" s="1">
        <v>80.33</v>
      </c>
    </row>
    <row r="520" spans="1:4" x14ac:dyDescent="0.2">
      <c r="A520" s="1" t="s">
        <v>531</v>
      </c>
      <c r="B520" s="1">
        <v>2</v>
      </c>
      <c r="C520" s="1">
        <v>12</v>
      </c>
      <c r="D520" s="1">
        <v>80.95</v>
      </c>
    </row>
    <row r="521" spans="1:4" x14ac:dyDescent="0.2">
      <c r="A521" s="1" t="s">
        <v>532</v>
      </c>
      <c r="B521" s="1">
        <v>2</v>
      </c>
      <c r="C521" s="1">
        <v>12</v>
      </c>
      <c r="D521" s="1">
        <v>79.66</v>
      </c>
    </row>
    <row r="522" spans="1:4" x14ac:dyDescent="0.2">
      <c r="A522" s="1" t="s">
        <v>533</v>
      </c>
      <c r="B522" s="1">
        <v>7</v>
      </c>
      <c r="C522" s="1">
        <v>110</v>
      </c>
      <c r="D522" s="1">
        <v>44.72</v>
      </c>
    </row>
    <row r="523" spans="1:4" x14ac:dyDescent="0.2">
      <c r="A523" s="1" t="s">
        <v>534</v>
      </c>
      <c r="B523" s="1">
        <v>4</v>
      </c>
      <c r="C523" s="1">
        <v>24</v>
      </c>
      <c r="D523" s="1">
        <v>88.99</v>
      </c>
    </row>
    <row r="524" spans="1:4" x14ac:dyDescent="0.2">
      <c r="A524" s="1" t="s">
        <v>535</v>
      </c>
      <c r="B524" s="1">
        <v>7</v>
      </c>
      <c r="C524" s="1">
        <v>125</v>
      </c>
      <c r="D524" s="1">
        <v>52.47</v>
      </c>
    </row>
    <row r="525" spans="1:4" x14ac:dyDescent="0.2">
      <c r="A525" s="1" t="s">
        <v>536</v>
      </c>
      <c r="B525" s="1">
        <v>5</v>
      </c>
      <c r="C525" s="1">
        <v>17</v>
      </c>
      <c r="D525" s="1">
        <v>89.7</v>
      </c>
    </row>
    <row r="526" spans="1:4" x14ac:dyDescent="0.2">
      <c r="A526" s="1" t="s">
        <v>537</v>
      </c>
      <c r="B526" s="1">
        <v>8</v>
      </c>
      <c r="C526" s="1">
        <v>412</v>
      </c>
      <c r="D526" s="1">
        <v>52.59</v>
      </c>
    </row>
    <row r="527" spans="1:4" x14ac:dyDescent="0.2">
      <c r="A527" s="1" t="s">
        <v>538</v>
      </c>
      <c r="B527" s="1">
        <v>7</v>
      </c>
      <c r="C527" s="1">
        <v>239</v>
      </c>
      <c r="D527" s="1">
        <v>54.3</v>
      </c>
    </row>
    <row r="528" spans="1:4" x14ac:dyDescent="0.2">
      <c r="A528" s="1" t="s">
        <v>539</v>
      </c>
      <c r="B528" s="1">
        <v>7</v>
      </c>
      <c r="C528" s="1">
        <v>196</v>
      </c>
      <c r="D528" s="1">
        <v>48.42</v>
      </c>
    </row>
    <row r="529" spans="1:4" x14ac:dyDescent="0.2">
      <c r="A529" s="1" t="s">
        <v>540</v>
      </c>
      <c r="B529" s="1">
        <v>8</v>
      </c>
      <c r="C529" s="1">
        <v>363</v>
      </c>
      <c r="D529" s="1">
        <v>46.93</v>
      </c>
    </row>
    <row r="530" spans="1:4" x14ac:dyDescent="0.2">
      <c r="A530" s="1" t="s">
        <v>541</v>
      </c>
      <c r="B530" s="1">
        <v>3</v>
      </c>
      <c r="C530" s="1">
        <v>62</v>
      </c>
      <c r="D530" s="1">
        <v>60.26</v>
      </c>
    </row>
    <row r="531" spans="1:4" x14ac:dyDescent="0.2">
      <c r="A531" s="1" t="s">
        <v>542</v>
      </c>
      <c r="B531" s="1">
        <v>8</v>
      </c>
      <c r="C531" s="1">
        <v>213</v>
      </c>
      <c r="D531" s="1">
        <v>54.19</v>
      </c>
    </row>
    <row r="532" spans="1:4" x14ac:dyDescent="0.2">
      <c r="A532" s="1" t="s">
        <v>543</v>
      </c>
      <c r="B532" s="1">
        <v>5</v>
      </c>
      <c r="C532" s="1">
        <v>6</v>
      </c>
      <c r="D532" s="1">
        <v>88.46</v>
      </c>
    </row>
    <row r="533" spans="1:4" x14ac:dyDescent="0.2">
      <c r="A533" s="1" t="s">
        <v>544</v>
      </c>
      <c r="B533" s="1">
        <v>6</v>
      </c>
      <c r="C533" s="1">
        <v>65</v>
      </c>
      <c r="D533" s="1">
        <v>60.37</v>
      </c>
    </row>
    <row r="534" spans="1:4" x14ac:dyDescent="0.2">
      <c r="A534" s="1" t="s">
        <v>545</v>
      </c>
      <c r="B534" s="1">
        <v>4</v>
      </c>
      <c r="C534" s="1">
        <v>8</v>
      </c>
      <c r="D534" s="1">
        <v>87.88</v>
      </c>
    </row>
    <row r="535" spans="1:4" x14ac:dyDescent="0.2">
      <c r="A535" s="1" t="s">
        <v>546</v>
      </c>
      <c r="B535" s="1">
        <v>4</v>
      </c>
      <c r="C535" s="1">
        <v>223</v>
      </c>
      <c r="D535" s="1">
        <v>32.42</v>
      </c>
    </row>
    <row r="536" spans="1:4" x14ac:dyDescent="0.2">
      <c r="A536" s="1" t="s">
        <v>547</v>
      </c>
      <c r="B536" s="1">
        <v>7</v>
      </c>
      <c r="C536" s="1">
        <v>130</v>
      </c>
      <c r="D536" s="1">
        <v>49.81</v>
      </c>
    </row>
    <row r="537" spans="1:4" x14ac:dyDescent="0.2">
      <c r="A537" s="1" t="s">
        <v>548</v>
      </c>
      <c r="B537" s="1">
        <v>10</v>
      </c>
      <c r="C537" s="1">
        <v>188</v>
      </c>
      <c r="D537" s="1">
        <v>58.41</v>
      </c>
    </row>
    <row r="538" spans="1:4" x14ac:dyDescent="0.2">
      <c r="A538" s="1" t="s">
        <v>549</v>
      </c>
      <c r="B538" s="1">
        <v>4</v>
      </c>
      <c r="C538" s="1">
        <v>9</v>
      </c>
      <c r="D538" s="1">
        <v>88.75</v>
      </c>
    </row>
    <row r="539" spans="1:4" x14ac:dyDescent="0.2">
      <c r="A539" s="1" t="s">
        <v>550</v>
      </c>
      <c r="B539" s="1">
        <v>5</v>
      </c>
      <c r="C539" s="1">
        <v>234</v>
      </c>
      <c r="D539" s="1">
        <v>44.29</v>
      </c>
    </row>
    <row r="540" spans="1:4" x14ac:dyDescent="0.2">
      <c r="A540" s="1" t="s">
        <v>551</v>
      </c>
      <c r="B540" s="1">
        <v>5</v>
      </c>
      <c r="C540" s="1">
        <v>44</v>
      </c>
      <c r="D540" s="1">
        <v>70.069999999999993</v>
      </c>
    </row>
    <row r="541" spans="1:4" x14ac:dyDescent="0.2">
      <c r="A541" s="1" t="s">
        <v>552</v>
      </c>
      <c r="B541" s="1">
        <v>11</v>
      </c>
      <c r="C541" s="1">
        <v>187</v>
      </c>
      <c r="D541" s="1">
        <v>57.01</v>
      </c>
    </row>
    <row r="542" spans="1:4" x14ac:dyDescent="0.2">
      <c r="A542" s="1" t="s">
        <v>553</v>
      </c>
      <c r="B542" s="1">
        <v>4</v>
      </c>
      <c r="C542" s="1">
        <v>403</v>
      </c>
      <c r="D542" s="1">
        <v>53.14</v>
      </c>
    </row>
    <row r="543" spans="1:4" x14ac:dyDescent="0.2">
      <c r="A543" s="1" t="s">
        <v>554</v>
      </c>
      <c r="B543" s="1">
        <v>4</v>
      </c>
      <c r="C543" s="1">
        <v>111</v>
      </c>
      <c r="D543" s="1">
        <v>57.31</v>
      </c>
    </row>
    <row r="544" spans="1:4" x14ac:dyDescent="0.2">
      <c r="A544" s="1" t="s">
        <v>555</v>
      </c>
      <c r="B544" s="1">
        <v>9</v>
      </c>
      <c r="C544" s="1">
        <v>197</v>
      </c>
      <c r="D544" s="1">
        <v>55.53</v>
      </c>
    </row>
    <row r="545" spans="1:4" x14ac:dyDescent="0.2">
      <c r="A545" s="1" t="s">
        <v>556</v>
      </c>
      <c r="B545" s="1">
        <v>8</v>
      </c>
      <c r="C545" s="1">
        <v>194</v>
      </c>
      <c r="D545" s="1">
        <v>52.91</v>
      </c>
    </row>
    <row r="546" spans="1:4" x14ac:dyDescent="0.2">
      <c r="A546" s="1" t="s">
        <v>557</v>
      </c>
      <c r="B546" s="1">
        <v>9</v>
      </c>
      <c r="C546" s="1">
        <v>207</v>
      </c>
      <c r="D546" s="1">
        <v>53.79</v>
      </c>
    </row>
    <row r="547" spans="1:4" x14ac:dyDescent="0.2">
      <c r="A547" s="1" t="s">
        <v>558</v>
      </c>
      <c r="B547" s="1">
        <v>8</v>
      </c>
      <c r="C547" s="1">
        <v>239</v>
      </c>
      <c r="D547" s="1">
        <v>51.72</v>
      </c>
    </row>
    <row r="548" spans="1:4" x14ac:dyDescent="0.2">
      <c r="A548" s="1" t="s">
        <v>559</v>
      </c>
      <c r="B548" s="1">
        <v>8</v>
      </c>
      <c r="C548" s="1">
        <v>165</v>
      </c>
      <c r="D548" s="1">
        <v>44.26</v>
      </c>
    </row>
    <row r="549" spans="1:4" x14ac:dyDescent="0.2">
      <c r="A549" s="1" t="s">
        <v>560</v>
      </c>
      <c r="B549" s="1">
        <v>5</v>
      </c>
      <c r="C549" s="1">
        <v>59</v>
      </c>
      <c r="D549" s="1">
        <v>59.03</v>
      </c>
    </row>
    <row r="550" spans="1:4" x14ac:dyDescent="0.2">
      <c r="A550" s="1" t="s">
        <v>561</v>
      </c>
      <c r="B550" s="1">
        <v>6</v>
      </c>
      <c r="C550" s="1">
        <v>51</v>
      </c>
      <c r="D550" s="1">
        <v>60.47</v>
      </c>
    </row>
    <row r="551" spans="1:4" x14ac:dyDescent="0.2">
      <c r="A551" s="1" t="s">
        <v>562</v>
      </c>
      <c r="B551" s="1">
        <v>6</v>
      </c>
      <c r="C551" s="1">
        <v>38</v>
      </c>
      <c r="D551" s="1">
        <v>70.08</v>
      </c>
    </row>
    <row r="552" spans="1:4" x14ac:dyDescent="0.2">
      <c r="A552" s="1" t="s">
        <v>563</v>
      </c>
      <c r="B552" s="1">
        <v>12</v>
      </c>
      <c r="C552" s="1">
        <v>187</v>
      </c>
      <c r="D552" s="1">
        <v>58.81</v>
      </c>
    </row>
    <row r="553" spans="1:4" x14ac:dyDescent="0.2">
      <c r="A553" s="1" t="s">
        <v>564</v>
      </c>
      <c r="B553" s="1">
        <v>11</v>
      </c>
      <c r="C553" s="1">
        <v>198</v>
      </c>
      <c r="D553" s="1">
        <v>55</v>
      </c>
    </row>
    <row r="554" spans="1:4" x14ac:dyDescent="0.2">
      <c r="A554" s="1" t="s">
        <v>565</v>
      </c>
      <c r="B554" s="1">
        <v>12</v>
      </c>
      <c r="C554" s="1">
        <v>110</v>
      </c>
      <c r="D554" s="1">
        <v>69.53</v>
      </c>
    </row>
    <row r="555" spans="1:4" x14ac:dyDescent="0.2">
      <c r="A555" s="1" t="s">
        <v>566</v>
      </c>
      <c r="B555" s="1">
        <v>9</v>
      </c>
      <c r="C555" s="1">
        <v>196</v>
      </c>
      <c r="D555" s="1">
        <v>53.33</v>
      </c>
    </row>
    <row r="556" spans="1:4" x14ac:dyDescent="0.2">
      <c r="A556" s="1" t="s">
        <v>567</v>
      </c>
      <c r="B556" s="1">
        <v>6</v>
      </c>
      <c r="C556" s="1">
        <v>91</v>
      </c>
      <c r="D556" s="1">
        <v>54.73</v>
      </c>
    </row>
    <row r="557" spans="1:4" x14ac:dyDescent="0.2">
      <c r="A557" s="1" t="s">
        <v>568</v>
      </c>
      <c r="B557" s="1">
        <v>5</v>
      </c>
      <c r="C557" s="1">
        <v>6</v>
      </c>
      <c r="D557" s="1">
        <v>89.47</v>
      </c>
    </row>
    <row r="558" spans="1:4" x14ac:dyDescent="0.2">
      <c r="A558" s="1" t="s">
        <v>569</v>
      </c>
      <c r="B558" s="1">
        <v>7</v>
      </c>
      <c r="C558" s="1">
        <v>6</v>
      </c>
      <c r="D558" s="1">
        <v>87.5</v>
      </c>
    </row>
    <row r="559" spans="1:4" x14ac:dyDescent="0.2">
      <c r="A559" s="1" t="s">
        <v>570</v>
      </c>
      <c r="B559" s="1">
        <v>3</v>
      </c>
      <c r="C559" s="1">
        <v>6</v>
      </c>
      <c r="D559" s="1">
        <v>87.76</v>
      </c>
    </row>
    <row r="560" spans="1:4" x14ac:dyDescent="0.2">
      <c r="A560" s="1" t="s">
        <v>571</v>
      </c>
      <c r="B560" s="1">
        <v>7</v>
      </c>
      <c r="C560" s="1">
        <v>66</v>
      </c>
      <c r="D560" s="1">
        <v>60.71</v>
      </c>
    </row>
    <row r="561" spans="1:4" x14ac:dyDescent="0.2">
      <c r="A561" s="1" t="s">
        <v>572</v>
      </c>
      <c r="B561" s="1">
        <v>12</v>
      </c>
      <c r="C561" s="1">
        <v>221</v>
      </c>
      <c r="D561" s="1">
        <v>48</v>
      </c>
    </row>
    <row r="562" spans="1:4" x14ac:dyDescent="0.2">
      <c r="A562" s="1" t="s">
        <v>573</v>
      </c>
      <c r="B562" s="1">
        <v>12</v>
      </c>
      <c r="C562" s="1">
        <v>207</v>
      </c>
      <c r="D562" s="1">
        <v>49.64</v>
      </c>
    </row>
    <row r="563" spans="1:4" x14ac:dyDescent="0.2">
      <c r="A563" s="1" t="s">
        <v>574</v>
      </c>
      <c r="B563" s="1">
        <v>19</v>
      </c>
      <c r="C563" s="1">
        <v>606</v>
      </c>
      <c r="D563" s="1">
        <v>48.29</v>
      </c>
    </row>
    <row r="564" spans="1:4" x14ac:dyDescent="0.2">
      <c r="A564" s="1" t="s">
        <v>575</v>
      </c>
      <c r="B564" s="1">
        <v>18</v>
      </c>
      <c r="C564" s="1">
        <v>323</v>
      </c>
      <c r="D564" s="1">
        <v>51.28</v>
      </c>
    </row>
    <row r="565" spans="1:4" x14ac:dyDescent="0.2">
      <c r="A565" s="1" t="s">
        <v>576</v>
      </c>
      <c r="B565" s="1">
        <v>10</v>
      </c>
      <c r="C565" s="1">
        <v>66</v>
      </c>
      <c r="D565" s="1">
        <v>65.260000000000005</v>
      </c>
    </row>
    <row r="566" spans="1:4" x14ac:dyDescent="0.2">
      <c r="A566" s="1" t="s">
        <v>577</v>
      </c>
      <c r="B566" s="1">
        <v>4</v>
      </c>
      <c r="C566" s="1">
        <v>127</v>
      </c>
      <c r="D566" s="1">
        <v>47.08</v>
      </c>
    </row>
    <row r="567" spans="1:4" x14ac:dyDescent="0.2">
      <c r="A567" s="1" t="s">
        <v>578</v>
      </c>
      <c r="B567" s="1">
        <v>11</v>
      </c>
      <c r="C567" s="1">
        <v>230</v>
      </c>
      <c r="D567" s="1">
        <v>59</v>
      </c>
    </row>
    <row r="568" spans="1:4" x14ac:dyDescent="0.2">
      <c r="A568" s="1" t="s">
        <v>579</v>
      </c>
      <c r="B568" s="1">
        <v>9</v>
      </c>
      <c r="C568" s="1">
        <v>302</v>
      </c>
      <c r="D568" s="1">
        <v>49.24</v>
      </c>
    </row>
    <row r="569" spans="1:4" x14ac:dyDescent="0.2">
      <c r="A569" s="1" t="s">
        <v>580</v>
      </c>
      <c r="B569" s="1">
        <v>10</v>
      </c>
      <c r="C569" s="1">
        <v>141</v>
      </c>
      <c r="D569" s="1">
        <v>61.68</v>
      </c>
    </row>
    <row r="570" spans="1:4" x14ac:dyDescent="0.2">
      <c r="A570" s="1" t="s">
        <v>581</v>
      </c>
      <c r="B570" s="1">
        <v>2</v>
      </c>
      <c r="C570" s="1">
        <v>6</v>
      </c>
      <c r="D570" s="1">
        <v>88.68</v>
      </c>
    </row>
    <row r="571" spans="1:4" x14ac:dyDescent="0.2">
      <c r="A571" s="1" t="s">
        <v>582</v>
      </c>
      <c r="B571" s="1">
        <v>3</v>
      </c>
      <c r="C571" s="1">
        <v>4</v>
      </c>
      <c r="D571" s="1">
        <v>92.31</v>
      </c>
    </row>
    <row r="572" spans="1:4" x14ac:dyDescent="0.2">
      <c r="A572" s="1" t="s">
        <v>583</v>
      </c>
      <c r="B572" s="1">
        <v>5</v>
      </c>
      <c r="C572" s="1">
        <v>5</v>
      </c>
      <c r="D572" s="1">
        <v>91.53</v>
      </c>
    </row>
    <row r="573" spans="1:4" x14ac:dyDescent="0.2">
      <c r="A573" s="1" t="s">
        <v>584</v>
      </c>
      <c r="B573" s="1">
        <v>4</v>
      </c>
      <c r="C573" s="1">
        <v>6</v>
      </c>
      <c r="D573" s="1">
        <v>91.3</v>
      </c>
    </row>
    <row r="574" spans="1:4" x14ac:dyDescent="0.2">
      <c r="A574" s="1" t="s">
        <v>585</v>
      </c>
      <c r="B574" s="1">
        <v>3</v>
      </c>
      <c r="C574" s="1">
        <v>48</v>
      </c>
      <c r="D574" s="1">
        <v>60.33</v>
      </c>
    </row>
    <row r="575" spans="1:4" x14ac:dyDescent="0.2">
      <c r="A575" s="1" t="s">
        <v>586</v>
      </c>
      <c r="B575" s="1">
        <v>5</v>
      </c>
      <c r="C575" s="1">
        <v>56</v>
      </c>
      <c r="D575" s="1">
        <v>58.21</v>
      </c>
    </row>
    <row r="576" spans="1:4" x14ac:dyDescent="0.2">
      <c r="A576" s="1" t="s">
        <v>587</v>
      </c>
      <c r="B576" s="1">
        <v>5</v>
      </c>
      <c r="C576" s="1">
        <v>74</v>
      </c>
      <c r="D576" s="1">
        <v>54.04</v>
      </c>
    </row>
    <row r="577" spans="1:4" x14ac:dyDescent="0.2">
      <c r="A577" s="1" t="s">
        <v>588</v>
      </c>
      <c r="B577" s="1">
        <v>3</v>
      </c>
      <c r="C577" s="1">
        <v>9</v>
      </c>
      <c r="D577" s="1">
        <v>84.21</v>
      </c>
    </row>
    <row r="578" spans="1:4" x14ac:dyDescent="0.2">
      <c r="A578" s="1" t="s">
        <v>589</v>
      </c>
      <c r="B578" s="1">
        <v>2</v>
      </c>
      <c r="C578" s="1">
        <v>62</v>
      </c>
      <c r="D578" s="1">
        <v>58.94</v>
      </c>
    </row>
    <row r="579" spans="1:4" x14ac:dyDescent="0.2">
      <c r="A579" s="1" t="s">
        <v>590</v>
      </c>
      <c r="B579" s="1">
        <v>2</v>
      </c>
      <c r="C579" s="1">
        <v>53</v>
      </c>
      <c r="D579" s="1">
        <v>62.41</v>
      </c>
    </row>
    <row r="580" spans="1:4" x14ac:dyDescent="0.2">
      <c r="A580" s="1" t="s">
        <v>591</v>
      </c>
      <c r="B580" s="1">
        <v>2</v>
      </c>
      <c r="C580" s="1">
        <v>45</v>
      </c>
      <c r="D580" s="1">
        <v>62.81</v>
      </c>
    </row>
    <row r="581" spans="1:4" x14ac:dyDescent="0.2">
      <c r="A581" s="1" t="s">
        <v>592</v>
      </c>
      <c r="B581" s="1">
        <v>2</v>
      </c>
      <c r="C581" s="1">
        <v>39</v>
      </c>
      <c r="D581" s="1">
        <v>65.790000000000006</v>
      </c>
    </row>
    <row r="582" spans="1:4" x14ac:dyDescent="0.2">
      <c r="A582" s="1" t="s">
        <v>593</v>
      </c>
      <c r="B582" s="1">
        <v>2</v>
      </c>
      <c r="C582" s="1">
        <v>60</v>
      </c>
      <c r="D582" s="1">
        <v>59.18</v>
      </c>
    </row>
    <row r="583" spans="1:4" x14ac:dyDescent="0.2">
      <c r="A583" s="1" t="s">
        <v>594</v>
      </c>
      <c r="B583" s="1">
        <v>3</v>
      </c>
      <c r="C583" s="1">
        <v>41</v>
      </c>
      <c r="D583" s="1">
        <v>64.66</v>
      </c>
    </row>
    <row r="584" spans="1:4" x14ac:dyDescent="0.2">
      <c r="A584" s="1" t="s">
        <v>595</v>
      </c>
      <c r="B584" s="1">
        <v>4</v>
      </c>
      <c r="C584" s="1">
        <v>28</v>
      </c>
      <c r="D584" s="1">
        <v>68.89</v>
      </c>
    </row>
    <row r="585" spans="1:4" x14ac:dyDescent="0.2">
      <c r="A585" s="1" t="s">
        <v>596</v>
      </c>
      <c r="B585" s="1">
        <v>3</v>
      </c>
      <c r="C585" s="1">
        <v>13</v>
      </c>
      <c r="D585" s="1">
        <v>78.33</v>
      </c>
    </row>
    <row r="586" spans="1:4" x14ac:dyDescent="0.2">
      <c r="A586" s="1" t="s">
        <v>597</v>
      </c>
      <c r="B586" s="1">
        <v>7</v>
      </c>
      <c r="C586" s="1">
        <v>143</v>
      </c>
      <c r="D586" s="1">
        <v>62.66</v>
      </c>
    </row>
    <row r="587" spans="1:4" x14ac:dyDescent="0.2">
      <c r="A587" s="1" t="s">
        <v>598</v>
      </c>
      <c r="B587" s="1">
        <v>9</v>
      </c>
      <c r="C587" s="1">
        <v>155</v>
      </c>
      <c r="D587" s="1">
        <v>61.06</v>
      </c>
    </row>
    <row r="588" spans="1:4" x14ac:dyDescent="0.2">
      <c r="A588" s="1" t="s">
        <v>599</v>
      </c>
      <c r="B588" s="1">
        <v>8</v>
      </c>
      <c r="C588" s="1">
        <v>197</v>
      </c>
      <c r="D588" s="1">
        <v>62.48</v>
      </c>
    </row>
    <row r="589" spans="1:4" x14ac:dyDescent="0.2">
      <c r="A589" s="1" t="s">
        <v>600</v>
      </c>
      <c r="B589" s="1">
        <v>6</v>
      </c>
      <c r="C589" s="1">
        <v>128</v>
      </c>
      <c r="D589" s="1">
        <v>60</v>
      </c>
    </row>
    <row r="590" spans="1:4" x14ac:dyDescent="0.2">
      <c r="A590" s="1" t="s">
        <v>601</v>
      </c>
      <c r="B590" s="1">
        <v>12</v>
      </c>
      <c r="C590" s="1">
        <v>293</v>
      </c>
      <c r="D590" s="1">
        <v>49.66</v>
      </c>
    </row>
    <row r="591" spans="1:4" x14ac:dyDescent="0.2">
      <c r="A591" s="1" t="s">
        <v>602</v>
      </c>
      <c r="B591" s="1">
        <v>7</v>
      </c>
      <c r="C591" s="1">
        <v>186</v>
      </c>
      <c r="D591" s="1">
        <v>52.79</v>
      </c>
    </row>
    <row r="592" spans="1:4" x14ac:dyDescent="0.2">
      <c r="A592" s="1" t="s">
        <v>603</v>
      </c>
      <c r="B592" s="1">
        <v>8</v>
      </c>
      <c r="C592" s="1">
        <v>148</v>
      </c>
      <c r="D592" s="1">
        <v>58.77</v>
      </c>
    </row>
    <row r="593" spans="1:4" x14ac:dyDescent="0.2">
      <c r="A593" s="1" t="s">
        <v>604</v>
      </c>
      <c r="B593" s="1">
        <v>7</v>
      </c>
      <c r="C593" s="1">
        <v>158</v>
      </c>
      <c r="D593" s="1">
        <v>60.7</v>
      </c>
    </row>
    <row r="594" spans="1:4" x14ac:dyDescent="0.2">
      <c r="A594" s="1" t="s">
        <v>605</v>
      </c>
      <c r="B594" s="1">
        <v>4</v>
      </c>
      <c r="C594" s="1">
        <v>11</v>
      </c>
      <c r="D594" s="1">
        <v>91.97</v>
      </c>
    </row>
    <row r="595" spans="1:4" x14ac:dyDescent="0.2">
      <c r="A595" s="1" t="s">
        <v>606</v>
      </c>
      <c r="B595" s="1">
        <v>9</v>
      </c>
      <c r="C595" s="1">
        <v>180</v>
      </c>
      <c r="D595" s="1">
        <v>58.72</v>
      </c>
    </row>
    <row r="596" spans="1:4" x14ac:dyDescent="0.2">
      <c r="A596" s="1" t="s">
        <v>607</v>
      </c>
      <c r="B596" s="1">
        <v>4</v>
      </c>
      <c r="C596" s="1">
        <v>10</v>
      </c>
      <c r="D596" s="1">
        <v>89.69</v>
      </c>
    </row>
    <row r="597" spans="1:4" x14ac:dyDescent="0.2">
      <c r="A597" s="1" t="s">
        <v>608</v>
      </c>
      <c r="B597" s="1">
        <v>4</v>
      </c>
      <c r="C597" s="1">
        <v>75</v>
      </c>
      <c r="D597" s="1">
        <v>62.5</v>
      </c>
    </row>
    <row r="598" spans="1:4" x14ac:dyDescent="0.2">
      <c r="A598" s="1" t="s">
        <v>609</v>
      </c>
      <c r="B598" s="1">
        <v>8</v>
      </c>
      <c r="C598" s="1">
        <v>108</v>
      </c>
      <c r="D598" s="1">
        <v>60.29</v>
      </c>
    </row>
    <row r="599" spans="1:4" x14ac:dyDescent="0.2">
      <c r="A599" s="1" t="s">
        <v>610</v>
      </c>
      <c r="B599" s="1">
        <v>4</v>
      </c>
      <c r="C599" s="1">
        <v>35</v>
      </c>
      <c r="D599" s="1">
        <v>73.28</v>
      </c>
    </row>
    <row r="600" spans="1:4" x14ac:dyDescent="0.2">
      <c r="A600" s="1" t="s">
        <v>611</v>
      </c>
      <c r="B600" s="1">
        <v>5</v>
      </c>
      <c r="C600" s="1">
        <v>77</v>
      </c>
      <c r="D600" s="1">
        <v>57.69</v>
      </c>
    </row>
    <row r="601" spans="1:4" x14ac:dyDescent="0.2">
      <c r="A601" s="1" t="s">
        <v>612</v>
      </c>
      <c r="B601" s="1">
        <v>3</v>
      </c>
      <c r="C601" s="1">
        <v>13</v>
      </c>
      <c r="D601" s="1">
        <v>91.28</v>
      </c>
    </row>
    <row r="602" spans="1:4" x14ac:dyDescent="0.2">
      <c r="A602" s="1" t="s">
        <v>613</v>
      </c>
      <c r="B602" s="1">
        <v>4</v>
      </c>
      <c r="C602" s="1">
        <v>4</v>
      </c>
      <c r="D602" s="1">
        <v>92.98</v>
      </c>
    </row>
    <row r="603" spans="1:4" x14ac:dyDescent="0.2">
      <c r="A603" s="1" t="s">
        <v>614</v>
      </c>
      <c r="B603" s="1">
        <v>3</v>
      </c>
      <c r="C603" s="1">
        <v>48</v>
      </c>
      <c r="D603" s="1">
        <v>64.44</v>
      </c>
    </row>
    <row r="604" spans="1:4" x14ac:dyDescent="0.2">
      <c r="A604" s="1" t="s">
        <v>615</v>
      </c>
      <c r="B604" s="1">
        <v>3</v>
      </c>
      <c r="C604" s="1">
        <v>36</v>
      </c>
      <c r="D604" s="1">
        <v>69.23</v>
      </c>
    </row>
    <row r="605" spans="1:4" x14ac:dyDescent="0.2">
      <c r="A605" s="1" t="s">
        <v>616</v>
      </c>
      <c r="B605" s="1">
        <v>3</v>
      </c>
      <c r="C605" s="1">
        <v>44</v>
      </c>
      <c r="D605" s="1">
        <v>72.84</v>
      </c>
    </row>
    <row r="606" spans="1:4" x14ac:dyDescent="0.2">
      <c r="A606" s="1" t="s">
        <v>617</v>
      </c>
      <c r="B606" s="1">
        <v>10</v>
      </c>
      <c r="C606" s="1">
        <v>115</v>
      </c>
      <c r="D606" s="1">
        <v>62.05</v>
      </c>
    </row>
    <row r="607" spans="1:4" x14ac:dyDescent="0.2">
      <c r="A607" s="1" t="s">
        <v>618</v>
      </c>
      <c r="B607" s="1">
        <v>5</v>
      </c>
      <c r="C607" s="1">
        <v>6</v>
      </c>
      <c r="D607" s="1">
        <v>91.78</v>
      </c>
    </row>
    <row r="608" spans="1:4" x14ac:dyDescent="0.2">
      <c r="A608" s="1" t="s">
        <v>619</v>
      </c>
      <c r="B608" s="1">
        <v>5</v>
      </c>
      <c r="C608" s="1">
        <v>5</v>
      </c>
      <c r="D608" s="1">
        <v>92.54</v>
      </c>
    </row>
    <row r="609" spans="1:4" x14ac:dyDescent="0.2">
      <c r="A609" s="1" t="s">
        <v>620</v>
      </c>
      <c r="B609" s="1">
        <v>6</v>
      </c>
      <c r="C609" s="1">
        <v>34</v>
      </c>
      <c r="D609" s="1">
        <v>67.31</v>
      </c>
    </row>
    <row r="610" spans="1:4" x14ac:dyDescent="0.2">
      <c r="A610" s="1" t="s">
        <v>621</v>
      </c>
      <c r="B610" s="1">
        <v>3</v>
      </c>
      <c r="C610" s="1">
        <v>40</v>
      </c>
      <c r="D610" s="1">
        <v>75.31</v>
      </c>
    </row>
    <row r="611" spans="1:4" x14ac:dyDescent="0.2">
      <c r="A611" s="1" t="s">
        <v>622</v>
      </c>
      <c r="B611" s="1">
        <v>11</v>
      </c>
      <c r="C611" s="1">
        <v>140</v>
      </c>
      <c r="D611" s="1">
        <v>61.11</v>
      </c>
    </row>
    <row r="612" spans="1:4" x14ac:dyDescent="0.2">
      <c r="A612" s="1" t="s">
        <v>623</v>
      </c>
      <c r="B612" s="1">
        <v>4</v>
      </c>
      <c r="C612" s="1">
        <v>6</v>
      </c>
      <c r="D612" s="1">
        <v>91.67</v>
      </c>
    </row>
    <row r="613" spans="1:4" x14ac:dyDescent="0.2">
      <c r="A613" s="1" t="s">
        <v>624</v>
      </c>
      <c r="B613" s="1">
        <v>6</v>
      </c>
      <c r="C613" s="1">
        <v>125</v>
      </c>
      <c r="D613" s="1">
        <v>64.790000000000006</v>
      </c>
    </row>
    <row r="614" spans="1:4" x14ac:dyDescent="0.2">
      <c r="A614" s="1" t="s">
        <v>625</v>
      </c>
      <c r="B614" s="1">
        <v>3</v>
      </c>
      <c r="C614" s="1">
        <v>71</v>
      </c>
      <c r="D614" s="1">
        <v>54.19</v>
      </c>
    </row>
    <row r="615" spans="1:4" x14ac:dyDescent="0.2">
      <c r="A615" s="1" t="s">
        <v>626</v>
      </c>
      <c r="B615" s="1">
        <v>9</v>
      </c>
      <c r="C615" s="1">
        <v>93</v>
      </c>
      <c r="D615" s="1">
        <v>58.11</v>
      </c>
    </row>
    <row r="616" spans="1:4" x14ac:dyDescent="0.2">
      <c r="A616" s="1" t="s">
        <v>627</v>
      </c>
      <c r="B616" s="1">
        <v>5</v>
      </c>
      <c r="C616" s="1">
        <v>11</v>
      </c>
      <c r="D616" s="1">
        <v>89.81</v>
      </c>
    </row>
    <row r="617" spans="1:4" x14ac:dyDescent="0.2">
      <c r="A617" s="1" t="s">
        <v>628</v>
      </c>
      <c r="B617" s="1">
        <v>2</v>
      </c>
      <c r="C617" s="1">
        <v>73</v>
      </c>
      <c r="D617" s="1">
        <v>69.709999999999994</v>
      </c>
    </row>
    <row r="618" spans="1:4" x14ac:dyDescent="0.2">
      <c r="A618" s="1" t="s">
        <v>629</v>
      </c>
      <c r="B618" s="1">
        <v>5</v>
      </c>
      <c r="C618" s="1">
        <v>6</v>
      </c>
      <c r="D618" s="1">
        <v>89.09</v>
      </c>
    </row>
    <row r="619" spans="1:4" x14ac:dyDescent="0.2">
      <c r="A619" s="1" t="s">
        <v>630</v>
      </c>
      <c r="B619" s="1">
        <v>4</v>
      </c>
      <c r="C619" s="1">
        <v>58</v>
      </c>
      <c r="D619" s="1">
        <v>59.44</v>
      </c>
    </row>
    <row r="620" spans="1:4" x14ac:dyDescent="0.2">
      <c r="A620" s="1" t="s">
        <v>631</v>
      </c>
      <c r="B620" s="1">
        <v>5</v>
      </c>
      <c r="C620" s="1">
        <v>56</v>
      </c>
      <c r="D620" s="1">
        <v>58.21</v>
      </c>
    </row>
    <row r="621" spans="1:4" x14ac:dyDescent="0.2">
      <c r="A621" s="1" t="s">
        <v>632</v>
      </c>
      <c r="B621" s="1">
        <v>3</v>
      </c>
      <c r="C621" s="1">
        <v>49</v>
      </c>
      <c r="D621" s="1">
        <v>74.069999999999993</v>
      </c>
    </row>
    <row r="622" spans="1:4" x14ac:dyDescent="0.2">
      <c r="A622" s="1" t="s">
        <v>633</v>
      </c>
      <c r="B622" s="1">
        <v>10</v>
      </c>
      <c r="C622" s="1">
        <v>132</v>
      </c>
      <c r="D622" s="1">
        <v>63.03</v>
      </c>
    </row>
    <row r="623" spans="1:4" x14ac:dyDescent="0.2">
      <c r="A623" s="1" t="s">
        <v>634</v>
      </c>
      <c r="B623" s="1">
        <v>8</v>
      </c>
      <c r="C623" s="1">
        <v>70</v>
      </c>
      <c r="D623" s="1">
        <v>49.28</v>
      </c>
    </row>
    <row r="624" spans="1:4" x14ac:dyDescent="0.2">
      <c r="A624" s="1" t="s">
        <v>635</v>
      </c>
      <c r="B624" s="1">
        <v>4</v>
      </c>
      <c r="C624" s="1">
        <v>6</v>
      </c>
      <c r="D624" s="1">
        <v>89.29</v>
      </c>
    </row>
    <row r="625" spans="1:4" x14ac:dyDescent="0.2">
      <c r="A625" s="1" t="s">
        <v>636</v>
      </c>
      <c r="B625" s="1">
        <v>15</v>
      </c>
      <c r="C625" s="1">
        <v>425</v>
      </c>
      <c r="D625" s="1">
        <v>52.35</v>
      </c>
    </row>
    <row r="626" spans="1:4" x14ac:dyDescent="0.2">
      <c r="A626" s="1" t="s">
        <v>637</v>
      </c>
      <c r="B626" s="1">
        <v>14</v>
      </c>
      <c r="C626" s="1">
        <v>371</v>
      </c>
      <c r="D626" s="1">
        <v>47.6</v>
      </c>
    </row>
    <row r="627" spans="1:4" x14ac:dyDescent="0.2">
      <c r="A627" s="1" t="s">
        <v>638</v>
      </c>
      <c r="B627" s="1">
        <v>4</v>
      </c>
      <c r="C627" s="1">
        <v>5</v>
      </c>
      <c r="D627" s="1">
        <v>91.67</v>
      </c>
    </row>
    <row r="628" spans="1:4" x14ac:dyDescent="0.2">
      <c r="A628" s="1" t="s">
        <v>639</v>
      </c>
      <c r="B628" s="1">
        <v>4</v>
      </c>
      <c r="C628" s="1">
        <v>41</v>
      </c>
      <c r="D628" s="1">
        <v>63.39</v>
      </c>
    </row>
    <row r="629" spans="1:4" x14ac:dyDescent="0.2">
      <c r="A629" s="1" t="s">
        <v>640</v>
      </c>
      <c r="B629" s="1">
        <v>5</v>
      </c>
      <c r="C629" s="1">
        <v>37</v>
      </c>
      <c r="D629" s="1">
        <v>64.08</v>
      </c>
    </row>
    <row r="630" spans="1:4" x14ac:dyDescent="0.2">
      <c r="A630" s="1" t="s">
        <v>641</v>
      </c>
      <c r="B630" s="1">
        <v>3</v>
      </c>
      <c r="C630" s="1">
        <v>39</v>
      </c>
      <c r="D630" s="1">
        <v>76.069999999999993</v>
      </c>
    </row>
    <row r="631" spans="1:4" x14ac:dyDescent="0.2">
      <c r="A631" s="1" t="s">
        <v>642</v>
      </c>
      <c r="B631" s="1">
        <v>12</v>
      </c>
      <c r="C631" s="1">
        <v>122</v>
      </c>
      <c r="D631" s="1">
        <v>61.99</v>
      </c>
    </row>
    <row r="632" spans="1:4" x14ac:dyDescent="0.2">
      <c r="A632" s="1" t="s">
        <v>643</v>
      </c>
      <c r="B632" s="1">
        <v>4</v>
      </c>
      <c r="C632" s="1">
        <v>6</v>
      </c>
      <c r="D632" s="1">
        <v>91.78</v>
      </c>
    </row>
    <row r="633" spans="1:4" x14ac:dyDescent="0.2">
      <c r="A633" s="1" t="s">
        <v>644</v>
      </c>
      <c r="B633" s="1">
        <v>4</v>
      </c>
      <c r="C633" s="1">
        <v>41</v>
      </c>
      <c r="D633" s="1">
        <v>64.66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G31"/>
  <sheetViews>
    <sheetView workbookViewId="0"/>
  </sheetViews>
  <sheetFormatPr defaultColWidth="12.5703125" defaultRowHeight="15.75" customHeight="1" x14ac:dyDescent="0.2"/>
  <sheetData>
    <row r="2" spans="2:7" x14ac:dyDescent="0.2">
      <c r="B2" s="1" t="s">
        <v>645</v>
      </c>
      <c r="D2" s="1" t="s">
        <v>646</v>
      </c>
      <c r="E2" s="1">
        <f>AVERAGE(data!B2:B633)</f>
        <v>6.7420886075949369</v>
      </c>
      <c r="F2" s="1" t="s">
        <v>647</v>
      </c>
      <c r="G2" s="1">
        <f>STDEV(data!B2:B633)</f>
        <v>4.7633306880918136</v>
      </c>
    </row>
    <row r="3" spans="2:7" x14ac:dyDescent="0.2">
      <c r="B3" s="1" t="s">
        <v>648</v>
      </c>
      <c r="C3" s="1" t="s">
        <v>649</v>
      </c>
      <c r="E3" s="1" t="s">
        <v>650</v>
      </c>
      <c r="F3" s="1" t="s">
        <v>651</v>
      </c>
    </row>
    <row r="4" spans="2:7" x14ac:dyDescent="0.2">
      <c r="B4" s="1">
        <f ca="1">IFERROR(__xludf.DUMMYFUNCTION("SORT(UNIQUE(data!B2:data!B633))"),2)</f>
        <v>2</v>
      </c>
      <c r="C4" s="1">
        <f t="array" aca="1" ref="C4:C31" ca="1">FREQUENCY(data!B2:B633,B4:B30)</f>
        <v>94</v>
      </c>
      <c r="E4" s="1">
        <f t="shared" ref="E4:E30" ca="1" si="0">NORMDIST(B4,$E$2,$G$2,FALSE)</f>
        <v>5.102517588839444E-2</v>
      </c>
      <c r="F4" s="1">
        <f t="shared" ref="F4:F30" ca="1" si="1">E4*632</f>
        <v>32.247911161465289</v>
      </c>
    </row>
    <row r="5" spans="2:7" x14ac:dyDescent="0.2">
      <c r="B5" s="1">
        <f ca="1">IFERROR(__xludf.DUMMYFUNCTION("""COMPUTED_VALUE"""),3)</f>
        <v>3</v>
      </c>
      <c r="C5" s="1">
        <f ca="1"/>
        <v>73</v>
      </c>
      <c r="E5" s="1">
        <f t="shared" ca="1" si="0"/>
        <v>6.15151370774666E-2</v>
      </c>
      <c r="F5" s="1">
        <f t="shared" ca="1" si="1"/>
        <v>38.877566632958889</v>
      </c>
    </row>
    <row r="6" spans="2:7" x14ac:dyDescent="0.2">
      <c r="B6" s="1">
        <f ca="1">IFERROR(__xludf.DUMMYFUNCTION("""COMPUTED_VALUE"""),4)</f>
        <v>4</v>
      </c>
      <c r="C6" s="1">
        <f ca="1"/>
        <v>86</v>
      </c>
      <c r="E6" s="1">
        <f t="shared" ca="1" si="0"/>
        <v>7.0964077272177614E-2</v>
      </c>
      <c r="F6" s="1">
        <f t="shared" ca="1" si="1"/>
        <v>44.849296836016251</v>
      </c>
    </row>
    <row r="7" spans="2:7" x14ac:dyDescent="0.2">
      <c r="B7" s="1">
        <f ca="1">IFERROR(__xludf.DUMMYFUNCTION("""COMPUTED_VALUE"""),5)</f>
        <v>5</v>
      </c>
      <c r="C7" s="1">
        <f ca="1"/>
        <v>69</v>
      </c>
      <c r="E7" s="1">
        <f t="shared" ca="1" si="0"/>
        <v>7.8334703237347911E-2</v>
      </c>
      <c r="F7" s="1">
        <f t="shared" ca="1" si="1"/>
        <v>49.507532446003879</v>
      </c>
    </row>
    <row r="8" spans="2:7" x14ac:dyDescent="0.2">
      <c r="B8" s="1">
        <f ca="1">IFERROR(__xludf.DUMMYFUNCTION("""COMPUTED_VALUE"""),6)</f>
        <v>6</v>
      </c>
      <c r="C8" s="1">
        <f ca="1"/>
        <v>52</v>
      </c>
      <c r="E8" s="1">
        <f t="shared" ca="1" si="0"/>
        <v>8.2742554218415809E-2</v>
      </c>
      <c r="F8" s="1">
        <f t="shared" ca="1" si="1"/>
        <v>52.293294266038792</v>
      </c>
    </row>
    <row r="9" spans="2:7" x14ac:dyDescent="0.2">
      <c r="B9" s="1">
        <f ca="1">IFERROR(__xludf.DUMMYFUNCTION("""COMPUTED_VALUE"""),7)</f>
        <v>7</v>
      </c>
      <c r="C9" s="1">
        <f ca="1"/>
        <v>48</v>
      </c>
      <c r="E9" s="1">
        <f t="shared" ca="1" si="0"/>
        <v>8.3630120447692968E-2</v>
      </c>
      <c r="F9" s="1">
        <f t="shared" ca="1" si="1"/>
        <v>52.854236122941956</v>
      </c>
    </row>
    <row r="10" spans="2:7" x14ac:dyDescent="0.2">
      <c r="B10" s="1">
        <f ca="1">IFERROR(__xludf.DUMMYFUNCTION("""COMPUTED_VALUE"""),8)</f>
        <v>8</v>
      </c>
      <c r="C10" s="1">
        <f ca="1"/>
        <v>46</v>
      </c>
      <c r="E10" s="1">
        <f t="shared" ca="1" si="0"/>
        <v>8.088269243763084E-2</v>
      </c>
      <c r="F10" s="1">
        <f t="shared" ca="1" si="1"/>
        <v>51.117861620582694</v>
      </c>
    </row>
    <row r="11" spans="2:7" x14ac:dyDescent="0.2">
      <c r="B11" s="1">
        <f ca="1">IFERROR(__xludf.DUMMYFUNCTION("""COMPUTED_VALUE"""),9)</f>
        <v>9</v>
      </c>
      <c r="C11" s="1">
        <f ca="1"/>
        <v>26</v>
      </c>
      <c r="E11" s="1">
        <f t="shared" ca="1" si="0"/>
        <v>7.4852714674315882E-2</v>
      </c>
      <c r="F11" s="1">
        <f t="shared" ca="1" si="1"/>
        <v>47.306915674167634</v>
      </c>
    </row>
    <row r="12" spans="2:7" x14ac:dyDescent="0.2">
      <c r="B12" s="1">
        <f ca="1">IFERROR(__xludf.DUMMYFUNCTION("""COMPUTED_VALUE"""),10)</f>
        <v>10</v>
      </c>
      <c r="C12" s="1">
        <f ca="1"/>
        <v>30</v>
      </c>
      <c r="E12" s="1">
        <f t="shared" ca="1" si="0"/>
        <v>6.6285508093258921E-2</v>
      </c>
      <c r="F12" s="1">
        <f t="shared" ca="1" si="1"/>
        <v>41.892441114939636</v>
      </c>
    </row>
    <row r="13" spans="2:7" x14ac:dyDescent="0.2">
      <c r="B13" s="1">
        <f ca="1">IFERROR(__xludf.DUMMYFUNCTION("""COMPUTED_VALUE"""),11)</f>
        <v>11</v>
      </c>
      <c r="C13" s="1">
        <f ca="1"/>
        <v>21</v>
      </c>
      <c r="E13" s="1">
        <f t="shared" ca="1" si="0"/>
        <v>5.6167966638347042E-2</v>
      </c>
      <c r="F13" s="1">
        <f t="shared" ca="1" si="1"/>
        <v>35.498154915435329</v>
      </c>
    </row>
    <row r="14" spans="2:7" x14ac:dyDescent="0.2">
      <c r="B14" s="1">
        <f ca="1">IFERROR(__xludf.DUMMYFUNCTION("""COMPUTED_VALUE"""),12)</f>
        <v>12</v>
      </c>
      <c r="C14" s="1">
        <f ca="1"/>
        <v>26</v>
      </c>
      <c r="E14" s="1">
        <f t="shared" ca="1" si="0"/>
        <v>4.5542607581778506E-2</v>
      </c>
      <c r="F14" s="1">
        <f t="shared" ca="1" si="1"/>
        <v>28.782927991684016</v>
      </c>
    </row>
    <row r="15" spans="2:7" x14ac:dyDescent="0.2">
      <c r="B15" s="1">
        <f ca="1">IFERROR(__xludf.DUMMYFUNCTION("""COMPUTED_VALUE"""),13)</f>
        <v>13</v>
      </c>
      <c r="C15" s="1">
        <f ca="1"/>
        <v>11</v>
      </c>
      <c r="E15" s="1">
        <f t="shared" ca="1" si="0"/>
        <v>3.5335086766877417E-2</v>
      </c>
      <c r="F15" s="1">
        <f t="shared" ca="1" si="1"/>
        <v>22.331774836666529</v>
      </c>
    </row>
    <row r="16" spans="2:7" x14ac:dyDescent="0.2">
      <c r="B16" s="1">
        <f ca="1">IFERROR(__xludf.DUMMYFUNCTION("""COMPUTED_VALUE"""),14)</f>
        <v>14</v>
      </c>
      <c r="C16" s="1">
        <f ca="1"/>
        <v>9</v>
      </c>
      <c r="E16" s="1">
        <f t="shared" ca="1" si="0"/>
        <v>2.6233335264729495E-2</v>
      </c>
      <c r="F16" s="1">
        <f t="shared" ca="1" si="1"/>
        <v>16.57946788730904</v>
      </c>
    </row>
    <row r="17" spans="2:6" x14ac:dyDescent="0.2">
      <c r="B17" s="1">
        <f ca="1">IFERROR(__xludf.DUMMYFUNCTION("""COMPUTED_VALUE"""),15)</f>
        <v>15</v>
      </c>
      <c r="C17" s="1">
        <f ca="1"/>
        <v>8</v>
      </c>
      <c r="E17" s="1">
        <f t="shared" ca="1" si="0"/>
        <v>1.8636310408641509E-2</v>
      </c>
      <c r="F17" s="1">
        <f t="shared" ca="1" si="1"/>
        <v>11.778148178261434</v>
      </c>
    </row>
    <row r="18" spans="2:6" x14ac:dyDescent="0.2">
      <c r="B18" s="1">
        <f ca="1">IFERROR(__xludf.DUMMYFUNCTION("""COMPUTED_VALUE"""),16)</f>
        <v>16</v>
      </c>
      <c r="C18" s="1">
        <f ca="1"/>
        <v>9</v>
      </c>
      <c r="E18" s="1">
        <f t="shared" ca="1" si="0"/>
        <v>1.2668507116774995E-2</v>
      </c>
      <c r="F18" s="1">
        <f t="shared" ca="1" si="1"/>
        <v>8.0064964978017965</v>
      </c>
    </row>
    <row r="19" spans="2:6" x14ac:dyDescent="0.2">
      <c r="B19" s="1">
        <f ca="1">IFERROR(__xludf.DUMMYFUNCTION("""COMPUTED_VALUE"""),17)</f>
        <v>17</v>
      </c>
      <c r="C19" s="1">
        <f ca="1"/>
        <v>3</v>
      </c>
      <c r="E19" s="1">
        <f t="shared" ca="1" si="0"/>
        <v>8.2404328042098799E-3</v>
      </c>
      <c r="F19" s="1">
        <f t="shared" ca="1" si="1"/>
        <v>5.2079535322606443</v>
      </c>
    </row>
    <row r="20" spans="2:6" x14ac:dyDescent="0.2">
      <c r="B20" s="1">
        <f ca="1">IFERROR(__xludf.DUMMYFUNCTION("""COMPUTED_VALUE"""),18)</f>
        <v>18</v>
      </c>
      <c r="C20" s="1">
        <f ca="1"/>
        <v>2</v>
      </c>
      <c r="E20" s="1">
        <f t="shared" ca="1" si="0"/>
        <v>5.1290116233160318E-3</v>
      </c>
      <c r="F20" s="1">
        <f t="shared" ca="1" si="1"/>
        <v>3.2415353459357319</v>
      </c>
    </row>
    <row r="21" spans="2:6" x14ac:dyDescent="0.2">
      <c r="B21" s="1">
        <f ca="1">IFERROR(__xludf.DUMMYFUNCTION("""COMPUTED_VALUE"""),19)</f>
        <v>19</v>
      </c>
      <c r="C21" s="1">
        <f ca="1"/>
        <v>3</v>
      </c>
      <c r="E21" s="1">
        <f t="shared" ca="1" si="0"/>
        <v>3.0547552688594457E-3</v>
      </c>
      <c r="F21" s="1">
        <f t="shared" ca="1" si="1"/>
        <v>1.9306053299191697</v>
      </c>
    </row>
    <row r="22" spans="2:6" x14ac:dyDescent="0.2">
      <c r="B22" s="1">
        <f ca="1">IFERROR(__xludf.DUMMYFUNCTION("""COMPUTED_VALUE"""),20)</f>
        <v>20</v>
      </c>
      <c r="C22" s="1">
        <f ca="1"/>
        <v>3</v>
      </c>
      <c r="E22" s="1">
        <f t="shared" ca="1" si="0"/>
        <v>1.7409176975703522E-3</v>
      </c>
      <c r="F22" s="1">
        <f t="shared" ca="1" si="1"/>
        <v>1.1002599848644625</v>
      </c>
    </row>
    <row r="23" spans="2:6" x14ac:dyDescent="0.2">
      <c r="B23" s="1">
        <f ca="1">IFERROR(__xludf.DUMMYFUNCTION("""COMPUTED_VALUE"""),21)</f>
        <v>21</v>
      </c>
      <c r="C23" s="1">
        <f ca="1"/>
        <v>1</v>
      </c>
      <c r="E23" s="1">
        <f t="shared" ca="1" si="0"/>
        <v>9.4937794015940893E-4</v>
      </c>
      <c r="F23" s="1">
        <f t="shared" ca="1" si="1"/>
        <v>0.60000685818074639</v>
      </c>
    </row>
    <row r="24" spans="2:6" x14ac:dyDescent="0.2">
      <c r="B24" s="1">
        <f ca="1">IFERROR(__xludf.DUMMYFUNCTION("""COMPUTED_VALUE"""),22)</f>
        <v>22</v>
      </c>
      <c r="C24" s="1">
        <f ca="1"/>
        <v>4</v>
      </c>
      <c r="E24" s="1">
        <f t="shared" ca="1" si="0"/>
        <v>4.9540354563693922E-4</v>
      </c>
      <c r="F24" s="1">
        <f t="shared" ca="1" si="1"/>
        <v>0.31309504084254558</v>
      </c>
    </row>
    <row r="25" spans="2:6" x14ac:dyDescent="0.2">
      <c r="B25" s="1">
        <f ca="1">IFERROR(__xludf.DUMMYFUNCTION("""COMPUTED_VALUE"""),24)</f>
        <v>24</v>
      </c>
      <c r="C25" s="1">
        <f ca="1"/>
        <v>2</v>
      </c>
      <c r="E25" s="1">
        <f t="shared" ca="1" si="0"/>
        <v>1.1818879213842369E-4</v>
      </c>
      <c r="F25" s="1">
        <f t="shared" ca="1" si="1"/>
        <v>7.4695316631483766E-2</v>
      </c>
    </row>
    <row r="26" spans="2:6" x14ac:dyDescent="0.2">
      <c r="B26" s="1">
        <f ca="1">IFERROR(__xludf.DUMMYFUNCTION("""COMPUTED_VALUE"""),27)</f>
        <v>27</v>
      </c>
      <c r="C26" s="1">
        <f ca="1"/>
        <v>1</v>
      </c>
      <c r="E26" s="1">
        <f t="shared" ca="1" si="0"/>
        <v>9.8956689404649876E-6</v>
      </c>
      <c r="F26" s="1">
        <f t="shared" ca="1" si="1"/>
        <v>6.2540627703738718E-3</v>
      </c>
    </row>
    <row r="27" spans="2:6" x14ac:dyDescent="0.2">
      <c r="B27" s="1">
        <f ca="1">IFERROR(__xludf.DUMMYFUNCTION("""COMPUTED_VALUE"""),28)</f>
        <v>28</v>
      </c>
      <c r="C27" s="1">
        <f ca="1"/>
        <v>1</v>
      </c>
      <c r="E27" s="1">
        <f t="shared" ca="1" si="0"/>
        <v>3.9638718179290224E-6</v>
      </c>
      <c r="F27" s="1">
        <f t="shared" ca="1" si="1"/>
        <v>2.5051669889311423E-3</v>
      </c>
    </row>
    <row r="28" spans="2:6" x14ac:dyDescent="0.2">
      <c r="B28" s="1">
        <f ca="1">IFERROR(__xludf.DUMMYFUNCTION("""COMPUTED_VALUE"""),30)</f>
        <v>30</v>
      </c>
      <c r="C28" s="1">
        <f ca="1"/>
        <v>2</v>
      </c>
      <c r="E28" s="1">
        <f t="shared" ca="1" si="0"/>
        <v>5.5724441696091823E-7</v>
      </c>
      <c r="F28" s="1">
        <f t="shared" ca="1" si="1"/>
        <v>3.521784715193003E-4</v>
      </c>
    </row>
    <row r="29" spans="2:6" x14ac:dyDescent="0.2">
      <c r="B29" s="1">
        <f ca="1">IFERROR(__xludf.DUMMYFUNCTION("""COMPUTED_VALUE"""),31)</f>
        <v>31</v>
      </c>
      <c r="C29" s="1">
        <f ca="1"/>
        <v>1</v>
      </c>
      <c r="E29" s="1">
        <f t="shared" ca="1" si="0"/>
        <v>1.9556782485906404E-7</v>
      </c>
      <c r="F29" s="1">
        <f t="shared" ca="1" si="1"/>
        <v>1.2359886531092848E-4</v>
      </c>
    </row>
    <row r="30" spans="2:6" x14ac:dyDescent="0.2">
      <c r="B30" s="1">
        <f ca="1">IFERROR(__xludf.DUMMYFUNCTION("""COMPUTED_VALUE"""),32)</f>
        <v>32</v>
      </c>
      <c r="C30" s="1">
        <f ca="1"/>
        <v>1</v>
      </c>
      <c r="E30" s="1">
        <f t="shared" ca="1" si="0"/>
        <v>6.5676222173259607E-8</v>
      </c>
      <c r="F30" s="1">
        <f t="shared" ca="1" si="1"/>
        <v>4.150737241350007E-5</v>
      </c>
    </row>
    <row r="31" spans="2:6" x14ac:dyDescent="0.2">
      <c r="C31" s="1">
        <f ca="1"/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G285"/>
  <sheetViews>
    <sheetView workbookViewId="0"/>
  </sheetViews>
  <sheetFormatPr defaultColWidth="12.5703125" defaultRowHeight="15.75" customHeight="1" x14ac:dyDescent="0.2"/>
  <sheetData>
    <row r="2" spans="2:7" x14ac:dyDescent="0.2">
      <c r="B2" s="1" t="s">
        <v>652</v>
      </c>
      <c r="D2" s="1" t="s">
        <v>646</v>
      </c>
      <c r="E2" s="1">
        <f>AVERAGE(data!C2:C633)</f>
        <v>145.03955696202533</v>
      </c>
      <c r="F2" s="1" t="s">
        <v>647</v>
      </c>
      <c r="G2" s="1">
        <f>STDEV(data!C2:C633)</f>
        <v>240.28908900178092</v>
      </c>
    </row>
    <row r="3" spans="2:7" x14ac:dyDescent="0.2">
      <c r="B3" s="1" t="s">
        <v>648</v>
      </c>
      <c r="C3" s="1" t="s">
        <v>649</v>
      </c>
      <c r="E3" s="1" t="s">
        <v>650</v>
      </c>
      <c r="F3" s="1" t="s">
        <v>651</v>
      </c>
    </row>
    <row r="4" spans="2:7" x14ac:dyDescent="0.2">
      <c r="B4" s="1">
        <f ca="1">IFERROR(__xludf.DUMMYFUNCTION("SORT(UNIQUE(data!C2:data!C633))"),4)</f>
        <v>4</v>
      </c>
      <c r="C4" s="1">
        <f t="array" aca="1" ref="C4:C285" ca="1">FREQUENCY(data!C2:C633,B4:B284)</f>
        <v>16</v>
      </c>
      <c r="E4" s="1">
        <f t="shared" ref="E4:E258" ca="1" si="0">NORMDIST(B4,$E$2,$G$2,FALSE)</f>
        <v>1.3975410166396668E-3</v>
      </c>
      <c r="F4" s="1">
        <f t="shared" ref="F4:F258" ca="1" si="1">E4*632</f>
        <v>0.88324592251626943</v>
      </c>
    </row>
    <row r="5" spans="2:7" x14ac:dyDescent="0.2">
      <c r="B5" s="1">
        <f ca="1">IFERROR(__xludf.DUMMYFUNCTION("""COMPUTED_VALUE"""),5)</f>
        <v>5</v>
      </c>
      <c r="C5" s="1">
        <f ca="1"/>
        <v>43</v>
      </c>
      <c r="E5" s="1">
        <f t="shared" ca="1" si="0"/>
        <v>1.4009468523667719E-3</v>
      </c>
      <c r="F5" s="1">
        <f t="shared" ca="1" si="1"/>
        <v>0.88539841069579983</v>
      </c>
    </row>
    <row r="6" spans="2:7" x14ac:dyDescent="0.2">
      <c r="B6" s="1">
        <f ca="1">IFERROR(__xludf.DUMMYFUNCTION("""COMPUTED_VALUE"""),6)</f>
        <v>6</v>
      </c>
      <c r="C6" s="1">
        <f ca="1"/>
        <v>43</v>
      </c>
      <c r="E6" s="1">
        <f t="shared" ca="1" si="0"/>
        <v>1.4043366657582529E-3</v>
      </c>
      <c r="F6" s="1">
        <f t="shared" ca="1" si="1"/>
        <v>0.88754077275921583</v>
      </c>
    </row>
    <row r="7" spans="2:7" x14ac:dyDescent="0.2">
      <c r="B7" s="1">
        <f ca="1">IFERROR(__xludf.DUMMYFUNCTION("""COMPUTED_VALUE"""),7)</f>
        <v>7</v>
      </c>
      <c r="C7" s="1">
        <f ca="1"/>
        <v>12</v>
      </c>
      <c r="E7" s="1">
        <f t="shared" ca="1" si="0"/>
        <v>1.4077103004856732E-3</v>
      </c>
      <c r="F7" s="1">
        <f t="shared" ca="1" si="1"/>
        <v>0.88967290990694547</v>
      </c>
    </row>
    <row r="8" spans="2:7" x14ac:dyDescent="0.2">
      <c r="B8" s="1">
        <f ca="1">IFERROR(__xludf.DUMMYFUNCTION("""COMPUTED_VALUE"""),8)</f>
        <v>8</v>
      </c>
      <c r="C8" s="1">
        <f ca="1"/>
        <v>7</v>
      </c>
      <c r="E8" s="1">
        <f t="shared" ca="1" si="0"/>
        <v>1.4110676006853094E-3</v>
      </c>
      <c r="F8" s="1">
        <f t="shared" ca="1" si="1"/>
        <v>0.89179472363311552</v>
      </c>
    </row>
    <row r="9" spans="2:7" x14ac:dyDescent="0.2">
      <c r="B9" s="1">
        <f ca="1">IFERROR(__xludf.DUMMYFUNCTION("""COMPUTED_VALUE"""),9)</f>
        <v>9</v>
      </c>
      <c r="C9" s="1">
        <f ca="1"/>
        <v>5</v>
      </c>
      <c r="E9" s="1">
        <f t="shared" ca="1" si="0"/>
        <v>1.4144084109700803E-3</v>
      </c>
      <c r="F9" s="1">
        <f t="shared" ca="1" si="1"/>
        <v>0.89390611573309076</v>
      </c>
    </row>
    <row r="10" spans="2:7" x14ac:dyDescent="0.2">
      <c r="B10" s="1">
        <f ca="1">IFERROR(__xludf.DUMMYFUNCTION("""COMPUTED_VALUE"""),10)</f>
        <v>10</v>
      </c>
      <c r="C10" s="1">
        <f ca="1"/>
        <v>4</v>
      </c>
      <c r="E10" s="1">
        <f t="shared" ca="1" si="0"/>
        <v>1.4177325764414585E-3</v>
      </c>
      <c r="F10" s="1">
        <f t="shared" ca="1" si="1"/>
        <v>0.89600698831100178</v>
      </c>
    </row>
    <row r="11" spans="2:7" x14ac:dyDescent="0.2">
      <c r="B11" s="1">
        <f ca="1">IFERROR(__xludf.DUMMYFUNCTION("""COMPUTED_VALUE"""),11)</f>
        <v>11</v>
      </c>
      <c r="C11" s="1">
        <f ca="1"/>
        <v>13</v>
      </c>
      <c r="E11" s="1">
        <f t="shared" ca="1" si="0"/>
        <v>1.421039942701374E-3</v>
      </c>
      <c r="F11" s="1">
        <f t="shared" ca="1" si="1"/>
        <v>0.89809724378726841</v>
      </c>
    </row>
    <row r="12" spans="2:7" x14ac:dyDescent="0.2">
      <c r="B12" s="1">
        <f ca="1">IFERROR(__xludf.DUMMYFUNCTION("""COMPUTED_VALUE"""),12)</f>
        <v>12</v>
      </c>
      <c r="C12" s="1">
        <f ca="1"/>
        <v>16</v>
      </c>
      <c r="E12" s="1">
        <f t="shared" ca="1" si="0"/>
        <v>1.4243303558640957E-3</v>
      </c>
      <c r="F12" s="1">
        <f t="shared" ca="1" si="1"/>
        <v>0.90017678490610853</v>
      </c>
    </row>
    <row r="13" spans="2:7" x14ac:dyDescent="0.2">
      <c r="B13" s="1">
        <f ca="1">IFERROR(__xludf.DUMMYFUNCTION("""COMPUTED_VALUE"""),13)</f>
        <v>13</v>
      </c>
      <c r="C13" s="1">
        <f ca="1"/>
        <v>7</v>
      </c>
      <c r="E13" s="1">
        <f t="shared" ca="1" si="0"/>
        <v>1.4276036625681019E-3</v>
      </c>
      <c r="F13" s="1">
        <f t="shared" ca="1" si="1"/>
        <v>0.90224551474304038</v>
      </c>
    </row>
    <row r="14" spans="2:7" x14ac:dyDescent="0.2">
      <c r="B14" s="1">
        <f ca="1">IFERROR(__xludf.DUMMYFUNCTION("""COMPUTED_VALUE"""),14)</f>
        <v>14</v>
      </c>
      <c r="C14" s="1">
        <f ca="1"/>
        <v>5</v>
      </c>
      <c r="E14" s="1">
        <f t="shared" ca="1" si="0"/>
        <v>1.4308597099879307E-3</v>
      </c>
      <c r="F14" s="1">
        <f t="shared" ca="1" si="1"/>
        <v>0.90430333671237217</v>
      </c>
    </row>
    <row r="15" spans="2:7" x14ac:dyDescent="0.2">
      <c r="B15" s="1">
        <f ca="1">IFERROR(__xludf.DUMMYFUNCTION("""COMPUTED_VALUE"""),15)</f>
        <v>15</v>
      </c>
      <c r="C15" s="1">
        <f ca="1"/>
        <v>3</v>
      </c>
      <c r="E15" s="1">
        <f t="shared" ca="1" si="0"/>
        <v>1.4340983458460098E-3</v>
      </c>
      <c r="F15" s="1">
        <f t="shared" ca="1" si="1"/>
        <v>0.90635015457467816</v>
      </c>
    </row>
    <row r="16" spans="2:7" x14ac:dyDescent="0.2">
      <c r="B16" s="1">
        <f ca="1">IFERROR(__xludf.DUMMYFUNCTION("""COMPUTED_VALUE"""),17)</f>
        <v>17</v>
      </c>
      <c r="C16" s="1">
        <f ca="1"/>
        <v>1</v>
      </c>
      <c r="E16" s="1">
        <f t="shared" ca="1" si="0"/>
        <v>1.4405227765769278E-3</v>
      </c>
      <c r="F16" s="1">
        <f t="shared" ca="1" si="1"/>
        <v>0.91041039479661834</v>
      </c>
    </row>
    <row r="17" spans="2:6" x14ac:dyDescent="0.2">
      <c r="B17" s="1">
        <f ca="1">IFERROR(__xludf.DUMMYFUNCTION("""COMPUTED_VALUE"""),18)</f>
        <v>18</v>
      </c>
      <c r="C17" s="1">
        <f ca="1"/>
        <v>4</v>
      </c>
      <c r="E17" s="1">
        <f t="shared" ca="1" si="0"/>
        <v>1.4437082697402643E-3</v>
      </c>
      <c r="F17" s="1">
        <f t="shared" ca="1" si="1"/>
        <v>0.91242362647584707</v>
      </c>
    </row>
    <row r="18" spans="2:6" x14ac:dyDescent="0.2">
      <c r="B18" s="1">
        <f ca="1">IFERROR(__xludf.DUMMYFUNCTION("""COMPUTED_VALUE"""),19)</f>
        <v>19</v>
      </c>
      <c r="C18" s="1">
        <f ca="1"/>
        <v>2</v>
      </c>
      <c r="E18" s="1">
        <f t="shared" ca="1" si="0"/>
        <v>1.4468757479463542E-3</v>
      </c>
      <c r="F18" s="1">
        <f t="shared" ca="1" si="1"/>
        <v>0.91442547270209584</v>
      </c>
    </row>
    <row r="19" spans="2:6" x14ac:dyDescent="0.2">
      <c r="B19" s="1">
        <f ca="1">IFERROR(__xludf.DUMMYFUNCTION("""COMPUTED_VALUE"""),20)</f>
        <v>20</v>
      </c>
      <c r="C19" s="1">
        <f ca="1"/>
        <v>1</v>
      </c>
      <c r="E19" s="1">
        <f t="shared" ca="1" si="0"/>
        <v>1.4500250618337885E-3</v>
      </c>
      <c r="F19" s="1">
        <f t="shared" ca="1" si="1"/>
        <v>0.9164158390789543</v>
      </c>
    </row>
    <row r="20" spans="2:6" x14ac:dyDescent="0.2">
      <c r="B20" s="1">
        <f ca="1">IFERROR(__xludf.DUMMYFUNCTION("""COMPUTED_VALUE"""),23)</f>
        <v>23</v>
      </c>
      <c r="C20" s="1">
        <f ca="1"/>
        <v>1</v>
      </c>
      <c r="E20" s="1">
        <f t="shared" ca="1" si="0"/>
        <v>1.459362533316093E-3</v>
      </c>
      <c r="F20" s="1">
        <f t="shared" ca="1" si="1"/>
        <v>0.92231712105577079</v>
      </c>
    </row>
    <row r="21" spans="2:6" x14ac:dyDescent="0.2">
      <c r="B21" s="1">
        <f ca="1">IFERROR(__xludf.DUMMYFUNCTION("""COMPUTED_VALUE"""),24)</f>
        <v>24</v>
      </c>
      <c r="C21" s="1">
        <f ca="1"/>
        <v>3</v>
      </c>
      <c r="E21" s="1">
        <f t="shared" ca="1" si="0"/>
        <v>1.4624377088576714E-3</v>
      </c>
      <c r="F21" s="1">
        <f t="shared" ca="1" si="1"/>
        <v>0.92426063199804831</v>
      </c>
    </row>
    <row r="22" spans="2:6" x14ac:dyDescent="0.2">
      <c r="B22" s="1">
        <f ca="1">IFERROR(__xludf.DUMMYFUNCTION("""COMPUTED_VALUE"""),25)</f>
        <v>25</v>
      </c>
      <c r="C22" s="1">
        <f ca="1"/>
        <v>3</v>
      </c>
      <c r="E22" s="1">
        <f t="shared" ca="1" si="0"/>
        <v>1.4654939827824138E-3</v>
      </c>
      <c r="F22" s="1">
        <f t="shared" ca="1" si="1"/>
        <v>0.92619219711848555</v>
      </c>
    </row>
    <row r="23" spans="2:6" x14ac:dyDescent="0.2">
      <c r="B23" s="1">
        <f ca="1">IFERROR(__xludf.DUMMYFUNCTION("""COMPUTED_VALUE"""),26)</f>
        <v>26</v>
      </c>
      <c r="C23" s="1">
        <f ca="1"/>
        <v>1</v>
      </c>
      <c r="E23" s="1">
        <f t="shared" ca="1" si="0"/>
        <v>1.4685312096136614E-3</v>
      </c>
      <c r="F23" s="1">
        <f t="shared" ca="1" si="1"/>
        <v>0.92811172447583401</v>
      </c>
    </row>
    <row r="24" spans="2:6" x14ac:dyDescent="0.2">
      <c r="B24" s="1">
        <f ca="1">IFERROR(__xludf.DUMMYFUNCTION("""COMPUTED_VALUE"""),28)</f>
        <v>28</v>
      </c>
      <c r="C24" s="1">
        <f ca="1"/>
        <v>4</v>
      </c>
      <c r="E24" s="1">
        <f t="shared" ca="1" si="0"/>
        <v>1.4745479435400502E-3</v>
      </c>
      <c r="F24" s="1">
        <f t="shared" ca="1" si="1"/>
        <v>0.93191430031731171</v>
      </c>
    </row>
    <row r="25" spans="2:6" x14ac:dyDescent="0.2">
      <c r="B25" s="1">
        <f ca="1">IFERROR(__xludf.DUMMYFUNCTION("""COMPUTED_VALUE"""),29)</f>
        <v>29</v>
      </c>
      <c r="C25" s="1">
        <f ca="1"/>
        <v>1</v>
      </c>
      <c r="E25" s="1">
        <f t="shared" ca="1" si="0"/>
        <v>1.4775271631672501E-3</v>
      </c>
      <c r="F25" s="1">
        <f t="shared" ca="1" si="1"/>
        <v>0.93379716712170202</v>
      </c>
    </row>
    <row r="26" spans="2:6" x14ac:dyDescent="0.2">
      <c r="B26" s="1">
        <f ca="1">IFERROR(__xludf.DUMMYFUNCTION("""COMPUTED_VALUE"""),30)</f>
        <v>30</v>
      </c>
      <c r="C26" s="1">
        <f ca="1"/>
        <v>3</v>
      </c>
      <c r="E26" s="1">
        <f t="shared" ca="1" si="0"/>
        <v>1.4804867607878932E-3</v>
      </c>
      <c r="F26" s="1">
        <f t="shared" ca="1" si="1"/>
        <v>0.93566763281794851</v>
      </c>
    </row>
    <row r="27" spans="2:6" x14ac:dyDescent="0.2">
      <c r="B27" s="1">
        <f ca="1">IFERROR(__xludf.DUMMYFUNCTION("""COMPUTED_VALUE"""),31)</f>
        <v>31</v>
      </c>
      <c r="C27" s="1">
        <f ca="1"/>
        <v>1</v>
      </c>
      <c r="E27" s="1">
        <f t="shared" ca="1" si="0"/>
        <v>1.4834265944791572E-3</v>
      </c>
      <c r="F27" s="1">
        <f t="shared" ca="1" si="1"/>
        <v>0.93752560771082738</v>
      </c>
    </row>
    <row r="28" spans="2:6" x14ac:dyDescent="0.2">
      <c r="B28" s="1">
        <f ca="1">IFERROR(__xludf.DUMMYFUNCTION("""COMPUTED_VALUE"""),32)</f>
        <v>32</v>
      </c>
      <c r="C28" s="1">
        <f ca="1"/>
        <v>2</v>
      </c>
      <c r="E28" s="1">
        <f t="shared" ca="1" si="0"/>
        <v>1.4863465230630802E-3</v>
      </c>
      <c r="F28" s="1">
        <f t="shared" ca="1" si="1"/>
        <v>0.9393710025758667</v>
      </c>
    </row>
    <row r="29" spans="2:6" x14ac:dyDescent="0.2">
      <c r="B29" s="1">
        <f ca="1">IFERROR(__xludf.DUMMYFUNCTION("""COMPUTED_VALUE"""),33)</f>
        <v>33</v>
      </c>
      <c r="C29" s="1">
        <f ca="1"/>
        <v>1</v>
      </c>
      <c r="E29" s="1">
        <f t="shared" ca="1" si="0"/>
        <v>1.4892464061178282E-3</v>
      </c>
      <c r="F29" s="1">
        <f t="shared" ca="1" si="1"/>
        <v>0.9412037286664674</v>
      </c>
    </row>
    <row r="30" spans="2:6" x14ac:dyDescent="0.2">
      <c r="B30" s="1">
        <f ca="1">IFERROR(__xludf.DUMMYFUNCTION("""COMPUTED_VALUE"""),34)</f>
        <v>34</v>
      </c>
      <c r="C30" s="1">
        <f ca="1"/>
        <v>3</v>
      </c>
      <c r="E30" s="1">
        <f t="shared" ca="1" si="0"/>
        <v>1.4921261039889235E-3</v>
      </c>
      <c r="F30" s="1">
        <f t="shared" ca="1" si="1"/>
        <v>0.94302369772099959</v>
      </c>
    </row>
    <row r="31" spans="2:6" x14ac:dyDescent="0.2">
      <c r="B31" s="1">
        <f ca="1">IFERROR(__xludf.DUMMYFUNCTION("""COMPUTED_VALUE"""),35)</f>
        <v>35</v>
      </c>
      <c r="C31" s="1">
        <f ca="1"/>
        <v>5</v>
      </c>
      <c r="E31" s="1">
        <f t="shared" ca="1" si="0"/>
        <v>1.4949854778004228E-3</v>
      </c>
      <c r="F31" s="1">
        <f t="shared" ca="1" si="1"/>
        <v>0.94483082196986723</v>
      </c>
    </row>
    <row r="32" spans="2:6" x14ac:dyDescent="0.2">
      <c r="B32" s="1">
        <f ca="1">IFERROR(__xludf.DUMMYFUNCTION("""COMPUTED_VALUE"""),36)</f>
        <v>36</v>
      </c>
      <c r="C32" s="1">
        <f ca="1"/>
        <v>2</v>
      </c>
      <c r="E32" s="1">
        <f t="shared" ca="1" si="0"/>
        <v>1.4978243894660562E-3</v>
      </c>
      <c r="F32" s="1">
        <f t="shared" ca="1" si="1"/>
        <v>0.94662501414254752</v>
      </c>
    </row>
    <row r="33" spans="2:6" x14ac:dyDescent="0.2">
      <c r="B33" s="1">
        <f ca="1">IFERROR(__xludf.DUMMYFUNCTION("""COMPUTED_VALUE"""),37)</f>
        <v>37</v>
      </c>
      <c r="C33" s="1">
        <f ca="1"/>
        <v>4</v>
      </c>
      <c r="E33" s="1">
        <f t="shared" ca="1" si="0"/>
        <v>1.5006427017003135E-3</v>
      </c>
      <c r="F33" s="1">
        <f t="shared" ca="1" si="1"/>
        <v>0.94840618747459815</v>
      </c>
    </row>
    <row r="34" spans="2:6" x14ac:dyDescent="0.2">
      <c r="B34" s="1">
        <f ca="1">IFERROR(__xludf.DUMMYFUNCTION("""COMPUTED_VALUE"""),38)</f>
        <v>38</v>
      </c>
      <c r="C34" s="1">
        <f ca="1"/>
        <v>3</v>
      </c>
      <c r="E34" s="1">
        <f t="shared" ca="1" si="0"/>
        <v>1.5034402780294844E-3</v>
      </c>
      <c r="F34" s="1">
        <f t="shared" ca="1" si="1"/>
        <v>0.9501742557146341</v>
      </c>
    </row>
    <row r="35" spans="2:6" x14ac:dyDescent="0.2">
      <c r="B35" s="1">
        <f ca="1">IFERROR(__xludf.DUMMYFUNCTION("""COMPUTED_VALUE"""),39)</f>
        <v>39</v>
      </c>
      <c r="C35" s="1">
        <f ca="1"/>
        <v>3</v>
      </c>
      <c r="E35" s="1">
        <f t="shared" ca="1" si="0"/>
        <v>1.506216982802651E-3</v>
      </c>
      <c r="F35" s="1">
        <f t="shared" ca="1" si="1"/>
        <v>0.95192913313127547</v>
      </c>
    </row>
    <row r="36" spans="2:6" x14ac:dyDescent="0.2">
      <c r="B36" s="1">
        <f ca="1">IFERROR(__xludf.DUMMYFUNCTION("""COMPUTED_VALUE"""),40)</f>
        <v>40</v>
      </c>
      <c r="C36" s="1">
        <f ca="1"/>
        <v>1</v>
      </c>
      <c r="E36" s="1">
        <f t="shared" ca="1" si="0"/>
        <v>1.5089726812026259E-3</v>
      </c>
      <c r="F36" s="1">
        <f t="shared" ca="1" si="1"/>
        <v>0.95367073452005957</v>
      </c>
    </row>
    <row r="37" spans="2:6" x14ac:dyDescent="0.2">
      <c r="B37" s="1">
        <f ca="1">IFERROR(__xludf.DUMMYFUNCTION("""COMPUTED_VALUE"""),41)</f>
        <v>41</v>
      </c>
      <c r="C37" s="1">
        <f ca="1"/>
        <v>4</v>
      </c>
      <c r="E37" s="1">
        <f t="shared" ca="1" si="0"/>
        <v>1.5117072392568421E-3</v>
      </c>
      <c r="F37" s="1">
        <f t="shared" ca="1" si="1"/>
        <v>0.95539897521032424</v>
      </c>
    </row>
    <row r="38" spans="2:6" x14ac:dyDescent="0.2">
      <c r="B38" s="1">
        <f ca="1">IFERROR(__xludf.DUMMYFUNCTION("""COMPUTED_VALUE"""),42)</f>
        <v>42</v>
      </c>
      <c r="C38" s="1">
        <f ca="1"/>
        <v>6</v>
      </c>
      <c r="E38" s="1">
        <f t="shared" ca="1" si="0"/>
        <v>1.5144205238481867E-3</v>
      </c>
      <c r="F38" s="1">
        <f t="shared" ca="1" si="1"/>
        <v>0.95711377107205398</v>
      </c>
    </row>
    <row r="39" spans="2:6" x14ac:dyDescent="0.2">
      <c r="B39" s="1">
        <f ca="1">IFERROR(__xludf.DUMMYFUNCTION("""COMPUTED_VALUE"""),43)</f>
        <v>43</v>
      </c>
      <c r="C39" s="1">
        <f ca="1"/>
        <v>4</v>
      </c>
      <c r="E39" s="1">
        <f t="shared" ca="1" si="0"/>
        <v>1.517112402725781E-3</v>
      </c>
      <c r="F39" s="1">
        <f t="shared" ca="1" si="1"/>
        <v>0.95881503852269356</v>
      </c>
    </row>
    <row r="40" spans="2:6" x14ac:dyDescent="0.2">
      <c r="B40" s="1">
        <f ca="1">IFERROR(__xludf.DUMMYFUNCTION("""COMPUTED_VALUE"""),44)</f>
        <v>44</v>
      </c>
      <c r="C40" s="1">
        <f ca="1"/>
        <v>2</v>
      </c>
      <c r="E40" s="1">
        <f t="shared" ca="1" si="0"/>
        <v>1.5197827445157077E-3</v>
      </c>
      <c r="F40" s="1">
        <f t="shared" ca="1" si="1"/>
        <v>0.96050269453392723</v>
      </c>
    </row>
    <row r="41" spans="2:6" x14ac:dyDescent="0.2">
      <c r="B41" s="1">
        <f ca="1">IFERROR(__xludf.DUMMYFUNCTION("""COMPUTED_VALUE"""),45)</f>
        <v>45</v>
      </c>
      <c r="C41" s="1">
        <f ca="1"/>
        <v>3</v>
      </c>
      <c r="E41" s="1">
        <f t="shared" ca="1" si="0"/>
        <v>1.5224314187316757E-3</v>
      </c>
      <c r="F41" s="1">
        <f t="shared" ca="1" si="1"/>
        <v>0.962176656638419</v>
      </c>
    </row>
    <row r="42" spans="2:6" x14ac:dyDescent="0.2">
      <c r="B42" s="1">
        <f ca="1">IFERROR(__xludf.DUMMYFUNCTION("""COMPUTED_VALUE"""),46)</f>
        <v>46</v>
      </c>
      <c r="C42" s="1">
        <f ca="1"/>
        <v>1</v>
      </c>
      <c r="E42" s="1">
        <f t="shared" ca="1" si="0"/>
        <v>1.5250582957856327E-3</v>
      </c>
      <c r="F42" s="1">
        <f t="shared" ca="1" si="1"/>
        <v>0.96383684293651983</v>
      </c>
    </row>
    <row r="43" spans="2:6" x14ac:dyDescent="0.2">
      <c r="B43" s="1">
        <f ca="1">IFERROR(__xludf.DUMMYFUNCTION("""COMPUTED_VALUE"""),47)</f>
        <v>47</v>
      </c>
      <c r="C43" s="1">
        <f ca="1"/>
        <v>2</v>
      </c>
      <c r="E43" s="1">
        <f t="shared" ca="1" si="0"/>
        <v>1.5276632469983142E-3</v>
      </c>
      <c r="F43" s="1">
        <f t="shared" ca="1" si="1"/>
        <v>0.96548317210293455</v>
      </c>
    </row>
    <row r="44" spans="2:6" x14ac:dyDescent="0.2">
      <c r="B44" s="1">
        <f ca="1">IFERROR(__xludf.DUMMYFUNCTION("""COMPUTED_VALUE"""),48)</f>
        <v>48</v>
      </c>
      <c r="C44" s="1">
        <f ca="1"/>
        <v>4</v>
      </c>
      <c r="E44" s="1">
        <f t="shared" ca="1" si="0"/>
        <v>1.5302461446097344E-3</v>
      </c>
      <c r="F44" s="1">
        <f t="shared" ca="1" si="1"/>
        <v>0.96711556339335214</v>
      </c>
    </row>
    <row r="45" spans="2:6" x14ac:dyDescent="0.2">
      <c r="B45" s="1">
        <f ca="1">IFERROR(__xludf.DUMMYFUNCTION("""COMPUTED_VALUE"""),49)</f>
        <v>49</v>
      </c>
      <c r="C45" s="1">
        <f ca="1"/>
        <v>6</v>
      </c>
      <c r="E45" s="1">
        <f t="shared" ca="1" si="0"/>
        <v>1.5328068617896154E-3</v>
      </c>
      <c r="F45" s="1">
        <f t="shared" ca="1" si="1"/>
        <v>0.96873393665103691</v>
      </c>
    </row>
    <row r="46" spans="2:6" x14ac:dyDescent="0.2">
      <c r="B46" s="1">
        <f ca="1">IFERROR(__xludf.DUMMYFUNCTION("""COMPUTED_VALUE"""),50)</f>
        <v>50</v>
      </c>
      <c r="C46" s="1">
        <f ca="1"/>
        <v>2</v>
      </c>
      <c r="E46" s="1">
        <f t="shared" ca="1" si="0"/>
        <v>1.5353452726477508E-3</v>
      </c>
      <c r="F46" s="1">
        <f t="shared" ca="1" si="1"/>
        <v>0.97033821231337847</v>
      </c>
    </row>
    <row r="47" spans="2:6" x14ac:dyDescent="0.2">
      <c r="B47" s="1">
        <f ca="1">IFERROR(__xludf.DUMMYFUNCTION("""COMPUTED_VALUE"""),51)</f>
        <v>51</v>
      </c>
      <c r="C47" s="1">
        <f ca="1"/>
        <v>3</v>
      </c>
      <c r="E47" s="1">
        <f t="shared" ca="1" si="0"/>
        <v>1.5378612522443096E-3</v>
      </c>
      <c r="F47" s="1">
        <f t="shared" ca="1" si="1"/>
        <v>0.97192831141840363</v>
      </c>
    </row>
    <row r="48" spans="2:6" x14ac:dyDescent="0.2">
      <c r="B48" s="1">
        <f ca="1">IFERROR(__xludf.DUMMYFUNCTION("""COMPUTED_VALUE"""),52)</f>
        <v>52</v>
      </c>
      <c r="C48" s="1">
        <f ca="1"/>
        <v>2</v>
      </c>
      <c r="E48" s="1">
        <f t="shared" ca="1" si="0"/>
        <v>1.5403546766000716E-3</v>
      </c>
      <c r="F48" s="1">
        <f t="shared" ca="1" si="1"/>
        <v>0.97350415561124526</v>
      </c>
    </row>
    <row r="49" spans="2:6" x14ac:dyDescent="0.2">
      <c r="B49" s="1">
        <f ca="1">IFERROR(__xludf.DUMMYFUNCTION("""COMPUTED_VALUE"""),53)</f>
        <v>53</v>
      </c>
      <c r="C49" s="1">
        <f ca="1"/>
        <v>2</v>
      </c>
      <c r="E49" s="1">
        <f t="shared" ca="1" si="0"/>
        <v>1.5428254227065974E-3</v>
      </c>
      <c r="F49" s="1">
        <f t="shared" ca="1" si="1"/>
        <v>0.97506566715056953</v>
      </c>
    </row>
    <row r="50" spans="2:6" x14ac:dyDescent="0.2">
      <c r="B50" s="1">
        <f ca="1">IFERROR(__xludf.DUMMYFUNCTION("""COMPUTED_VALUE"""),54)</f>
        <v>54</v>
      </c>
      <c r="C50" s="1">
        <f ca="1"/>
        <v>1</v>
      </c>
      <c r="E50" s="1">
        <f t="shared" ca="1" si="0"/>
        <v>1.545273368536331E-3</v>
      </c>
      <c r="F50" s="1">
        <f t="shared" ca="1" si="1"/>
        <v>0.97661276891496118</v>
      </c>
    </row>
    <row r="51" spans="2:6" x14ac:dyDescent="0.2">
      <c r="B51" s="1">
        <f ca="1">IFERROR(__xludf.DUMMYFUNCTION("""COMPUTED_VALUE"""),55)</f>
        <v>55</v>
      </c>
      <c r="C51" s="1">
        <f ca="1"/>
        <v>2</v>
      </c>
      <c r="E51" s="1">
        <f t="shared" ca="1" si="0"/>
        <v>1.547698393052634E-3</v>
      </c>
      <c r="F51" s="1">
        <f t="shared" ca="1" si="1"/>
        <v>0.97814538440926468</v>
      </c>
    </row>
    <row r="52" spans="2:6" x14ac:dyDescent="0.2">
      <c r="B52" s="1">
        <f ca="1">IFERROR(__xludf.DUMMYFUNCTION("""COMPUTED_VALUE"""),56)</f>
        <v>56</v>
      </c>
      <c r="C52" s="1">
        <f ca="1"/>
        <v>9</v>
      </c>
      <c r="E52" s="1">
        <f t="shared" ca="1" si="0"/>
        <v>1.5501003762197483E-3</v>
      </c>
      <c r="F52" s="1">
        <f t="shared" ca="1" si="1"/>
        <v>0.97966343777088094</v>
      </c>
    </row>
    <row r="53" spans="2:6" x14ac:dyDescent="0.2">
      <c r="B53" s="1">
        <f ca="1">IFERROR(__xludf.DUMMYFUNCTION("""COMPUTED_VALUE"""),57)</f>
        <v>57</v>
      </c>
      <c r="C53" s="1">
        <f ca="1"/>
        <v>3</v>
      </c>
      <c r="E53" s="1">
        <f t="shared" ca="1" si="0"/>
        <v>1.5524791990126898E-3</v>
      </c>
      <c r="F53" s="1">
        <f t="shared" ca="1" si="1"/>
        <v>0.98116685377601998</v>
      </c>
    </row>
    <row r="54" spans="2:6" x14ac:dyDescent="0.2">
      <c r="B54" s="1">
        <f ca="1">IFERROR(__xludf.DUMMYFUNCTION("""COMPUTED_VALUE"""),58)</f>
        <v>58</v>
      </c>
      <c r="C54" s="1">
        <f ca="1"/>
        <v>4</v>
      </c>
      <c r="E54" s="1">
        <f t="shared" ca="1" si="0"/>
        <v>1.5548347434270705E-3</v>
      </c>
      <c r="F54" s="1">
        <f t="shared" ca="1" si="1"/>
        <v>0.98265555784590852</v>
      </c>
    </row>
    <row r="55" spans="2:6" x14ac:dyDescent="0.2">
      <c r="B55" s="1">
        <f ca="1">IFERROR(__xludf.DUMMYFUNCTION("""COMPUTED_VALUE"""),59)</f>
        <v>59</v>
      </c>
      <c r="C55" s="1">
        <f ca="1"/>
        <v>5</v>
      </c>
      <c r="E55" s="1">
        <f t="shared" ca="1" si="0"/>
        <v>1.557166892488843E-3</v>
      </c>
      <c r="F55" s="1">
        <f t="shared" ca="1" si="1"/>
        <v>0.98412947605294876</v>
      </c>
    </row>
    <row r="56" spans="2:6" x14ac:dyDescent="0.2">
      <c r="B56" s="1">
        <f ca="1">IFERROR(__xludf.DUMMYFUNCTION("""COMPUTED_VALUE"""),60)</f>
        <v>60</v>
      </c>
      <c r="C56" s="1">
        <f ca="1"/>
        <v>1</v>
      </c>
      <c r="E56" s="1">
        <f t="shared" ca="1" si="0"/>
        <v>1.5594755302639754E-3</v>
      </c>
      <c r="F56" s="1">
        <f t="shared" ca="1" si="1"/>
        <v>0.98558853512683242</v>
      </c>
    </row>
    <row r="57" spans="2:6" x14ac:dyDescent="0.2">
      <c r="B57" s="1">
        <f ca="1">IFERROR(__xludf.DUMMYFUNCTION("""COMPUTED_VALUE"""),61)</f>
        <v>61</v>
      </c>
      <c r="C57" s="1">
        <f ca="1"/>
        <v>1</v>
      </c>
      <c r="E57" s="1">
        <f t="shared" ca="1" si="0"/>
        <v>1.5617605418680486E-3</v>
      </c>
      <c r="F57" s="1">
        <f t="shared" ca="1" si="1"/>
        <v>0.98703266246060672</v>
      </c>
    </row>
    <row r="58" spans="2:6" x14ac:dyDescent="0.2">
      <c r="B58" s="1">
        <f ca="1">IFERROR(__xludf.DUMMYFUNCTION("""COMPUTED_VALUE"""),62)</f>
        <v>62</v>
      </c>
      <c r="C58" s="1">
        <f ca="1"/>
        <v>2</v>
      </c>
      <c r="E58" s="1">
        <f t="shared" ca="1" si="0"/>
        <v>1.5640218134757766E-3</v>
      </c>
      <c r="F58" s="1">
        <f t="shared" ca="1" si="1"/>
        <v>0.98846178611669078</v>
      </c>
    </row>
    <row r="59" spans="2:6" x14ac:dyDescent="0.2">
      <c r="B59" s="1">
        <f ca="1">IFERROR(__xludf.DUMMYFUNCTION("""COMPUTED_VALUE"""),64)</f>
        <v>64</v>
      </c>
      <c r="C59" s="1">
        <f ca="1"/>
        <v>4</v>
      </c>
      <c r="E59" s="1">
        <f t="shared" ca="1" si="0"/>
        <v>1.5684726867533016E-3</v>
      </c>
      <c r="F59" s="1">
        <f t="shared" ca="1" si="1"/>
        <v>0.99127473802808663</v>
      </c>
    </row>
    <row r="60" spans="2:6" x14ac:dyDescent="0.2">
      <c r="B60" s="1">
        <f ca="1">IFERROR(__xludf.DUMMYFUNCTION("""COMPUTED_VALUE"""),65)</f>
        <v>65</v>
      </c>
      <c r="C60" s="1">
        <f ca="1"/>
        <v>5</v>
      </c>
      <c r="E60" s="1">
        <f t="shared" ca="1" si="0"/>
        <v>1.5706620661527864E-3</v>
      </c>
      <c r="F60" s="1">
        <f t="shared" ca="1" si="1"/>
        <v>0.99265842580856101</v>
      </c>
    </row>
    <row r="61" spans="2:6" x14ac:dyDescent="0.2">
      <c r="B61" s="1">
        <f ca="1">IFERROR(__xludf.DUMMYFUNCTION("""COMPUTED_VALUE"""),66)</f>
        <v>66</v>
      </c>
      <c r="C61" s="1">
        <f ca="1"/>
        <v>4</v>
      </c>
      <c r="E61" s="1">
        <f t="shared" ca="1" si="0"/>
        <v>1.57282726103379E-3</v>
      </c>
      <c r="F61" s="1">
        <f t="shared" ca="1" si="1"/>
        <v>0.99402682897335526</v>
      </c>
    </row>
    <row r="62" spans="2:6" x14ac:dyDescent="0.2">
      <c r="B62" s="1">
        <f ca="1">IFERROR(__xludf.DUMMYFUNCTION("""COMPUTED_VALUE"""),68)</f>
        <v>68</v>
      </c>
      <c r="C62" s="1">
        <f ca="1"/>
        <v>1</v>
      </c>
      <c r="E62" s="1">
        <f t="shared" ca="1" si="0"/>
        <v>1.577084664796677E-3</v>
      </c>
      <c r="F62" s="1">
        <f t="shared" ca="1" si="1"/>
        <v>0.99671750815149984</v>
      </c>
    </row>
    <row r="63" spans="2:6" x14ac:dyDescent="0.2">
      <c r="B63" s="1">
        <f ca="1">IFERROR(__xludf.DUMMYFUNCTION("""COMPUTED_VALUE"""),69)</f>
        <v>69</v>
      </c>
      <c r="C63" s="1">
        <f ca="1"/>
        <v>2</v>
      </c>
      <c r="E63" s="1">
        <f t="shared" ca="1" si="0"/>
        <v>1.5791766602521462E-3</v>
      </c>
      <c r="F63" s="1">
        <f t="shared" ca="1" si="1"/>
        <v>0.9980396492793564</v>
      </c>
    </row>
    <row r="64" spans="2:6" x14ac:dyDescent="0.2">
      <c r="B64" s="1">
        <f ca="1">IFERROR(__xludf.DUMMYFUNCTION("""COMPUTED_VALUE"""),70)</f>
        <v>70</v>
      </c>
      <c r="C64" s="1">
        <f ca="1"/>
        <v>7</v>
      </c>
      <c r="E64" s="1">
        <f t="shared" ca="1" si="0"/>
        <v>1.5812440443541266E-3</v>
      </c>
      <c r="F64" s="1">
        <f t="shared" ca="1" si="1"/>
        <v>0.99934623603180806</v>
      </c>
    </row>
    <row r="65" spans="2:6" x14ac:dyDescent="0.2">
      <c r="B65" s="1">
        <f ca="1">IFERROR(__xludf.DUMMYFUNCTION("""COMPUTED_VALUE"""),71)</f>
        <v>71</v>
      </c>
      <c r="C65" s="1">
        <f ca="1"/>
        <v>1</v>
      </c>
      <c r="E65" s="1">
        <f t="shared" ca="1" si="0"/>
        <v>1.5832867132247836E-3</v>
      </c>
      <c r="F65" s="1">
        <f t="shared" ca="1" si="1"/>
        <v>1.0006372027580632</v>
      </c>
    </row>
    <row r="66" spans="2:6" x14ac:dyDescent="0.2">
      <c r="B66" s="1">
        <f ca="1">IFERROR(__xludf.DUMMYFUNCTION("""COMPUTED_VALUE"""),72)</f>
        <v>72</v>
      </c>
      <c r="C66" s="1">
        <f ca="1"/>
        <v>5</v>
      </c>
      <c r="E66" s="1">
        <f t="shared" ca="1" si="0"/>
        <v>1.5853045641361708E-3</v>
      </c>
      <c r="F66" s="1">
        <f t="shared" ca="1" si="1"/>
        <v>1.0019124845340599</v>
      </c>
    </row>
    <row r="67" spans="2:6" x14ac:dyDescent="0.2">
      <c r="B67" s="1">
        <f ca="1">IFERROR(__xludf.DUMMYFUNCTION("""COMPUTED_VALUE"""),73)</f>
        <v>73</v>
      </c>
      <c r="C67" s="1">
        <f ca="1"/>
        <v>1</v>
      </c>
      <c r="E67" s="1">
        <f t="shared" ca="1" si="0"/>
        <v>1.5872974955188348E-3</v>
      </c>
      <c r="F67" s="1">
        <f t="shared" ca="1" si="1"/>
        <v>1.0031720171679037</v>
      </c>
    </row>
    <row r="68" spans="2:6" x14ac:dyDescent="0.2">
      <c r="B68" s="1">
        <f ca="1">IFERROR(__xludf.DUMMYFUNCTION("""COMPUTED_VALUE"""),74)</f>
        <v>74</v>
      </c>
      <c r="C68" s="1">
        <f ca="1"/>
        <v>2</v>
      </c>
      <c r="E68" s="1">
        <f t="shared" ca="1" si="0"/>
        <v>1.5892654069703334E-3</v>
      </c>
      <c r="F68" s="1">
        <f t="shared" ca="1" si="1"/>
        <v>1.0044157372052507</v>
      </c>
    </row>
    <row r="69" spans="2:6" x14ac:dyDescent="0.2">
      <c r="B69" s="1">
        <f ca="1">IFERROR(__xludf.DUMMYFUNCTION("""COMPUTED_VALUE"""),75)</f>
        <v>75</v>
      </c>
      <c r="C69" s="1">
        <f ca="1"/>
        <v>1</v>
      </c>
      <c r="E69" s="1">
        <f t="shared" ca="1" si="0"/>
        <v>1.5912081992636631E-3</v>
      </c>
      <c r="F69" s="1">
        <f t="shared" ca="1" si="1"/>
        <v>1.005643581934635</v>
      </c>
    </row>
    <row r="70" spans="2:6" x14ac:dyDescent="0.2">
      <c r="B70" s="1">
        <f ca="1">IFERROR(__xludf.DUMMYFUNCTION("""COMPUTED_VALUE"""),76)</f>
        <v>76</v>
      </c>
      <c r="C70" s="1">
        <f ca="1"/>
        <v>1</v>
      </c>
      <c r="E70" s="1">
        <f t="shared" ca="1" si="0"/>
        <v>1.5931257743555943E-3</v>
      </c>
      <c r="F70" s="1">
        <f t="shared" ca="1" si="1"/>
        <v>1.0068554893927355</v>
      </c>
    </row>
    <row r="71" spans="2:6" x14ac:dyDescent="0.2">
      <c r="B71" s="1">
        <f ca="1">IFERROR(__xludf.DUMMYFUNCTION("""COMPUTED_VALUE"""),77)</f>
        <v>77</v>
      </c>
      <c r="C71" s="1">
        <f ca="1"/>
        <v>3</v>
      </c>
      <c r="E71" s="1">
        <f t="shared" ca="1" si="0"/>
        <v>1.5950180353949148E-3</v>
      </c>
      <c r="F71" s="1">
        <f t="shared" ca="1" si="1"/>
        <v>1.0080513983695862</v>
      </c>
    </row>
    <row r="72" spans="2:6" x14ac:dyDescent="0.2">
      <c r="B72" s="1">
        <f ca="1">IFERROR(__xludf.DUMMYFUNCTION("""COMPUTED_VALUE"""),78)</f>
        <v>78</v>
      </c>
      <c r="C72" s="1">
        <f ca="1"/>
        <v>2</v>
      </c>
      <c r="E72" s="1">
        <f t="shared" ca="1" si="0"/>
        <v>1.596884886730579E-3</v>
      </c>
      <c r="F72" s="1">
        <f t="shared" ca="1" si="1"/>
        <v>1.0092312484137258</v>
      </c>
    </row>
    <row r="73" spans="2:6" x14ac:dyDescent="0.2">
      <c r="B73" s="1">
        <f ca="1">IFERROR(__xludf.DUMMYFUNCTION("""COMPUTED_VALUE"""),79)</f>
        <v>79</v>
      </c>
      <c r="C73" s="1">
        <f ca="1"/>
        <v>7</v>
      </c>
      <c r="E73" s="1">
        <f t="shared" ca="1" si="0"/>
        <v>1.598726233919765E-3</v>
      </c>
      <c r="F73" s="1">
        <f t="shared" ca="1" si="1"/>
        <v>1.0103949798372915</v>
      </c>
    </row>
    <row r="74" spans="2:6" x14ac:dyDescent="0.2">
      <c r="B74" s="1">
        <f ca="1">IFERROR(__xludf.DUMMYFUNCTION("""COMPUTED_VALUE"""),80)</f>
        <v>80</v>
      </c>
      <c r="C74" s="1">
        <f ca="1"/>
        <v>1</v>
      </c>
      <c r="E74" s="1">
        <f t="shared" ca="1" si="0"/>
        <v>1.6005419837358348E-3</v>
      </c>
      <c r="F74" s="1">
        <f t="shared" ca="1" si="1"/>
        <v>1.0115425337210475</v>
      </c>
    </row>
    <row r="75" spans="2:6" x14ac:dyDescent="0.2">
      <c r="B75" s="1">
        <f ca="1">IFERROR(__xludf.DUMMYFUNCTION("""COMPUTED_VALUE"""),81)</f>
        <v>81</v>
      </c>
      <c r="C75" s="1">
        <f ca="1"/>
        <v>3</v>
      </c>
      <c r="E75" s="1">
        <f t="shared" ca="1" si="0"/>
        <v>1.6023320441761984E-3</v>
      </c>
      <c r="F75" s="1">
        <f t="shared" ca="1" si="1"/>
        <v>1.0126738519193574</v>
      </c>
    </row>
    <row r="76" spans="2:6" x14ac:dyDescent="0.2">
      <c r="B76" s="1">
        <f ca="1">IFERROR(__xludf.DUMMYFUNCTION("""COMPUTED_VALUE"""),82)</f>
        <v>82</v>
      </c>
      <c r="C76" s="1">
        <f ca="1"/>
        <v>3</v>
      </c>
      <c r="E76" s="1">
        <f t="shared" ca="1" si="0"/>
        <v>1.6040963244700812E-3</v>
      </c>
      <c r="F76" s="1">
        <f t="shared" ca="1" si="1"/>
        <v>1.0137888770650914</v>
      </c>
    </row>
    <row r="77" spans="2:6" x14ac:dyDescent="0.2">
      <c r="B77" s="1">
        <f ca="1">IFERROR(__xludf.DUMMYFUNCTION("""COMPUTED_VALUE"""),84)</f>
        <v>84</v>
      </c>
      <c r="C77" s="1">
        <f ca="1"/>
        <v>3</v>
      </c>
      <c r="E77" s="1">
        <f t="shared" ca="1" si="0"/>
        <v>1.6075471877403042E-3</v>
      </c>
      <c r="F77" s="1">
        <f t="shared" ca="1" si="1"/>
        <v>1.0159698226518723</v>
      </c>
    </row>
    <row r="78" spans="2:6" x14ac:dyDescent="0.2">
      <c r="B78" s="1">
        <f ca="1">IFERROR(__xludf.DUMMYFUNCTION("""COMPUTED_VALUE"""),85)</f>
        <v>85</v>
      </c>
      <c r="C78" s="1">
        <f ca="1"/>
        <v>3</v>
      </c>
      <c r="E78" s="1">
        <f t="shared" ca="1" si="0"/>
        <v>1.6092335954027042E-3</v>
      </c>
      <c r="F78" s="1">
        <f t="shared" ca="1" si="1"/>
        <v>1.0170356322945091</v>
      </c>
    </row>
    <row r="79" spans="2:6" x14ac:dyDescent="0.2">
      <c r="B79" s="1">
        <f ca="1">IFERROR(__xludf.DUMMYFUNCTION("""COMPUTED_VALUE"""),86)</f>
        <v>86</v>
      </c>
      <c r="C79" s="1">
        <f ca="1"/>
        <v>2</v>
      </c>
      <c r="E79" s="1">
        <f t="shared" ca="1" si="0"/>
        <v>1.6108938723055843E-3</v>
      </c>
      <c r="F79" s="1">
        <f t="shared" ca="1" si="1"/>
        <v>1.0180849272971293</v>
      </c>
    </row>
    <row r="80" spans="2:6" x14ac:dyDescent="0.2">
      <c r="B80" s="1">
        <f ca="1">IFERROR(__xludf.DUMMYFUNCTION("""COMPUTED_VALUE"""),87)</f>
        <v>87</v>
      </c>
      <c r="C80" s="1">
        <f ca="1"/>
        <v>1</v>
      </c>
      <c r="E80" s="1">
        <f t="shared" ca="1" si="0"/>
        <v>1.6125279339502994E-3</v>
      </c>
      <c r="F80" s="1">
        <f t="shared" ca="1" si="1"/>
        <v>1.0191176542565892</v>
      </c>
    </row>
    <row r="81" spans="2:6" x14ac:dyDescent="0.2">
      <c r="B81" s="1">
        <f ca="1">IFERROR(__xludf.DUMMYFUNCTION("""COMPUTED_VALUE"""),88)</f>
        <v>88</v>
      </c>
      <c r="C81" s="1">
        <f ca="1"/>
        <v>1</v>
      </c>
      <c r="E81" s="1">
        <f t="shared" ca="1" si="0"/>
        <v>1.6141356971145363E-3</v>
      </c>
      <c r="F81" s="1">
        <f t="shared" ca="1" si="1"/>
        <v>1.0201337605763869</v>
      </c>
    </row>
    <row r="82" spans="2:6" x14ac:dyDescent="0.2">
      <c r="B82" s="1">
        <f ca="1">IFERROR(__xludf.DUMMYFUNCTION("""COMPUTED_VALUE"""),89)</f>
        <v>89</v>
      </c>
      <c r="C82" s="1">
        <f ca="1"/>
        <v>3</v>
      </c>
      <c r="E82" s="1">
        <f t="shared" ca="1" si="0"/>
        <v>1.6157170798593763E-3</v>
      </c>
      <c r="F82" s="1">
        <f t="shared" ca="1" si="1"/>
        <v>1.0211331944711257</v>
      </c>
    </row>
    <row r="83" spans="2:6" x14ac:dyDescent="0.2">
      <c r="B83" s="1">
        <f ca="1">IFERROR(__xludf.DUMMYFUNCTION("""COMPUTED_VALUE"""),90)</f>
        <v>90</v>
      </c>
      <c r="C83" s="1">
        <f ca="1"/>
        <v>1</v>
      </c>
      <c r="E83" s="1">
        <f t="shared" ca="1" si="0"/>
        <v>1.6172720015362539E-3</v>
      </c>
      <c r="F83" s="1">
        <f t="shared" ca="1" si="1"/>
        <v>1.0221159049709125</v>
      </c>
    </row>
    <row r="84" spans="2:6" x14ac:dyDescent="0.2">
      <c r="B84" s="1">
        <f ca="1">IFERROR(__xludf.DUMMYFUNCTION("""COMPUTED_VALUE"""),91)</f>
        <v>91</v>
      </c>
      <c r="C84" s="1">
        <f ca="1"/>
        <v>1</v>
      </c>
      <c r="E84" s="1">
        <f t="shared" ca="1" si="0"/>
        <v>1.6188003827938111E-3</v>
      </c>
      <c r="F84" s="1">
        <f t="shared" ca="1" si="1"/>
        <v>1.0230818419256886</v>
      </c>
    </row>
    <row r="85" spans="2:6" x14ac:dyDescent="0.2">
      <c r="B85" s="1">
        <f ca="1">IFERROR(__xludf.DUMMYFUNCTION("""COMPUTED_VALUE"""),93)</f>
        <v>93</v>
      </c>
      <c r="C85" s="1">
        <f ca="1"/>
        <v>2</v>
      </c>
      <c r="E85" s="1">
        <f t="shared" ca="1" si="0"/>
        <v>1.6217772131719513E-3</v>
      </c>
      <c r="F85" s="1">
        <f t="shared" ca="1" si="1"/>
        <v>1.0249631987246732</v>
      </c>
    </row>
    <row r="86" spans="2:6" x14ac:dyDescent="0.2">
      <c r="B86" s="1">
        <f ca="1">IFERROR(__xludf.DUMMYFUNCTION("""COMPUTED_VALUE"""),95)</f>
        <v>95</v>
      </c>
      <c r="C86" s="1">
        <f ca="1"/>
        <v>2</v>
      </c>
      <c r="E86" s="1">
        <f t="shared" ca="1" si="0"/>
        <v>1.6246469623808389E-3</v>
      </c>
      <c r="F86" s="1">
        <f t="shared" ca="1" si="1"/>
        <v>1.0267768802246902</v>
      </c>
    </row>
    <row r="87" spans="2:6" x14ac:dyDescent="0.2">
      <c r="B87" s="1">
        <f ca="1">IFERROR(__xludf.DUMMYFUNCTION("""COMPUTED_VALUE"""),96)</f>
        <v>96</v>
      </c>
      <c r="C87" s="1">
        <f ca="1"/>
        <v>1</v>
      </c>
      <c r="E87" s="1">
        <f t="shared" ca="1" si="0"/>
        <v>1.6260414971400645E-3</v>
      </c>
      <c r="F87" s="1">
        <f t="shared" ca="1" si="1"/>
        <v>1.0276582261925207</v>
      </c>
    </row>
    <row r="88" spans="2:6" x14ac:dyDescent="0.2">
      <c r="B88" s="1">
        <f ca="1">IFERROR(__xludf.DUMMYFUNCTION("""COMPUTED_VALUE"""),97)</f>
        <v>97</v>
      </c>
      <c r="C88" s="1">
        <f ca="1"/>
        <v>3</v>
      </c>
      <c r="E88" s="1">
        <f t="shared" ca="1" si="0"/>
        <v>1.6274090429835733E-3</v>
      </c>
      <c r="F88" s="1">
        <f t="shared" ca="1" si="1"/>
        <v>1.0285225151656183</v>
      </c>
    </row>
    <row r="89" spans="2:6" x14ac:dyDescent="0.2">
      <c r="B89" s="1">
        <f ca="1">IFERROR(__xludf.DUMMYFUNCTION("""COMPUTED_VALUE"""),98)</f>
        <v>98</v>
      </c>
      <c r="C89" s="1">
        <f ca="1"/>
        <v>3</v>
      </c>
      <c r="E89" s="1">
        <f t="shared" ca="1" si="0"/>
        <v>1.6287495298233877E-3</v>
      </c>
      <c r="F89" s="1">
        <f t="shared" ca="1" si="1"/>
        <v>1.029369702848381</v>
      </c>
    </row>
    <row r="90" spans="2:6" x14ac:dyDescent="0.2">
      <c r="B90" s="1">
        <f ca="1">IFERROR(__xludf.DUMMYFUNCTION("""COMPUTED_VALUE"""),99)</f>
        <v>99</v>
      </c>
      <c r="C90" s="1">
        <f ca="1"/>
        <v>1</v>
      </c>
      <c r="E90" s="1">
        <f t="shared" ca="1" si="0"/>
        <v>1.6300628889196966E-3</v>
      </c>
      <c r="F90" s="1">
        <f t="shared" ca="1" si="1"/>
        <v>1.0301997457972483</v>
      </c>
    </row>
    <row r="91" spans="2:6" x14ac:dyDescent="0.2">
      <c r="B91" s="1">
        <f ca="1">IFERROR(__xludf.DUMMYFUNCTION("""COMPUTED_VALUE"""),100)</f>
        <v>100</v>
      </c>
      <c r="C91" s="1">
        <f ca="1"/>
        <v>1</v>
      </c>
      <c r="E91" s="1">
        <f t="shared" ca="1" si="0"/>
        <v>1.6313490528867313E-3</v>
      </c>
      <c r="F91" s="1">
        <f t="shared" ca="1" si="1"/>
        <v>1.0310126014244141</v>
      </c>
    </row>
    <row r="92" spans="2:6" x14ac:dyDescent="0.2">
      <c r="B92" s="1">
        <f ca="1">IFERROR(__xludf.DUMMYFUNCTION("""COMPUTED_VALUE"""),101)</f>
        <v>101</v>
      </c>
      <c r="C92" s="1">
        <f ca="1"/>
        <v>1</v>
      </c>
      <c r="E92" s="1">
        <f t="shared" ca="1" si="0"/>
        <v>1.6326079556985241E-3</v>
      </c>
      <c r="F92" s="1">
        <f t="shared" ca="1" si="1"/>
        <v>1.0318082280014673</v>
      </c>
    </row>
    <row r="93" spans="2:6" x14ac:dyDescent="0.2">
      <c r="B93" s="1">
        <f ca="1">IFERROR(__xludf.DUMMYFUNCTION("""COMPUTED_VALUE"""),102)</f>
        <v>102</v>
      </c>
      <c r="C93" s="1">
        <f ca="1"/>
        <v>2</v>
      </c>
      <c r="E93" s="1">
        <f t="shared" ca="1" si="0"/>
        <v>1.6338395326945614E-3</v>
      </c>
      <c r="F93" s="1">
        <f t="shared" ca="1" si="1"/>
        <v>1.0325865846629627</v>
      </c>
    </row>
    <row r="94" spans="2:6" x14ac:dyDescent="0.2">
      <c r="B94" s="1">
        <f ca="1">IFERROR(__xludf.DUMMYFUNCTION("""COMPUTED_VALUE"""),103)</f>
        <v>103</v>
      </c>
      <c r="C94" s="1">
        <f ca="1"/>
        <v>1</v>
      </c>
      <c r="E94" s="1">
        <f t="shared" ca="1" si="0"/>
        <v>1.635043720585315E-3</v>
      </c>
      <c r="F94" s="1">
        <f t="shared" ca="1" si="1"/>
        <v>1.033347631409919</v>
      </c>
    </row>
    <row r="95" spans="2:6" x14ac:dyDescent="0.2">
      <c r="B95" s="1">
        <f ca="1">IFERROR(__xludf.DUMMYFUNCTION("""COMPUTED_VALUE"""),106)</f>
        <v>106</v>
      </c>
      <c r="C95" s="1">
        <f ca="1"/>
        <v>6</v>
      </c>
      <c r="E95" s="1">
        <f t="shared" ca="1" si="0"/>
        <v>1.6384913374084184E-3</v>
      </c>
      <c r="F95" s="1">
        <f t="shared" ca="1" si="1"/>
        <v>1.0355265252421204</v>
      </c>
    </row>
    <row r="96" spans="2:6" x14ac:dyDescent="0.2">
      <c r="B96" s="1">
        <f ca="1">IFERROR(__xludf.DUMMYFUNCTION("""COMPUTED_VALUE"""),108)</f>
        <v>108</v>
      </c>
      <c r="C96" s="1">
        <f ca="1"/>
        <v>2</v>
      </c>
      <c r="E96" s="1">
        <f t="shared" ca="1" si="0"/>
        <v>1.6406517049686966E-3</v>
      </c>
      <c r="F96" s="1">
        <f t="shared" ca="1" si="1"/>
        <v>1.0368918775402163</v>
      </c>
    </row>
    <row r="97" spans="2:6" x14ac:dyDescent="0.2">
      <c r="B97" s="1">
        <f ca="1">IFERROR(__xludf.DUMMYFUNCTION("""COMPUTED_VALUE"""),109)</f>
        <v>109</v>
      </c>
      <c r="C97" s="1">
        <f ca="1"/>
        <v>3</v>
      </c>
      <c r="E97" s="1">
        <f t="shared" ca="1" si="0"/>
        <v>1.6416903065913223E-3</v>
      </c>
      <c r="F97" s="1">
        <f t="shared" ca="1" si="1"/>
        <v>1.0375482737657158</v>
      </c>
    </row>
    <row r="98" spans="2:6" x14ac:dyDescent="0.2">
      <c r="B98" s="1">
        <f ca="1">IFERROR(__xludf.DUMMYFUNCTION("""COMPUTED_VALUE"""),110)</f>
        <v>110</v>
      </c>
      <c r="C98" s="1">
        <f ca="1"/>
        <v>3</v>
      </c>
      <c r="E98" s="1">
        <f t="shared" ca="1" si="0"/>
        <v>1.6427011149103162E-3</v>
      </c>
      <c r="F98" s="1">
        <f t="shared" ca="1" si="1"/>
        <v>1.0381871046233198</v>
      </c>
    </row>
    <row r="99" spans="2:6" x14ac:dyDescent="0.2">
      <c r="B99" s="1">
        <f ca="1">IFERROR(__xludf.DUMMYFUNCTION("""COMPUTED_VALUE"""),111)</f>
        <v>111</v>
      </c>
      <c r="C99" s="1">
        <f ca="1"/>
        <v>1</v>
      </c>
      <c r="E99" s="1">
        <f t="shared" ca="1" si="0"/>
        <v>1.6436840777894223E-3</v>
      </c>
      <c r="F99" s="1">
        <f t="shared" ca="1" si="1"/>
        <v>1.0388083371629149</v>
      </c>
    </row>
    <row r="100" spans="2:6" x14ac:dyDescent="0.2">
      <c r="B100" s="1">
        <f ca="1">IFERROR(__xludf.DUMMYFUNCTION("""COMPUTED_VALUE"""),112)</f>
        <v>112</v>
      </c>
      <c r="C100" s="1">
        <f ca="1"/>
        <v>2</v>
      </c>
      <c r="E100" s="1">
        <f t="shared" ca="1" si="0"/>
        <v>1.6446391445079564E-3</v>
      </c>
      <c r="F100" s="1">
        <f t="shared" ca="1" si="1"/>
        <v>1.0394119393290284</v>
      </c>
    </row>
    <row r="101" spans="2:6" x14ac:dyDescent="0.2">
      <c r="B101" s="1">
        <f ca="1">IFERROR(__xludf.DUMMYFUNCTION("""COMPUTED_VALUE"""),113)</f>
        <v>113</v>
      </c>
      <c r="C101" s="1">
        <f ca="1"/>
        <v>1</v>
      </c>
      <c r="E101" s="1">
        <f t="shared" ca="1" si="0"/>
        <v>1.6455662657651673E-3</v>
      </c>
      <c r="F101" s="1">
        <f t="shared" ca="1" si="1"/>
        <v>1.0399978799635856</v>
      </c>
    </row>
    <row r="102" spans="2:6" x14ac:dyDescent="0.2">
      <c r="B102" s="1">
        <f ca="1">IFERROR(__xludf.DUMMYFUNCTION("""COMPUTED_VALUE"""),114)</f>
        <v>114</v>
      </c>
      <c r="C102" s="1">
        <f ca="1"/>
        <v>1</v>
      </c>
      <c r="E102" s="1">
        <f t="shared" ca="1" si="0"/>
        <v>1.6464653936844786E-3</v>
      </c>
      <c r="F102" s="1">
        <f t="shared" ca="1" si="1"/>
        <v>1.0405661288085906</v>
      </c>
    </row>
    <row r="103" spans="2:6" x14ac:dyDescent="0.2">
      <c r="B103" s="1">
        <f ca="1">IFERROR(__xludf.DUMMYFUNCTION("""COMPUTED_VALUE"""),115)</f>
        <v>115</v>
      </c>
      <c r="C103" s="1">
        <f ca="1"/>
        <v>2</v>
      </c>
      <c r="E103" s="1">
        <f t="shared" ca="1" si="0"/>
        <v>1.6473364818176085E-3</v>
      </c>
      <c r="F103" s="1">
        <f t="shared" ca="1" si="1"/>
        <v>1.0411166565087286</v>
      </c>
    </row>
    <row r="104" spans="2:6" x14ac:dyDescent="0.2">
      <c r="B104" s="1">
        <f ca="1">IFERROR(__xludf.DUMMYFUNCTION("""COMPUTED_VALUE"""),116)</f>
        <v>116</v>
      </c>
      <c r="C104" s="1">
        <f ca="1"/>
        <v>1</v>
      </c>
      <c r="E104" s="1">
        <f t="shared" ca="1" si="0"/>
        <v>1.6481794851485687E-3</v>
      </c>
      <c r="F104" s="1">
        <f t="shared" ca="1" si="1"/>
        <v>1.0416494346138954</v>
      </c>
    </row>
    <row r="105" spans="2:6" x14ac:dyDescent="0.2">
      <c r="B105" s="1">
        <f ca="1">IFERROR(__xludf.DUMMYFUNCTION("""COMPUTED_VALUE"""),117)</f>
        <v>117</v>
      </c>
      <c r="C105" s="1">
        <f ca="1"/>
        <v>3</v>
      </c>
      <c r="E105" s="1">
        <f t="shared" ca="1" si="0"/>
        <v>1.6489943600975431E-3</v>
      </c>
      <c r="F105" s="1">
        <f t="shared" ca="1" si="1"/>
        <v>1.0421644355816473</v>
      </c>
    </row>
    <row r="106" spans="2:6" x14ac:dyDescent="0.2">
      <c r="B106" s="1">
        <f ca="1">IFERROR(__xludf.DUMMYFUNCTION("""COMPUTED_VALUE"""),118)</f>
        <v>118</v>
      </c>
      <c r="C106" s="1">
        <f ca="1"/>
        <v>1</v>
      </c>
      <c r="E106" s="1">
        <f t="shared" ca="1" si="0"/>
        <v>1.649781064524642E-3</v>
      </c>
      <c r="F106" s="1">
        <f t="shared" ca="1" si="1"/>
        <v>1.0426616327795737</v>
      </c>
    </row>
    <row r="107" spans="2:6" x14ac:dyDescent="0.2">
      <c r="B107" s="1">
        <f ca="1">IFERROR(__xludf.DUMMYFUNCTION("""COMPUTED_VALUE"""),119)</f>
        <v>119</v>
      </c>
      <c r="C107" s="1">
        <f ca="1"/>
        <v>1</v>
      </c>
      <c r="E107" s="1">
        <f t="shared" ca="1" si="0"/>
        <v>1.6505395577335322E-3</v>
      </c>
      <c r="F107" s="1">
        <f t="shared" ca="1" si="1"/>
        <v>1.0431410004875923</v>
      </c>
    </row>
    <row r="108" spans="2:6" x14ac:dyDescent="0.2">
      <c r="B108" s="1">
        <f ca="1">IFERROR(__xludf.DUMMYFUNCTION("""COMPUTED_VALUE"""),122)</f>
        <v>122</v>
      </c>
      <c r="C108" s="1">
        <f ca="1"/>
        <v>1</v>
      </c>
      <c r="E108" s="1">
        <f t="shared" ca="1" si="0"/>
        <v>1.6526453848138111E-3</v>
      </c>
      <c r="F108" s="1">
        <f t="shared" ca="1" si="1"/>
        <v>1.0444718832023285</v>
      </c>
    </row>
    <row r="109" spans="2:6" x14ac:dyDescent="0.2">
      <c r="B109" s="1">
        <f ca="1">IFERROR(__xludf.DUMMYFUNCTION("""COMPUTED_VALUE"""),123)</f>
        <v>123</v>
      </c>
      <c r="C109" s="1">
        <f ca="1"/>
        <v>2</v>
      </c>
      <c r="E109" s="1">
        <f t="shared" ca="1" si="0"/>
        <v>1.6532906551779037E-3</v>
      </c>
      <c r="F109" s="1">
        <f t="shared" ca="1" si="1"/>
        <v>1.0448796940724352</v>
      </c>
    </row>
    <row r="110" spans="2:6" x14ac:dyDescent="0.2">
      <c r="B110" s="1">
        <f ca="1">IFERROR(__xludf.DUMMYFUNCTION("""COMPUTED_VALUE"""),124)</f>
        <v>124</v>
      </c>
      <c r="C110" s="1">
        <f ca="1"/>
        <v>1</v>
      </c>
      <c r="E110" s="1">
        <f t="shared" ca="1" si="0"/>
        <v>1.6539075326139597E-3</v>
      </c>
      <c r="F110" s="1">
        <f t="shared" ca="1" si="1"/>
        <v>1.0452695606120226</v>
      </c>
    </row>
    <row r="111" spans="2:6" x14ac:dyDescent="0.2">
      <c r="B111" s="1">
        <f ca="1">IFERROR(__xludf.DUMMYFUNCTION("""COMPUTED_VALUE"""),125)</f>
        <v>125</v>
      </c>
      <c r="C111" s="1">
        <f ca="1"/>
        <v>2</v>
      </c>
      <c r="E111" s="1">
        <f t="shared" ca="1" si="0"/>
        <v>1.6544959851563332E-3</v>
      </c>
      <c r="F111" s="1">
        <f t="shared" ca="1" si="1"/>
        <v>1.0456414626188026</v>
      </c>
    </row>
    <row r="112" spans="2:6" x14ac:dyDescent="0.2">
      <c r="B112" s="1">
        <f ca="1">IFERROR(__xludf.DUMMYFUNCTION("""COMPUTED_VALUE"""),126)</f>
        <v>126</v>
      </c>
      <c r="C112" s="1">
        <f ca="1"/>
        <v>3</v>
      </c>
      <c r="E112" s="1">
        <f t="shared" ca="1" si="0"/>
        <v>1.6550559823048849E-3</v>
      </c>
      <c r="F112" s="1">
        <f t="shared" ca="1" si="1"/>
        <v>1.0459953808166873</v>
      </c>
    </row>
    <row r="113" spans="2:6" x14ac:dyDescent="0.2">
      <c r="B113" s="1">
        <f ca="1">IFERROR(__xludf.DUMMYFUNCTION("""COMPUTED_VALUE"""),127)</f>
        <v>127</v>
      </c>
      <c r="C113" s="1">
        <f ca="1"/>
        <v>2</v>
      </c>
      <c r="E113" s="1">
        <f t="shared" ca="1" si="0"/>
        <v>1.6555874950276181E-3</v>
      </c>
      <c r="F113" s="1">
        <f t="shared" ca="1" si="1"/>
        <v>1.0463312968574547</v>
      </c>
    </row>
    <row r="114" spans="2:6" x14ac:dyDescent="0.2">
      <c r="B114" s="1">
        <f ca="1">IFERROR(__xludf.DUMMYFUNCTION("""COMPUTED_VALUE"""),128)</f>
        <v>128</v>
      </c>
      <c r="C114" s="1">
        <f ca="1"/>
        <v>2</v>
      </c>
      <c r="E114" s="1">
        <f t="shared" ca="1" si="0"/>
        <v>1.6560904957631853E-3</v>
      </c>
      <c r="F114" s="1">
        <f t="shared" ca="1" si="1"/>
        <v>1.0466491933223332</v>
      </c>
    </row>
    <row r="115" spans="2:6" x14ac:dyDescent="0.2">
      <c r="B115" s="1">
        <f ca="1">IFERROR(__xludf.DUMMYFUNCTION("""COMPUTED_VALUE"""),130)</f>
        <v>130</v>
      </c>
      <c r="C115" s="1">
        <f ca="1"/>
        <v>1</v>
      </c>
      <c r="E115" s="1">
        <f t="shared" ca="1" si="0"/>
        <v>1.6570108583948541E-3</v>
      </c>
      <c r="F115" s="1">
        <f t="shared" ca="1" si="1"/>
        <v>1.0472308625055478</v>
      </c>
    </row>
    <row r="116" spans="2:6" x14ac:dyDescent="0.2">
      <c r="B116" s="1">
        <f ca="1">IFERROR(__xludf.DUMMYFUNCTION("""COMPUTED_VALUE"""),131)</f>
        <v>131</v>
      </c>
      <c r="C116" s="1">
        <f ca="1"/>
        <v>1</v>
      </c>
      <c r="E116" s="1">
        <f t="shared" ca="1" si="0"/>
        <v>1.6574281725423175E-3</v>
      </c>
      <c r="F116" s="1">
        <f t="shared" ca="1" si="1"/>
        <v>1.0474946050467446</v>
      </c>
    </row>
    <row r="117" spans="2:6" x14ac:dyDescent="0.2">
      <c r="B117" s="1">
        <f ca="1">IFERROR(__xludf.DUMMYFUNCTION("""COMPUTED_VALUE"""),132)</f>
        <v>132</v>
      </c>
      <c r="C117" s="1">
        <f ca="1"/>
        <v>1</v>
      </c>
      <c r="E117" s="1">
        <f t="shared" ca="1" si="0"/>
        <v>1.6578168792094679E-3</v>
      </c>
      <c r="F117" s="1">
        <f t="shared" ca="1" si="1"/>
        <v>1.0477402676603838</v>
      </c>
    </row>
    <row r="118" spans="2:6" x14ac:dyDescent="0.2">
      <c r="B118" s="1">
        <f ca="1">IFERROR(__xludf.DUMMYFUNCTION("""COMPUTED_VALUE"""),133)</f>
        <v>133</v>
      </c>
      <c r="C118" s="1">
        <f ca="1"/>
        <v>1</v>
      </c>
      <c r="E118" s="1">
        <f t="shared" ca="1" si="0"/>
        <v>1.6581769582213997E-3</v>
      </c>
      <c r="F118" s="1">
        <f t="shared" ca="1" si="1"/>
        <v>1.0479678375959247</v>
      </c>
    </row>
    <row r="119" spans="2:6" x14ac:dyDescent="0.2">
      <c r="B119" s="1">
        <f ca="1">IFERROR(__xludf.DUMMYFUNCTION("""COMPUTED_VALUE"""),134)</f>
        <v>134</v>
      </c>
      <c r="C119" s="1">
        <f ca="1"/>
        <v>1</v>
      </c>
      <c r="E119" s="1">
        <f t="shared" ca="1" si="0"/>
        <v>1.6585083908862413E-3</v>
      </c>
      <c r="F119" s="1">
        <f t="shared" ca="1" si="1"/>
        <v>1.0481773030401045</v>
      </c>
    </row>
    <row r="120" spans="2:6" x14ac:dyDescent="0.2">
      <c r="B120" s="1">
        <f ca="1">IFERROR(__xludf.DUMMYFUNCTION("""COMPUTED_VALUE"""),135)</f>
        <v>135</v>
      </c>
      <c r="C120" s="1">
        <f ca="1"/>
        <v>1</v>
      </c>
      <c r="E120" s="1">
        <f t="shared" ca="1" si="0"/>
        <v>1.658811159996773E-3</v>
      </c>
      <c r="F120" s="1">
        <f t="shared" ca="1" si="1"/>
        <v>1.0483686531179606</v>
      </c>
    </row>
    <row r="121" spans="2:6" x14ac:dyDescent="0.2">
      <c r="B121" s="1">
        <f ca="1">IFERROR(__xludf.DUMMYFUNCTION("""COMPUTED_VALUE"""),136)</f>
        <v>136</v>
      </c>
      <c r="C121" s="1">
        <f ca="1"/>
        <v>1</v>
      </c>
      <c r="E121" s="1">
        <f t="shared" ca="1" si="0"/>
        <v>1.6590852498319152E-3</v>
      </c>
      <c r="F121" s="1">
        <f t="shared" ca="1" si="1"/>
        <v>1.0485418778937703</v>
      </c>
    </row>
    <row r="122" spans="2:6" x14ac:dyDescent="0.2">
      <c r="B122" s="1">
        <f ca="1">IFERROR(__xludf.DUMMYFUNCTION("""COMPUTED_VALUE"""),137)</f>
        <v>137</v>
      </c>
      <c r="C122" s="1">
        <f ca="1"/>
        <v>2</v>
      </c>
      <c r="E122" s="1">
        <f t="shared" ca="1" si="0"/>
        <v>1.6593306461580894E-3</v>
      </c>
      <c r="F122" s="1">
        <f t="shared" ca="1" si="1"/>
        <v>1.0486969683719125</v>
      </c>
    </row>
    <row r="123" spans="2:6" x14ac:dyDescent="0.2">
      <c r="B123" s="1">
        <f ca="1">IFERROR(__xludf.DUMMYFUNCTION("""COMPUTED_VALUE"""),140)</f>
        <v>140</v>
      </c>
      <c r="C123" s="1">
        <f ca="1"/>
        <v>3</v>
      </c>
      <c r="E123" s="1">
        <f t="shared" ca="1" si="0"/>
        <v>1.6598945540845056E-3</v>
      </c>
      <c r="F123" s="1">
        <f t="shared" ca="1" si="1"/>
        <v>1.0490533581814074</v>
      </c>
    </row>
    <row r="124" spans="2:6" x14ac:dyDescent="0.2">
      <c r="B124" s="1">
        <f ca="1">IFERROR(__xludf.DUMMYFUNCTION("""COMPUTED_VALUE"""),141)</f>
        <v>141</v>
      </c>
      <c r="C124" s="1">
        <f ca="1"/>
        <v>1</v>
      </c>
      <c r="E124" s="1">
        <f t="shared" ca="1" si="0"/>
        <v>1.6600250638294572E-3</v>
      </c>
      <c r="F124" s="1">
        <f t="shared" ca="1" si="1"/>
        <v>1.0491358403402169</v>
      </c>
    </row>
    <row r="125" spans="2:6" x14ac:dyDescent="0.2">
      <c r="B125" s="1">
        <f ca="1">IFERROR(__xludf.DUMMYFUNCTION("""COMPUTED_VALUE"""),142)</f>
        <v>142</v>
      </c>
      <c r="C125" s="1">
        <f ca="1"/>
        <v>1</v>
      </c>
      <c r="E125" s="1">
        <f t="shared" ca="1" si="0"/>
        <v>1.660126831248673E-3</v>
      </c>
      <c r="F125" s="1">
        <f t="shared" ca="1" si="1"/>
        <v>1.0492001573491614</v>
      </c>
    </row>
    <row r="126" spans="2:6" x14ac:dyDescent="0.2">
      <c r="B126" s="1">
        <f ca="1">IFERROR(__xludf.DUMMYFUNCTION("""COMPUTED_VALUE"""),143)</f>
        <v>143</v>
      </c>
      <c r="C126" s="1">
        <f ca="1"/>
        <v>3</v>
      </c>
      <c r="E126" s="1">
        <f t="shared" ca="1" si="0"/>
        <v>1.6601998510549403E-3</v>
      </c>
      <c r="F126" s="1">
        <f t="shared" ca="1" si="1"/>
        <v>1.0492463058667223</v>
      </c>
    </row>
    <row r="127" spans="2:6" x14ac:dyDescent="0.2">
      <c r="B127" s="1">
        <f ca="1">IFERROR(__xludf.DUMMYFUNCTION("""COMPUTED_VALUE"""),144)</f>
        <v>144</v>
      </c>
      <c r="C127" s="1">
        <f ca="1"/>
        <v>1</v>
      </c>
      <c r="E127" s="1">
        <f t="shared" ca="1" si="0"/>
        <v>1.6602441194544643E-3</v>
      </c>
      <c r="F127" s="1">
        <f t="shared" ca="1" si="1"/>
        <v>1.0492742834952213</v>
      </c>
    </row>
    <row r="128" spans="2:6" x14ac:dyDescent="0.2">
      <c r="B128" s="1">
        <f ca="1">IFERROR(__xludf.DUMMYFUNCTION("""COMPUTED_VALUE"""),146)</f>
        <v>146</v>
      </c>
      <c r="C128" s="1">
        <f ca="1"/>
        <v>1</v>
      </c>
      <c r="E128" s="1">
        <f t="shared" ca="1" si="0"/>
        <v>1.6602463943270257E-3</v>
      </c>
      <c r="F128" s="1">
        <f t="shared" ca="1" si="1"/>
        <v>1.0492757212146802</v>
      </c>
    </row>
    <row r="129" spans="2:6" x14ac:dyDescent="0.2">
      <c r="B129" s="1">
        <f ca="1">IFERROR(__xludf.DUMMYFUNCTION("""COMPUTED_VALUE"""),147)</f>
        <v>147</v>
      </c>
      <c r="C129" s="1">
        <f ca="1"/>
        <v>1</v>
      </c>
      <c r="E129" s="1">
        <f t="shared" ca="1" si="0"/>
        <v>1.6602044006818666E-3</v>
      </c>
      <c r="F129" s="1">
        <f t="shared" ca="1" si="1"/>
        <v>1.0492491812309397</v>
      </c>
    </row>
    <row r="130" spans="2:6" x14ac:dyDescent="0.2">
      <c r="B130" s="1">
        <f ca="1">IFERROR(__xludf.DUMMYFUNCTION("""COMPUTED_VALUE"""),148)</f>
        <v>148</v>
      </c>
      <c r="C130" s="1">
        <f ca="1"/>
        <v>1</v>
      </c>
      <c r="E130" s="1">
        <f t="shared" ca="1" si="0"/>
        <v>1.6601336553935815E-3</v>
      </c>
      <c r="F130" s="1">
        <f t="shared" ca="1" si="1"/>
        <v>1.0492044702087435</v>
      </c>
    </row>
    <row r="131" spans="2:6" x14ac:dyDescent="0.2">
      <c r="B131" s="1">
        <f ca="1">IFERROR(__xludf.DUMMYFUNCTION("""COMPUTED_VALUE"""),149)</f>
        <v>149</v>
      </c>
      <c r="C131" s="1">
        <f ca="1"/>
        <v>3</v>
      </c>
      <c r="E131" s="1">
        <f t="shared" ca="1" si="0"/>
        <v>1.6600341621377994E-3</v>
      </c>
      <c r="F131" s="1">
        <f t="shared" ca="1" si="1"/>
        <v>1.0491415904710892</v>
      </c>
    </row>
    <row r="132" spans="2:6" x14ac:dyDescent="0.2">
      <c r="B132" s="1">
        <f ca="1">IFERROR(__xludf.DUMMYFUNCTION("""COMPUTED_VALUE"""),152)</f>
        <v>152</v>
      </c>
      <c r="C132" s="1">
        <f ca="1"/>
        <v>2</v>
      </c>
      <c r="E132" s="1">
        <f t="shared" ca="1" si="0"/>
        <v>1.6595632537206664E-3</v>
      </c>
      <c r="F132" s="1">
        <f t="shared" ca="1" si="1"/>
        <v>1.0488439763514612</v>
      </c>
    </row>
    <row r="133" spans="2:6" x14ac:dyDescent="0.2">
      <c r="B133" s="1">
        <f ca="1">IFERROR(__xludf.DUMMYFUNCTION("""COMPUTED_VALUE"""),153)</f>
        <v>153</v>
      </c>
      <c r="C133" s="1">
        <f ca="1"/>
        <v>1</v>
      </c>
      <c r="E133" s="1">
        <f t="shared" ca="1" si="0"/>
        <v>1.6593488352126544E-3</v>
      </c>
      <c r="F133" s="1">
        <f t="shared" ca="1" si="1"/>
        <v>1.0487084638543975</v>
      </c>
    </row>
    <row r="134" spans="2:6" x14ac:dyDescent="0.2">
      <c r="B134" s="1">
        <f ca="1">IFERROR(__xludf.DUMMYFUNCTION("""COMPUTED_VALUE"""),155)</f>
        <v>155</v>
      </c>
      <c r="C134" s="1">
        <f ca="1"/>
        <v>4</v>
      </c>
      <c r="E134" s="1">
        <f t="shared" ca="1" si="0"/>
        <v>1.6588338892280703E-3</v>
      </c>
      <c r="F134" s="1">
        <f t="shared" ca="1" si="1"/>
        <v>1.0483830179921405</v>
      </c>
    </row>
    <row r="135" spans="2:6" x14ac:dyDescent="0.2">
      <c r="B135" s="1">
        <f ca="1">IFERROR(__xludf.DUMMYFUNCTION("""COMPUTED_VALUE"""),156)</f>
        <v>156</v>
      </c>
      <c r="C135" s="1">
        <f ca="1"/>
        <v>2</v>
      </c>
      <c r="E135" s="1">
        <f t="shared" ca="1" si="0"/>
        <v>1.6585333884943574E-3</v>
      </c>
      <c r="F135" s="1">
        <f t="shared" ca="1" si="1"/>
        <v>1.0481931015284338</v>
      </c>
    </row>
    <row r="136" spans="2:6" x14ac:dyDescent="0.2">
      <c r="B136" s="1">
        <f ca="1">IFERROR(__xludf.DUMMYFUNCTION("""COMPUTED_VALUE"""),157)</f>
        <v>157</v>
      </c>
      <c r="C136" s="1">
        <f ca="1"/>
        <v>1</v>
      </c>
      <c r="E136" s="1">
        <f t="shared" ca="1" si="0"/>
        <v>1.6582042229084234E-3</v>
      </c>
      <c r="F136" s="1">
        <f t="shared" ca="1" si="1"/>
        <v>1.0479850688781236</v>
      </c>
    </row>
    <row r="137" spans="2:6" x14ac:dyDescent="0.2">
      <c r="B137" s="1">
        <f ca="1">IFERROR(__xludf.DUMMYFUNCTION("""COMPUTED_VALUE"""),158)</f>
        <v>158</v>
      </c>
      <c r="C137" s="1">
        <f ca="1"/>
        <v>3</v>
      </c>
      <c r="E137" s="1">
        <f t="shared" ca="1" si="0"/>
        <v>1.6578464095599659E-3</v>
      </c>
      <c r="F137" s="1">
        <f t="shared" ca="1" si="1"/>
        <v>1.0477589308418984</v>
      </c>
    </row>
    <row r="138" spans="2:6" x14ac:dyDescent="0.2">
      <c r="B138" s="1">
        <f ca="1">IFERROR(__xludf.DUMMYFUNCTION("""COMPUTED_VALUE"""),159)</f>
        <v>159</v>
      </c>
      <c r="C138" s="1">
        <f ca="1"/>
        <v>2</v>
      </c>
      <c r="E138" s="1">
        <f t="shared" ca="1" si="0"/>
        <v>1.6574599670234574E-3</v>
      </c>
      <c r="F138" s="1">
        <f t="shared" ca="1" si="1"/>
        <v>1.0475146991588251</v>
      </c>
    </row>
    <row r="139" spans="2:6" x14ac:dyDescent="0.2">
      <c r="B139" s="1">
        <f ca="1">IFERROR(__xludf.DUMMYFUNCTION("""COMPUTED_VALUE"""),162)</f>
        <v>162</v>
      </c>
      <c r="C139" s="1">
        <f ca="1"/>
        <v>1</v>
      </c>
      <c r="E139" s="1">
        <f t="shared" ca="1" si="0"/>
        <v>1.656129072267312E-3</v>
      </c>
      <c r="F139" s="1">
        <f t="shared" ca="1" si="1"/>
        <v>1.0466735736729411</v>
      </c>
    </row>
    <row r="140" spans="2:6" x14ac:dyDescent="0.2">
      <c r="B140" s="1">
        <f ca="1">IFERROR(__xludf.DUMMYFUNCTION("""COMPUTED_VALUE"""),165)</f>
        <v>165</v>
      </c>
      <c r="C140" s="1">
        <f ca="1"/>
        <v>1</v>
      </c>
      <c r="E140" s="1">
        <f t="shared" ca="1" si="0"/>
        <v>1.6545413256754604E-3</v>
      </c>
      <c r="F140" s="1">
        <f t="shared" ca="1" si="1"/>
        <v>1.045670117826891</v>
      </c>
    </row>
    <row r="141" spans="2:6" x14ac:dyDescent="0.2">
      <c r="B141" s="1">
        <f ca="1">IFERROR(__xludf.DUMMYFUNCTION("""COMPUTED_VALUE"""),167)</f>
        <v>167</v>
      </c>
      <c r="C141" s="1">
        <f ca="1"/>
        <v>1</v>
      </c>
      <c r="E141" s="1">
        <f t="shared" ca="1" si="0"/>
        <v>1.6533404934827131E-3</v>
      </c>
      <c r="F141" s="1">
        <f t="shared" ca="1" si="1"/>
        <v>1.0449111918810747</v>
      </c>
    </row>
    <row r="142" spans="2:6" x14ac:dyDescent="0.2">
      <c r="B142" s="1">
        <f ca="1">IFERROR(__xludf.DUMMYFUNCTION("""COMPUTED_VALUE"""),168)</f>
        <v>168</v>
      </c>
      <c r="C142" s="1">
        <f ca="1"/>
        <v>1</v>
      </c>
      <c r="E142" s="1">
        <f t="shared" ca="1" si="0"/>
        <v>1.6526974681960105E-3</v>
      </c>
      <c r="F142" s="1">
        <f t="shared" ca="1" si="1"/>
        <v>1.0445047998998787</v>
      </c>
    </row>
    <row r="143" spans="2:6" x14ac:dyDescent="0.2">
      <c r="B143" s="1">
        <f ca="1">IFERROR(__xludf.DUMMYFUNCTION("""COMPUTED_VALUE"""),169)</f>
        <v>169</v>
      </c>
      <c r="C143" s="1">
        <f ca="1"/>
        <v>2</v>
      </c>
      <c r="E143" s="1">
        <f t="shared" ca="1" si="0"/>
        <v>1.6520260807117949E-3</v>
      </c>
      <c r="F143" s="1">
        <f t="shared" ca="1" si="1"/>
        <v>1.0440804830098545</v>
      </c>
    </row>
    <row r="144" spans="2:6" x14ac:dyDescent="0.2">
      <c r="B144" s="1">
        <f ca="1">IFERROR(__xludf.DUMMYFUNCTION("""COMPUTED_VALUE"""),170)</f>
        <v>170</v>
      </c>
      <c r="C144" s="1">
        <f ca="1"/>
        <v>2</v>
      </c>
      <c r="E144" s="1">
        <f t="shared" ca="1" si="0"/>
        <v>1.6513263658029327E-3</v>
      </c>
      <c r="F144" s="1">
        <f t="shared" ca="1" si="1"/>
        <v>1.0436382631874535</v>
      </c>
    </row>
    <row r="145" spans="2:6" x14ac:dyDescent="0.2">
      <c r="B145" s="1">
        <f ca="1">IFERROR(__xludf.DUMMYFUNCTION("""COMPUTED_VALUE"""),171)</f>
        <v>171</v>
      </c>
      <c r="C145" s="1">
        <f ca="1"/>
        <v>1</v>
      </c>
      <c r="E145" s="1">
        <f t="shared" ca="1" si="0"/>
        <v>1.6505983596993808E-3</v>
      </c>
      <c r="F145" s="1">
        <f t="shared" ca="1" si="1"/>
        <v>1.0431781633300088</v>
      </c>
    </row>
    <row r="146" spans="2:6" x14ac:dyDescent="0.2">
      <c r="B146" s="1">
        <f ca="1">IFERROR(__xludf.DUMMYFUNCTION("""COMPUTED_VALUE"""),173)</f>
        <v>173</v>
      </c>
      <c r="C146" s="1">
        <f ca="1"/>
        <v>1</v>
      </c>
      <c r="E146" s="1">
        <f t="shared" ca="1" si="0"/>
        <v>1.6490576260946141E-3</v>
      </c>
      <c r="F146" s="1">
        <f t="shared" ca="1" si="1"/>
        <v>1.0422044196917961</v>
      </c>
    </row>
    <row r="147" spans="2:6" x14ac:dyDescent="0.2">
      <c r="B147" s="1">
        <f ca="1">IFERROR(__xludf.DUMMYFUNCTION("""COMPUTED_VALUE"""),174)</f>
        <v>174</v>
      </c>
      <c r="C147" s="1">
        <f ca="1"/>
        <v>1</v>
      </c>
      <c r="E147" s="1">
        <f t="shared" ca="1" si="0"/>
        <v>1.648244978310011E-3</v>
      </c>
      <c r="F147" s="1">
        <f t="shared" ca="1" si="1"/>
        <v>1.0416908262919269</v>
      </c>
    </row>
    <row r="148" spans="2:6" x14ac:dyDescent="0.2">
      <c r="B148" s="1">
        <f ca="1">IFERROR(__xludf.DUMMYFUNCTION("""COMPUTED_VALUE"""),175)</f>
        <v>175</v>
      </c>
      <c r="C148" s="1">
        <f ca="1"/>
        <v>1</v>
      </c>
      <c r="E148" s="1">
        <f t="shared" ca="1" si="0"/>
        <v>1.6474041987570693E-3</v>
      </c>
      <c r="F148" s="1">
        <f t="shared" ca="1" si="1"/>
        <v>1.0411594536144677</v>
      </c>
    </row>
    <row r="149" spans="2:6" x14ac:dyDescent="0.2">
      <c r="B149" s="1">
        <f ca="1">IFERROR(__xludf.DUMMYFUNCTION("""COMPUTED_VALUE"""),176)</f>
        <v>176</v>
      </c>
      <c r="C149" s="1">
        <f ca="1"/>
        <v>2</v>
      </c>
      <c r="E149" s="1">
        <f t="shared" ca="1" si="0"/>
        <v>1.6465353309018218E-3</v>
      </c>
      <c r="F149" s="1">
        <f t="shared" ca="1" si="1"/>
        <v>1.0406103291299513</v>
      </c>
    </row>
    <row r="150" spans="2:6" x14ac:dyDescent="0.2">
      <c r="B150" s="1">
        <f ca="1">IFERROR(__xludf.DUMMYFUNCTION("""COMPUTED_VALUE"""),178)</f>
        <v>178</v>
      </c>
      <c r="C150" s="1">
        <f ca="1"/>
        <v>1</v>
      </c>
      <c r="E150" s="1">
        <f t="shared" ca="1" si="0"/>
        <v>1.6447135113270401E-3</v>
      </c>
      <c r="F150" s="1">
        <f t="shared" ca="1" si="1"/>
        <v>1.0394589391586893</v>
      </c>
    </row>
    <row r="151" spans="2:6" x14ac:dyDescent="0.2">
      <c r="B151" s="1">
        <f ca="1">IFERROR(__xludf.DUMMYFUNCTION("""COMPUTED_VALUE"""),179)</f>
        <v>179</v>
      </c>
      <c r="C151" s="1">
        <f ca="1"/>
        <v>2</v>
      </c>
      <c r="E151" s="1">
        <f t="shared" ca="1" si="0"/>
        <v>1.6437606537063445E-3</v>
      </c>
      <c r="F151" s="1">
        <f t="shared" ca="1" si="1"/>
        <v>1.0388567331424097</v>
      </c>
    </row>
    <row r="152" spans="2:6" x14ac:dyDescent="0.2">
      <c r="B152" s="1">
        <f ca="1">IFERROR(__xludf.DUMMYFUNCTION("""COMPUTED_VALUE"""),180)</f>
        <v>180</v>
      </c>
      <c r="C152" s="1">
        <f ca="1"/>
        <v>3</v>
      </c>
      <c r="E152" s="1">
        <f t="shared" ca="1" si="0"/>
        <v>1.64277989597292E-3</v>
      </c>
      <c r="F152" s="1">
        <f t="shared" ca="1" si="1"/>
        <v>1.0382368942548854</v>
      </c>
    </row>
    <row r="153" spans="2:6" x14ac:dyDescent="0.2">
      <c r="B153" s="1">
        <f ca="1">IFERROR(__xludf.DUMMYFUNCTION("""COMPUTED_VALUE"""),181)</f>
        <v>181</v>
      </c>
      <c r="C153" s="1">
        <f ca="1"/>
        <v>3</v>
      </c>
      <c r="E153" s="1">
        <f t="shared" ca="1" si="0"/>
        <v>1.6417712887352722E-3</v>
      </c>
      <c r="F153" s="1">
        <f t="shared" ca="1" si="1"/>
        <v>1.0375994544806921</v>
      </c>
    </row>
    <row r="154" spans="2:6" x14ac:dyDescent="0.2">
      <c r="B154" s="1">
        <f ca="1">IFERROR(__xludf.DUMMYFUNCTION("""COMPUTED_VALUE"""),182)</f>
        <v>182</v>
      </c>
      <c r="C154" s="1">
        <f ca="1"/>
        <v>1</v>
      </c>
      <c r="E154" s="1">
        <f t="shared" ca="1" si="0"/>
        <v>1.6407348840178269E-3</v>
      </c>
      <c r="F154" s="1">
        <f t="shared" ca="1" si="1"/>
        <v>1.0369444466992666</v>
      </c>
    </row>
    <row r="155" spans="2:6" x14ac:dyDescent="0.2">
      <c r="B155" s="1">
        <f ca="1">IFERROR(__xludf.DUMMYFUNCTION("""COMPUTED_VALUE"""),186)</f>
        <v>186</v>
      </c>
      <c r="C155" s="1">
        <f ca="1"/>
        <v>1</v>
      </c>
      <c r="E155" s="1">
        <f t="shared" ca="1" si="0"/>
        <v>1.636312380142024E-3</v>
      </c>
      <c r="F155" s="1">
        <f t="shared" ca="1" si="1"/>
        <v>1.0341494242497591</v>
      </c>
    </row>
    <row r="156" spans="2:6" x14ac:dyDescent="0.2">
      <c r="B156" s="1">
        <f ca="1">IFERROR(__xludf.DUMMYFUNCTION("""COMPUTED_VALUE"""),187)</f>
        <v>187</v>
      </c>
      <c r="C156" s="1">
        <f ca="1"/>
        <v>2</v>
      </c>
      <c r="E156" s="1">
        <f t="shared" ca="1" si="0"/>
        <v>1.6351378176294726E-3</v>
      </c>
      <c r="F156" s="1">
        <f t="shared" ca="1" si="1"/>
        <v>1.0334071007418266</v>
      </c>
    </row>
    <row r="157" spans="2:6" x14ac:dyDescent="0.2">
      <c r="B157" s="1">
        <f ca="1">IFERROR(__xludf.DUMMYFUNCTION("""COMPUTED_VALUE"""),188)</f>
        <v>188</v>
      </c>
      <c r="C157" s="1">
        <f ca="1"/>
        <v>1</v>
      </c>
      <c r="E157" s="1">
        <f t="shared" ca="1" si="0"/>
        <v>1.6339357992592382E-3</v>
      </c>
      <c r="F157" s="1">
        <f t="shared" ca="1" si="1"/>
        <v>1.0326474251318385</v>
      </c>
    </row>
    <row r="158" spans="2:6" x14ac:dyDescent="0.2">
      <c r="B158" s="1">
        <f ca="1">IFERROR(__xludf.DUMMYFUNCTION("""COMPUTED_VALUE"""),189)</f>
        <v>189</v>
      </c>
      <c r="C158" s="1">
        <f ca="1"/>
        <v>1</v>
      </c>
      <c r="E158" s="1">
        <f t="shared" ca="1" si="0"/>
        <v>1.6327063868353212E-3</v>
      </c>
      <c r="F158" s="1">
        <f t="shared" ca="1" si="1"/>
        <v>1.0318704364799229</v>
      </c>
    </row>
    <row r="159" spans="2:6" x14ac:dyDescent="0.2">
      <c r="B159" s="1">
        <f ca="1">IFERROR(__xludf.DUMMYFUNCTION("""COMPUTED_VALUE"""),192)</f>
        <v>192</v>
      </c>
      <c r="C159" s="1">
        <f ca="1"/>
        <v>2</v>
      </c>
      <c r="E159" s="1">
        <f t="shared" ca="1" si="0"/>
        <v>1.6288544239013542E-3</v>
      </c>
      <c r="F159" s="1">
        <f t="shared" ca="1" si="1"/>
        <v>1.0294359959056558</v>
      </c>
    </row>
    <row r="160" spans="2:6" x14ac:dyDescent="0.2">
      <c r="B160" s="1">
        <f ca="1">IFERROR(__xludf.DUMMYFUNCTION("""COMPUTED_VALUE"""),194)</f>
        <v>194</v>
      </c>
      <c r="C160" s="1">
        <f ca="1"/>
        <v>1</v>
      </c>
      <c r="E160" s="1">
        <f t="shared" ca="1" si="0"/>
        <v>1.6261506731224239E-3</v>
      </c>
      <c r="F160" s="1">
        <f t="shared" ca="1" si="1"/>
        <v>1.027727225413372</v>
      </c>
    </row>
    <row r="161" spans="2:6" x14ac:dyDescent="0.2">
      <c r="B161" s="1">
        <f ca="1">IFERROR(__xludf.DUMMYFUNCTION("""COMPUTED_VALUE"""),196)</f>
        <v>196</v>
      </c>
      <c r="C161" s="1">
        <f ca="1"/>
        <v>3</v>
      </c>
      <c r="E161" s="1">
        <f t="shared" ca="1" si="0"/>
        <v>1.6233389456476587E-3</v>
      </c>
      <c r="F161" s="1">
        <f t="shared" ca="1" si="1"/>
        <v>1.0259502136493204</v>
      </c>
    </row>
    <row r="162" spans="2:6" x14ac:dyDescent="0.2">
      <c r="B162" s="1">
        <f ca="1">IFERROR(__xludf.DUMMYFUNCTION("""COMPUTED_VALUE"""),197)</f>
        <v>197</v>
      </c>
      <c r="C162" s="1">
        <f ca="1"/>
        <v>2</v>
      </c>
      <c r="E162" s="1">
        <f t="shared" ca="1" si="0"/>
        <v>1.6218927697928937E-3</v>
      </c>
      <c r="F162" s="1">
        <f t="shared" ca="1" si="1"/>
        <v>1.0250362305091087</v>
      </c>
    </row>
    <row r="163" spans="2:6" x14ac:dyDescent="0.2">
      <c r="B163" s="1">
        <f ca="1">IFERROR(__xludf.DUMMYFUNCTION("""COMPUTED_VALUE"""),198)</f>
        <v>198</v>
      </c>
      <c r="C163" s="1">
        <f ca="1"/>
        <v>2</v>
      </c>
      <c r="E163" s="1">
        <f t="shared" ca="1" si="0"/>
        <v>1.6204198174045946E-3</v>
      </c>
      <c r="F163" s="1">
        <f t="shared" ca="1" si="1"/>
        <v>1.0241053245997038</v>
      </c>
    </row>
    <row r="164" spans="2:6" x14ac:dyDescent="0.2">
      <c r="B164" s="1">
        <f ca="1">IFERROR(__xludf.DUMMYFUNCTION("""COMPUTED_VALUE"""),200)</f>
        <v>200</v>
      </c>
      <c r="C164" s="1">
        <f ca="1"/>
        <v>1</v>
      </c>
      <c r="E164" s="1">
        <f t="shared" ca="1" si="0"/>
        <v>1.6173938856058169E-3</v>
      </c>
      <c r="F164" s="1">
        <f t="shared" ca="1" si="1"/>
        <v>1.0221929357028763</v>
      </c>
    </row>
    <row r="165" spans="2:6" x14ac:dyDescent="0.2">
      <c r="B165" s="1">
        <f ca="1">IFERROR(__xludf.DUMMYFUNCTION("""COMPUTED_VALUE"""),203)</f>
        <v>203</v>
      </c>
      <c r="C165" s="1">
        <f ca="1"/>
        <v>2</v>
      </c>
      <c r="E165" s="1">
        <f t="shared" ca="1" si="0"/>
        <v>1.6126560894716441E-3</v>
      </c>
      <c r="F165" s="1">
        <f t="shared" ca="1" si="1"/>
        <v>1.0191986485460791</v>
      </c>
    </row>
    <row r="166" spans="2:6" x14ac:dyDescent="0.2">
      <c r="B166" s="1">
        <f ca="1">IFERROR(__xludf.DUMMYFUNCTION("""COMPUTED_VALUE"""),204)</f>
        <v>204</v>
      </c>
      <c r="C166" s="1">
        <f ca="1"/>
        <v>2</v>
      </c>
      <c r="E166" s="1">
        <f t="shared" ca="1" si="0"/>
        <v>1.6110241053881114E-3</v>
      </c>
      <c r="F166" s="1">
        <f t="shared" ca="1" si="1"/>
        <v>1.0181672346052864</v>
      </c>
    </row>
    <row r="167" spans="2:6" x14ac:dyDescent="0.2">
      <c r="B167" s="1">
        <f ca="1">IFERROR(__xludf.DUMMYFUNCTION("""COMPUTED_VALUE"""),207)</f>
        <v>207</v>
      </c>
      <c r="C167" s="1">
        <f ca="1"/>
        <v>3</v>
      </c>
      <c r="E167" s="1">
        <f t="shared" ca="1" si="0"/>
        <v>1.6059711606661929E-3</v>
      </c>
      <c r="F167" s="1">
        <f t="shared" ca="1" si="1"/>
        <v>1.014973773541034</v>
      </c>
    </row>
    <row r="168" spans="2:6" x14ac:dyDescent="0.2">
      <c r="B168" s="1">
        <f ca="1">IFERROR(__xludf.DUMMYFUNCTION("""COMPUTED_VALUE"""),208)</f>
        <v>208</v>
      </c>
      <c r="C168" s="1">
        <f ca="1"/>
        <v>1</v>
      </c>
      <c r="E168" s="1">
        <f t="shared" ca="1" si="0"/>
        <v>1.6042348004867359E-3</v>
      </c>
      <c r="F168" s="1">
        <f t="shared" ca="1" si="1"/>
        <v>1.013876393907617</v>
      </c>
    </row>
    <row r="169" spans="2:6" x14ac:dyDescent="0.2">
      <c r="B169" s="1">
        <f ca="1">IFERROR(__xludf.DUMMYFUNCTION("""COMPUTED_VALUE"""),209)</f>
        <v>209</v>
      </c>
      <c r="C169" s="1">
        <f ca="1"/>
        <v>1</v>
      </c>
      <c r="E169" s="1">
        <f t="shared" ca="1" si="0"/>
        <v>1.6024725635994713E-3</v>
      </c>
      <c r="F169" s="1">
        <f t="shared" ca="1" si="1"/>
        <v>1.0127626601948658</v>
      </c>
    </row>
    <row r="170" spans="2:6" x14ac:dyDescent="0.2">
      <c r="B170" s="1">
        <f ca="1">IFERROR(__xludf.DUMMYFUNCTION("""COMPUTED_VALUE"""),212)</f>
        <v>212</v>
      </c>
      <c r="C170" s="1">
        <f ca="1"/>
        <v>1</v>
      </c>
      <c r="E170" s="1">
        <f t="shared" ca="1" si="0"/>
        <v>1.5970314932126507E-3</v>
      </c>
      <c r="F170" s="1">
        <f t="shared" ca="1" si="1"/>
        <v>1.0093239037103952</v>
      </c>
    </row>
    <row r="171" spans="2:6" x14ac:dyDescent="0.2">
      <c r="B171" s="1">
        <f ca="1">IFERROR(__xludf.DUMMYFUNCTION("""COMPUTED_VALUE"""),213)</f>
        <v>213</v>
      </c>
      <c r="C171" s="1">
        <f ca="1"/>
        <v>2</v>
      </c>
      <c r="E171" s="1">
        <f t="shared" ca="1" si="0"/>
        <v>1.5951666561856682E-3</v>
      </c>
      <c r="F171" s="1">
        <f t="shared" ca="1" si="1"/>
        <v>1.0081453267093423</v>
      </c>
    </row>
    <row r="172" spans="2:6" x14ac:dyDescent="0.2">
      <c r="B172" s="1">
        <f ca="1">IFERROR(__xludf.DUMMYFUNCTION("""COMPUTED_VALUE"""),214)</f>
        <v>214</v>
      </c>
      <c r="C172" s="1">
        <f ca="1"/>
        <v>1</v>
      </c>
      <c r="E172" s="1">
        <f t="shared" ca="1" si="0"/>
        <v>1.5932764019391697E-3</v>
      </c>
      <c r="F172" s="1">
        <f t="shared" ca="1" si="1"/>
        <v>1.0069506860255553</v>
      </c>
    </row>
    <row r="173" spans="2:6" x14ac:dyDescent="0.2">
      <c r="B173" s="1">
        <f ca="1">IFERROR(__xludf.DUMMYFUNCTION("""COMPUTED_VALUE"""),215)</f>
        <v>215</v>
      </c>
      <c r="C173" s="1">
        <f ca="1"/>
        <v>2</v>
      </c>
      <c r="E173" s="1">
        <f t="shared" ca="1" si="0"/>
        <v>1.5913608260289059E-3</v>
      </c>
      <c r="F173" s="1">
        <f t="shared" ca="1" si="1"/>
        <v>1.0057400420502685</v>
      </c>
    </row>
    <row r="174" spans="2:6" x14ac:dyDescent="0.2">
      <c r="B174" s="1">
        <f ca="1">IFERROR(__xludf.DUMMYFUNCTION("""COMPUTED_VALUE"""),216)</f>
        <v>216</v>
      </c>
      <c r="C174" s="1">
        <f ca="1"/>
        <v>1</v>
      </c>
      <c r="E174" s="1">
        <f t="shared" ca="1" si="0"/>
        <v>1.5894200252114343E-3</v>
      </c>
      <c r="F174" s="1">
        <f t="shared" ca="1" si="1"/>
        <v>1.0045134559336264</v>
      </c>
    </row>
    <row r="175" spans="2:6" x14ac:dyDescent="0.2">
      <c r="B175" s="1">
        <f ca="1">IFERROR(__xludf.DUMMYFUNCTION("""COMPUTED_VALUE"""),217)</f>
        <v>217</v>
      </c>
      <c r="C175" s="1">
        <f ca="1"/>
        <v>1</v>
      </c>
      <c r="E175" s="1">
        <f t="shared" ca="1" si="0"/>
        <v>1.5874540974359793E-3</v>
      </c>
      <c r="F175" s="1">
        <f t="shared" ca="1" si="1"/>
        <v>1.0032709895795389</v>
      </c>
    </row>
    <row r="176" spans="2:6" x14ac:dyDescent="0.2">
      <c r="B176" s="1">
        <f ca="1">IFERROR(__xludf.DUMMYFUNCTION("""COMPUTED_VALUE"""),218)</f>
        <v>218</v>
      </c>
      <c r="C176" s="1">
        <f ca="1"/>
        <v>1</v>
      </c>
      <c r="E176" s="1">
        <f t="shared" ca="1" si="0"/>
        <v>1.585463141836193E-3</v>
      </c>
      <c r="F176" s="1">
        <f t="shared" ca="1" si="1"/>
        <v>1.002012705640474</v>
      </c>
    </row>
    <row r="177" spans="2:6" x14ac:dyDescent="0.2">
      <c r="B177" s="1">
        <f ca="1">IFERROR(__xludf.DUMMYFUNCTION("""COMPUTED_VALUE"""),221)</f>
        <v>221</v>
      </c>
      <c r="C177" s="1">
        <f ca="1"/>
        <v>2</v>
      </c>
      <c r="E177" s="1">
        <f t="shared" ca="1" si="0"/>
        <v>1.5793411170182867E-3</v>
      </c>
      <c r="F177" s="1">
        <f t="shared" ca="1" si="1"/>
        <v>0.99814358595555719</v>
      </c>
    </row>
    <row r="178" spans="2:6" x14ac:dyDescent="0.2">
      <c r="B178" s="1">
        <f ca="1">IFERROR(__xludf.DUMMYFUNCTION("""COMPUTED_VALUE"""),222)</f>
        <v>222</v>
      </c>
      <c r="C178" s="1">
        <f ca="1"/>
        <v>1</v>
      </c>
      <c r="E178" s="1">
        <f t="shared" ca="1" si="0"/>
        <v>1.5772510648528904E-3</v>
      </c>
      <c r="F178" s="1">
        <f t="shared" ca="1" si="1"/>
        <v>0.99682267298702676</v>
      </c>
    </row>
    <row r="179" spans="2:6" x14ac:dyDescent="0.2">
      <c r="B179" s="1">
        <f ca="1">IFERROR(__xludf.DUMMYFUNCTION("""COMPUTED_VALUE"""),223)</f>
        <v>223</v>
      </c>
      <c r="C179" s="1">
        <f ca="1"/>
        <v>1</v>
      </c>
      <c r="E179" s="1">
        <f t="shared" ca="1" si="0"/>
        <v>1.5751364980031986E-3</v>
      </c>
      <c r="F179" s="1">
        <f t="shared" ca="1" si="1"/>
        <v>0.99548626673802154</v>
      </c>
    </row>
    <row r="180" spans="2:6" x14ac:dyDescent="0.2">
      <c r="B180" s="1">
        <f ca="1">IFERROR(__xludf.DUMMYFUNCTION("""COMPUTED_VALUE"""),224)</f>
        <v>224</v>
      </c>
      <c r="C180" s="1">
        <f ca="1"/>
        <v>1</v>
      </c>
      <c r="E180" s="1">
        <f t="shared" ca="1" si="0"/>
        <v>1.5729975225313804E-3</v>
      </c>
      <c r="F180" s="1">
        <f t="shared" ca="1" si="1"/>
        <v>0.99413443423983239</v>
      </c>
    </row>
    <row r="181" spans="2:6" x14ac:dyDescent="0.2">
      <c r="B181" s="1">
        <f ca="1">IFERROR(__xludf.DUMMYFUNCTION("""COMPUTED_VALUE"""),226)</f>
        <v>226</v>
      </c>
      <c r="C181" s="1">
        <f ca="1"/>
        <v>1</v>
      </c>
      <c r="E181" s="1">
        <f t="shared" ca="1" si="0"/>
        <v>1.5686467755823251E-3</v>
      </c>
      <c r="F181" s="1">
        <f t="shared" ca="1" si="1"/>
        <v>0.9913847621680294</v>
      </c>
    </row>
    <row r="182" spans="2:6" x14ac:dyDescent="0.2">
      <c r="B182" s="1">
        <f ca="1">IFERROR(__xludf.DUMMYFUNCTION("""COMPUTED_VALUE"""),228)</f>
        <v>228</v>
      </c>
      <c r="C182" s="1">
        <f ca="1"/>
        <v>1</v>
      </c>
      <c r="E182" s="1">
        <f t="shared" ca="1" si="0"/>
        <v>1.564199694826364E-3</v>
      </c>
      <c r="F182" s="1">
        <f t="shared" ca="1" si="1"/>
        <v>0.98857420713026212</v>
      </c>
    </row>
    <row r="183" spans="2:6" x14ac:dyDescent="0.2">
      <c r="B183" s="1">
        <f ca="1">IFERROR(__xludf.DUMMYFUNCTION("""COMPUTED_VALUE"""),229)</f>
        <v>229</v>
      </c>
      <c r="C183" s="1">
        <f ca="1"/>
        <v>1</v>
      </c>
      <c r="E183" s="1">
        <f t="shared" ca="1" si="0"/>
        <v>1.5619403062101553E-3</v>
      </c>
      <c r="F183" s="1">
        <f t="shared" ca="1" si="1"/>
        <v>0.9871462735248181</v>
      </c>
    </row>
    <row r="184" spans="2:6" x14ac:dyDescent="0.2">
      <c r="B184" s="1">
        <f ca="1">IFERROR(__xludf.DUMMYFUNCTION("""COMPUTED_VALUE"""),230)</f>
        <v>230</v>
      </c>
      <c r="C184" s="1">
        <f ca="1"/>
        <v>1</v>
      </c>
      <c r="E184" s="1">
        <f t="shared" ca="1" si="0"/>
        <v>1.5596571686379271E-3</v>
      </c>
      <c r="F184" s="1">
        <f t="shared" ca="1" si="1"/>
        <v>0.98570333057916992</v>
      </c>
    </row>
    <row r="185" spans="2:6" x14ac:dyDescent="0.2">
      <c r="B185" s="1">
        <f ca="1">IFERROR(__xludf.DUMMYFUNCTION("""COMPUTED_VALUE"""),233)</f>
        <v>233</v>
      </c>
      <c r="C185" s="1">
        <f ca="1"/>
        <v>1</v>
      </c>
      <c r="E185" s="1">
        <f t="shared" ca="1" si="0"/>
        <v>1.5526664048859215E-3</v>
      </c>
      <c r="F185" s="1">
        <f t="shared" ca="1" si="1"/>
        <v>0.98128516788790243</v>
      </c>
    </row>
    <row r="186" spans="2:6" x14ac:dyDescent="0.2">
      <c r="B186" s="1">
        <f ca="1">IFERROR(__xludf.DUMMYFUNCTION("""COMPUTED_VALUE"""),234)</f>
        <v>234</v>
      </c>
      <c r="C186" s="1">
        <f ca="1"/>
        <v>3</v>
      </c>
      <c r="E186" s="1">
        <f t="shared" ca="1" si="0"/>
        <v>1.550289419451693E-3</v>
      </c>
      <c r="F186" s="1">
        <f t="shared" ca="1" si="1"/>
        <v>0.97978291309346999</v>
      </c>
    </row>
    <row r="187" spans="2:6" x14ac:dyDescent="0.2">
      <c r="B187" s="1">
        <f ca="1">IFERROR(__xludf.DUMMYFUNCTION("""COMPUTED_VALUE"""),235)</f>
        <v>235</v>
      </c>
      <c r="C187" s="1">
        <f ca="1"/>
        <v>1</v>
      </c>
      <c r="E187" s="1">
        <f t="shared" ca="1" si="0"/>
        <v>1.5478892642701962E-3</v>
      </c>
      <c r="F187" s="1">
        <f t="shared" ca="1" si="1"/>
        <v>0.97826601501876398</v>
      </c>
    </row>
    <row r="188" spans="2:6" x14ac:dyDescent="0.2">
      <c r="B188" s="1">
        <f ca="1">IFERROR(__xludf.DUMMYFUNCTION("""COMPUTED_VALUE"""),237)</f>
        <v>237</v>
      </c>
      <c r="C188" s="1">
        <f ca="1"/>
        <v>1</v>
      </c>
      <c r="E188" s="1">
        <f t="shared" ca="1" si="0"/>
        <v>1.5430199214553396E-3</v>
      </c>
      <c r="F188" s="1">
        <f t="shared" ca="1" si="1"/>
        <v>0.97518859035977468</v>
      </c>
    </row>
    <row r="189" spans="2:6" x14ac:dyDescent="0.2">
      <c r="B189" s="1">
        <f ca="1">IFERROR(__xludf.DUMMYFUNCTION("""COMPUTED_VALUE"""),238)</f>
        <v>238</v>
      </c>
      <c r="C189" s="1">
        <f ca="1"/>
        <v>1</v>
      </c>
      <c r="E189" s="1">
        <f t="shared" ca="1" si="0"/>
        <v>1.5405509747359483E-3</v>
      </c>
      <c r="F189" s="1">
        <f t="shared" ca="1" si="1"/>
        <v>0.97362821603311933</v>
      </c>
    </row>
    <row r="190" spans="2:6" x14ac:dyDescent="0.2">
      <c r="B190" s="1">
        <f ca="1">IFERROR(__xludf.DUMMYFUNCTION("""COMPUTED_VALUE"""),239)</f>
        <v>239</v>
      </c>
      <c r="C190" s="1">
        <f ca="1"/>
        <v>2</v>
      </c>
      <c r="E190" s="1">
        <f t="shared" ca="1" si="0"/>
        <v>1.5380593400773784E-3</v>
      </c>
      <c r="F190" s="1">
        <f t="shared" ca="1" si="1"/>
        <v>0.97205350292890313</v>
      </c>
    </row>
    <row r="191" spans="2:6" x14ac:dyDescent="0.2">
      <c r="B191" s="1">
        <f ca="1">IFERROR(__xludf.DUMMYFUNCTION("""COMPUTED_VALUE"""),242)</f>
        <v>242</v>
      </c>
      <c r="C191" s="1">
        <f ca="1"/>
        <v>1</v>
      </c>
      <c r="E191" s="1">
        <f t="shared" ca="1" si="0"/>
        <v>1.5304495426263999E-3</v>
      </c>
      <c r="F191" s="1">
        <f t="shared" ca="1" si="1"/>
        <v>0.96724411093988472</v>
      </c>
    </row>
    <row r="192" spans="2:6" x14ac:dyDescent="0.2">
      <c r="B192" s="1">
        <f ca="1">IFERROR(__xludf.DUMMYFUNCTION("""COMPUTED_VALUE"""),243)</f>
        <v>243</v>
      </c>
      <c r="C192" s="1">
        <f ca="1"/>
        <v>1</v>
      </c>
      <c r="E192" s="1">
        <f t="shared" ca="1" si="0"/>
        <v>1.5278683951881044E-3</v>
      </c>
      <c r="F192" s="1">
        <f t="shared" ca="1" si="1"/>
        <v>0.96561282575888197</v>
      </c>
    </row>
    <row r="193" spans="2:6" x14ac:dyDescent="0.2">
      <c r="B193" s="1">
        <f ca="1">IFERROR(__xludf.DUMMYFUNCTION("""COMPUTED_VALUE"""),244)</f>
        <v>244</v>
      </c>
      <c r="C193" s="1">
        <f ca="1"/>
        <v>1</v>
      </c>
      <c r="E193" s="1">
        <f t="shared" ca="1" si="0"/>
        <v>1.5252651840805033E-3</v>
      </c>
      <c r="F193" s="1">
        <f t="shared" ca="1" si="1"/>
        <v>0.96396759633887807</v>
      </c>
    </row>
    <row r="194" spans="2:6" x14ac:dyDescent="0.2">
      <c r="B194" s="1">
        <f ca="1">IFERROR(__xludf.DUMMYFUNCTION("""COMPUTED_VALUE"""),245)</f>
        <v>245</v>
      </c>
      <c r="C194" s="1">
        <f ca="1"/>
        <v>1</v>
      </c>
      <c r="E194" s="1">
        <f t="shared" ca="1" si="0"/>
        <v>1.5226400369904095E-3</v>
      </c>
      <c r="F194" s="1">
        <f t="shared" ca="1" si="1"/>
        <v>0.96230850337793883</v>
      </c>
    </row>
    <row r="195" spans="2:6" x14ac:dyDescent="0.2">
      <c r="B195" s="1">
        <f ca="1">IFERROR(__xludf.DUMMYFUNCTION("""COMPUTED_VALUE"""),249)</f>
        <v>249</v>
      </c>
      <c r="C195" s="1">
        <f ca="1"/>
        <v>1</v>
      </c>
      <c r="E195" s="1">
        <f t="shared" ca="1" si="0"/>
        <v>1.5119226745244311E-3</v>
      </c>
      <c r="F195" s="1">
        <f t="shared" ca="1" si="1"/>
        <v>0.95553513029944048</v>
      </c>
    </row>
    <row r="196" spans="2:6" x14ac:dyDescent="0.2">
      <c r="B196" s="1">
        <f ca="1">IFERROR(__xludf.DUMMYFUNCTION("""COMPUTED_VALUE"""),252)</f>
        <v>252</v>
      </c>
      <c r="C196" s="1">
        <f ca="1"/>
        <v>1</v>
      </c>
      <c r="E196" s="1">
        <f t="shared" ca="1" si="0"/>
        <v>1.5036607161094994E-3</v>
      </c>
      <c r="F196" s="1">
        <f t="shared" ca="1" si="1"/>
        <v>0.95031357258120364</v>
      </c>
    </row>
    <row r="197" spans="2:6" x14ac:dyDescent="0.2">
      <c r="B197" s="1">
        <f ca="1">IFERROR(__xludf.DUMMYFUNCTION("""COMPUTED_VALUE"""),255)</f>
        <v>255</v>
      </c>
      <c r="C197" s="1">
        <f ca="1"/>
        <v>1</v>
      </c>
      <c r="E197" s="1">
        <f t="shared" ca="1" si="0"/>
        <v>1.4952108224301698E-3</v>
      </c>
      <c r="F197" s="1">
        <f t="shared" ca="1" si="1"/>
        <v>0.94497323977586734</v>
      </c>
    </row>
    <row r="198" spans="2:6" x14ac:dyDescent="0.2">
      <c r="B198" s="1">
        <f ca="1">IFERROR(__xludf.DUMMYFUNCTION("""COMPUTED_VALUE"""),258)</f>
        <v>258</v>
      </c>
      <c r="C198" s="1">
        <f ca="1"/>
        <v>2</v>
      </c>
      <c r="E198" s="1">
        <f t="shared" ca="1" si="0"/>
        <v>1.4865766762332199E-3</v>
      </c>
      <c r="F198" s="1">
        <f t="shared" ca="1" si="1"/>
        <v>0.93951645937939499</v>
      </c>
    </row>
    <row r="199" spans="2:6" x14ac:dyDescent="0.2">
      <c r="B199" s="1">
        <f ca="1">IFERROR(__xludf.DUMMYFUNCTION("""COMPUTED_VALUE"""),259)</f>
        <v>259</v>
      </c>
      <c r="C199" s="1">
        <f ca="1"/>
        <v>1</v>
      </c>
      <c r="E199" s="1">
        <f t="shared" ca="1" si="0"/>
        <v>1.483658328424544E-3</v>
      </c>
      <c r="F199" s="1">
        <f t="shared" ca="1" si="1"/>
        <v>0.93767206356431176</v>
      </c>
    </row>
    <row r="200" spans="2:6" x14ac:dyDescent="0.2">
      <c r="B200" s="1">
        <f ca="1">IFERROR(__xludf.DUMMYFUNCTION("""COMPUTED_VALUE"""),261)</f>
        <v>261</v>
      </c>
      <c r="C200" s="1">
        <f ca="1"/>
        <v>1</v>
      </c>
      <c r="E200" s="1">
        <f t="shared" ca="1" si="0"/>
        <v>1.4777620251926794E-3</v>
      </c>
      <c r="F200" s="1">
        <f t="shared" ca="1" si="1"/>
        <v>0.9339455999217734</v>
      </c>
    </row>
    <row r="201" spans="2:6" x14ac:dyDescent="0.2">
      <c r="B201" s="1">
        <f ca="1">IFERROR(__xludf.DUMMYFUNCTION("""COMPUTED_VALUE"""),262)</f>
        <v>262</v>
      </c>
      <c r="C201" s="1">
        <f ca="1"/>
        <v>1</v>
      </c>
      <c r="E201" s="1">
        <f t="shared" ca="1" si="0"/>
        <v>1.4747843527523478E-3</v>
      </c>
      <c r="F201" s="1">
        <f t="shared" ca="1" si="1"/>
        <v>0.93206371093948381</v>
      </c>
    </row>
    <row r="202" spans="2:6" x14ac:dyDescent="0.2">
      <c r="B202" s="1">
        <f ca="1">IFERROR(__xludf.DUMMYFUNCTION("""COMPUTED_VALUE"""),268)</f>
        <v>268</v>
      </c>
      <c r="C202" s="1">
        <f ca="1"/>
        <v>2</v>
      </c>
      <c r="E202" s="1">
        <f t="shared" ca="1" si="0"/>
        <v>1.4565140551268537E-3</v>
      </c>
      <c r="F202" s="1">
        <f t="shared" ca="1" si="1"/>
        <v>0.92051688284017152</v>
      </c>
    </row>
    <row r="203" spans="2:6" x14ac:dyDescent="0.2">
      <c r="B203" s="1">
        <f ca="1">IFERROR(__xludf.DUMMYFUNCTION("""COMPUTED_VALUE"""),269)</f>
        <v>269</v>
      </c>
      <c r="C203" s="1">
        <f ca="1"/>
        <v>2</v>
      </c>
      <c r="E203" s="1">
        <f t="shared" ca="1" si="0"/>
        <v>1.4534029823151517E-3</v>
      </c>
      <c r="F203" s="1">
        <f t="shared" ca="1" si="1"/>
        <v>0.91855068482317581</v>
      </c>
    </row>
    <row r="204" spans="2:6" x14ac:dyDescent="0.2">
      <c r="B204" s="1">
        <f ca="1">IFERROR(__xludf.DUMMYFUNCTION("""COMPUTED_VALUE"""),272)</f>
        <v>272</v>
      </c>
      <c r="C204" s="1">
        <f ca="1"/>
        <v>1</v>
      </c>
      <c r="E204" s="1">
        <f t="shared" ca="1" si="0"/>
        <v>1.4439595195704965E-3</v>
      </c>
      <c r="F204" s="1">
        <f t="shared" ca="1" si="1"/>
        <v>0.91258241636855375</v>
      </c>
    </row>
    <row r="205" spans="2:6" x14ac:dyDescent="0.2">
      <c r="B205" s="1">
        <f ca="1">IFERROR(__xludf.DUMMYFUNCTION("""COMPUTED_VALUE"""),276)</f>
        <v>276</v>
      </c>
      <c r="C205" s="1">
        <f ca="1"/>
        <v>1</v>
      </c>
      <c r="E205" s="1">
        <f t="shared" ca="1" si="0"/>
        <v>1.4311165674296569E-3</v>
      </c>
      <c r="F205" s="1">
        <f t="shared" ca="1" si="1"/>
        <v>0.90446567061554317</v>
      </c>
    </row>
    <row r="206" spans="2:6" x14ac:dyDescent="0.2">
      <c r="B206" s="1">
        <f ca="1">IFERROR(__xludf.DUMMYFUNCTION("""COMPUTED_VALUE"""),279)</f>
        <v>279</v>
      </c>
      <c r="C206" s="1">
        <f ca="1"/>
        <v>1</v>
      </c>
      <c r="E206" s="1">
        <f t="shared" ca="1" si="0"/>
        <v>1.4213008797694638E-3</v>
      </c>
      <c r="F206" s="1">
        <f t="shared" ca="1" si="1"/>
        <v>0.89826215601430115</v>
      </c>
    </row>
    <row r="207" spans="2:6" x14ac:dyDescent="0.2">
      <c r="B207" s="1">
        <f ca="1">IFERROR(__xludf.DUMMYFUNCTION("""COMPUTED_VALUE"""),282)</f>
        <v>282</v>
      </c>
      <c r="C207" s="1">
        <f ca="1"/>
        <v>1</v>
      </c>
      <c r="E207" s="1">
        <f t="shared" ca="1" si="0"/>
        <v>1.4113325080148472E-3</v>
      </c>
      <c r="F207" s="1">
        <f t="shared" ca="1" si="1"/>
        <v>0.8919621450653834</v>
      </c>
    </row>
    <row r="208" spans="2:6" x14ac:dyDescent="0.2">
      <c r="B208" s="1">
        <f ca="1">IFERROR(__xludf.DUMMYFUNCTION("""COMPUTED_VALUE"""),283)</f>
        <v>283</v>
      </c>
      <c r="C208" s="1">
        <f ca="1"/>
        <v>1</v>
      </c>
      <c r="E208" s="1">
        <f t="shared" ca="1" si="0"/>
        <v>1.4079765067430538E-3</v>
      </c>
      <c r="F208" s="1">
        <f t="shared" ca="1" si="1"/>
        <v>0.88984115226160998</v>
      </c>
    </row>
    <row r="209" spans="2:6" x14ac:dyDescent="0.2">
      <c r="B209" s="1">
        <f ca="1">IFERROR(__xludf.DUMMYFUNCTION("""COMPUTED_VALUE"""),284)</f>
        <v>284</v>
      </c>
      <c r="C209" s="1">
        <f ca="1"/>
        <v>1</v>
      </c>
      <c r="E209" s="1">
        <f t="shared" ca="1" si="0"/>
        <v>1.4046041586326758E-3</v>
      </c>
      <c r="F209" s="1">
        <f t="shared" ca="1" si="1"/>
        <v>0.8877098282558511</v>
      </c>
    </row>
    <row r="210" spans="2:6" x14ac:dyDescent="0.2">
      <c r="B210" s="1">
        <f ca="1">IFERROR(__xludf.DUMMYFUNCTION("""COMPUTED_VALUE"""),291)</f>
        <v>291</v>
      </c>
      <c r="C210" s="1">
        <f ca="1"/>
        <v>1</v>
      </c>
      <c r="E210" s="1">
        <f t="shared" ca="1" si="0"/>
        <v>1.3805531569692645E-3</v>
      </c>
      <c r="F210" s="1">
        <f t="shared" ca="1" si="1"/>
        <v>0.87250959520457516</v>
      </c>
    </row>
    <row r="211" spans="2:6" x14ac:dyDescent="0.2">
      <c r="B211" s="1">
        <f ca="1">IFERROR(__xludf.DUMMYFUNCTION("""COMPUTED_VALUE"""),293)</f>
        <v>293</v>
      </c>
      <c r="C211" s="1">
        <f ca="1"/>
        <v>2</v>
      </c>
      <c r="E211" s="1">
        <f t="shared" ca="1" si="0"/>
        <v>1.3735432774145328E-3</v>
      </c>
      <c r="F211" s="1">
        <f t="shared" ca="1" si="1"/>
        <v>0.86807935132598479</v>
      </c>
    </row>
    <row r="212" spans="2:6" x14ac:dyDescent="0.2">
      <c r="B212" s="1">
        <f ca="1">IFERROR(__xludf.DUMMYFUNCTION("""COMPUTED_VALUE"""),298)</f>
        <v>298</v>
      </c>
      <c r="C212" s="1">
        <f ca="1"/>
        <v>1</v>
      </c>
      <c r="E212" s="1">
        <f t="shared" ca="1" si="0"/>
        <v>1.3557629251325957E-3</v>
      </c>
      <c r="F212" s="1">
        <f t="shared" ca="1" si="1"/>
        <v>0.85684216868380048</v>
      </c>
    </row>
    <row r="213" spans="2:6" x14ac:dyDescent="0.2">
      <c r="B213" s="1">
        <f ca="1">IFERROR(__xludf.DUMMYFUNCTION("""COMPUTED_VALUE"""),302)</f>
        <v>302</v>
      </c>
      <c r="C213" s="1">
        <f ca="1"/>
        <v>1</v>
      </c>
      <c r="E213" s="1">
        <f t="shared" ca="1" si="0"/>
        <v>1.3412862961275297E-3</v>
      </c>
      <c r="F213" s="1">
        <f t="shared" ca="1" si="1"/>
        <v>0.8476929391525988</v>
      </c>
    </row>
    <row r="214" spans="2:6" x14ac:dyDescent="0.2">
      <c r="B214" s="1">
        <f ca="1">IFERROR(__xludf.DUMMYFUNCTION("""COMPUTED_VALUE"""),307)</f>
        <v>307</v>
      </c>
      <c r="C214" s="1">
        <f ca="1"/>
        <v>1</v>
      </c>
      <c r="E214" s="1">
        <f t="shared" ca="1" si="0"/>
        <v>1.3228920805757102E-3</v>
      </c>
      <c r="F214" s="1">
        <f t="shared" ca="1" si="1"/>
        <v>0.83606779492384886</v>
      </c>
    </row>
    <row r="215" spans="2:6" x14ac:dyDescent="0.2">
      <c r="B215" s="1">
        <f ca="1">IFERROR(__xludf.DUMMYFUNCTION("""COMPUTED_VALUE"""),316)</f>
        <v>316</v>
      </c>
      <c r="C215" s="1">
        <f ca="1"/>
        <v>1</v>
      </c>
      <c r="E215" s="1">
        <f t="shared" ca="1" si="0"/>
        <v>1.2890086202760067E-3</v>
      </c>
      <c r="F215" s="1">
        <f t="shared" ca="1" si="1"/>
        <v>0.81465344801443618</v>
      </c>
    </row>
    <row r="216" spans="2:6" x14ac:dyDescent="0.2">
      <c r="B216" s="1">
        <f ca="1">IFERROR(__xludf.DUMMYFUNCTION("""COMPUTED_VALUE"""),323)</f>
        <v>323</v>
      </c>
      <c r="C216" s="1">
        <f ca="1"/>
        <v>1</v>
      </c>
      <c r="E216" s="1">
        <f t="shared" ca="1" si="0"/>
        <v>1.26203135098903E-3</v>
      </c>
      <c r="F216" s="1">
        <f t="shared" ca="1" si="1"/>
        <v>0.79760381382506695</v>
      </c>
    </row>
    <row r="217" spans="2:6" x14ac:dyDescent="0.2">
      <c r="B217" s="1">
        <f ca="1">IFERROR(__xludf.DUMMYFUNCTION("""COMPUTED_VALUE"""),325)</f>
        <v>325</v>
      </c>
      <c r="C217" s="1">
        <f ca="1"/>
        <v>1</v>
      </c>
      <c r="E217" s="1">
        <f t="shared" ca="1" si="0"/>
        <v>1.2542322653045824E-3</v>
      </c>
      <c r="F217" s="1">
        <f t="shared" ca="1" si="1"/>
        <v>0.7926747916724961</v>
      </c>
    </row>
    <row r="218" spans="2:6" x14ac:dyDescent="0.2">
      <c r="B218" s="1">
        <f ca="1">IFERROR(__xludf.DUMMYFUNCTION("""COMPUTED_VALUE"""),327)</f>
        <v>327</v>
      </c>
      <c r="C218" s="1">
        <f ca="1"/>
        <v>1</v>
      </c>
      <c r="E218" s="1">
        <f t="shared" ca="1" si="0"/>
        <v>1.2463950262537504E-3</v>
      </c>
      <c r="F218" s="1">
        <f t="shared" ca="1" si="1"/>
        <v>0.78772165659237026</v>
      </c>
    </row>
    <row r="219" spans="2:6" x14ac:dyDescent="0.2">
      <c r="B219" s="1">
        <f ca="1">IFERROR(__xludf.DUMMYFUNCTION("""COMPUTED_VALUE"""),331)</f>
        <v>331</v>
      </c>
      <c r="C219" s="1">
        <f ca="1"/>
        <v>1</v>
      </c>
      <c r="E219" s="1">
        <f t="shared" ca="1" si="0"/>
        <v>1.2306113708412275E-3</v>
      </c>
      <c r="F219" s="1">
        <f t="shared" ca="1" si="1"/>
        <v>0.77774638637165572</v>
      </c>
    </row>
    <row r="220" spans="2:6" x14ac:dyDescent="0.2">
      <c r="B220" s="1">
        <f ca="1">IFERROR(__xludf.DUMMYFUNCTION("""COMPUTED_VALUE"""),334)</f>
        <v>334</v>
      </c>
      <c r="C220" s="1">
        <f ca="1"/>
        <v>1</v>
      </c>
      <c r="E220" s="1">
        <f t="shared" ca="1" si="0"/>
        <v>1.2186832947861186E-3</v>
      </c>
      <c r="F220" s="1">
        <f t="shared" ca="1" si="1"/>
        <v>0.77020784230482697</v>
      </c>
    </row>
    <row r="221" spans="2:6" x14ac:dyDescent="0.2">
      <c r="B221" s="1">
        <f ca="1">IFERROR(__xludf.DUMMYFUNCTION("""COMPUTED_VALUE"""),335)</f>
        <v>335</v>
      </c>
      <c r="C221" s="1">
        <f ca="1"/>
        <v>1</v>
      </c>
      <c r="E221" s="1">
        <f t="shared" ca="1" si="0"/>
        <v>1.2146909414848751E-3</v>
      </c>
      <c r="F221" s="1">
        <f t="shared" ca="1" si="1"/>
        <v>0.76768467501844107</v>
      </c>
    </row>
    <row r="222" spans="2:6" x14ac:dyDescent="0.2">
      <c r="B222" s="1">
        <f ca="1">IFERROR(__xludf.DUMMYFUNCTION("""COMPUTED_VALUE"""),342)</f>
        <v>342</v>
      </c>
      <c r="C222" s="1">
        <f ca="1"/>
        <v>1</v>
      </c>
      <c r="E222" s="1">
        <f t="shared" ca="1" si="0"/>
        <v>1.186532745258572E-3</v>
      </c>
      <c r="F222" s="1">
        <f t="shared" ca="1" si="1"/>
        <v>0.74988869500341748</v>
      </c>
    </row>
    <row r="223" spans="2:6" x14ac:dyDescent="0.2">
      <c r="B223" s="1">
        <f ca="1">IFERROR(__xludf.DUMMYFUNCTION("""COMPUTED_VALUE"""),347)</f>
        <v>347</v>
      </c>
      <c r="C223" s="1">
        <f ca="1"/>
        <v>1</v>
      </c>
      <c r="E223" s="1">
        <f t="shared" ca="1" si="0"/>
        <v>1.166214176967982E-3</v>
      </c>
      <c r="F223" s="1">
        <f t="shared" ca="1" si="1"/>
        <v>0.73704735984376457</v>
      </c>
    </row>
    <row r="224" spans="2:6" x14ac:dyDescent="0.2">
      <c r="B224" s="1">
        <f ca="1">IFERROR(__xludf.DUMMYFUNCTION("""COMPUTED_VALUE"""),351)</f>
        <v>351</v>
      </c>
      <c r="C224" s="1">
        <f ca="1"/>
        <v>1</v>
      </c>
      <c r="E224" s="1">
        <f t="shared" ca="1" si="0"/>
        <v>1.1498516074143355E-3</v>
      </c>
      <c r="F224" s="1">
        <f t="shared" ca="1" si="1"/>
        <v>0.72670621588586004</v>
      </c>
    </row>
    <row r="225" spans="2:6" x14ac:dyDescent="0.2">
      <c r="B225" s="1">
        <f ca="1">IFERROR(__xludf.DUMMYFUNCTION("""COMPUTED_VALUE"""),355)</f>
        <v>355</v>
      </c>
      <c r="C225" s="1">
        <f ca="1"/>
        <v>2</v>
      </c>
      <c r="E225" s="1">
        <f t="shared" ca="1" si="0"/>
        <v>1.1334044919043213E-3</v>
      </c>
      <c r="F225" s="1">
        <f t="shared" ca="1" si="1"/>
        <v>0.716311638883531</v>
      </c>
    </row>
    <row r="226" spans="2:6" x14ac:dyDescent="0.2">
      <c r="B226" s="1">
        <f ca="1">IFERROR(__xludf.DUMMYFUNCTION("""COMPUTED_VALUE"""),358)</f>
        <v>358</v>
      </c>
      <c r="C226" s="1">
        <f ca="1"/>
        <v>1</v>
      </c>
      <c r="E226" s="1">
        <f t="shared" ca="1" si="0"/>
        <v>1.1210198460987395E-3</v>
      </c>
      <c r="F226" s="1">
        <f t="shared" ca="1" si="1"/>
        <v>0.70848454273440331</v>
      </c>
    </row>
    <row r="227" spans="2:6" x14ac:dyDescent="0.2">
      <c r="B227" s="1">
        <f ca="1">IFERROR(__xludf.DUMMYFUNCTION("""COMPUTED_VALUE"""),363)</f>
        <v>363</v>
      </c>
      <c r="C227" s="1">
        <f ca="1"/>
        <v>1</v>
      </c>
      <c r="E227" s="1">
        <f t="shared" ca="1" si="0"/>
        <v>1.1002975689446831E-3</v>
      </c>
      <c r="F227" s="1">
        <f t="shared" ca="1" si="1"/>
        <v>0.69538806357303973</v>
      </c>
    </row>
    <row r="228" spans="2:6" x14ac:dyDescent="0.2">
      <c r="B228" s="1">
        <f ca="1">IFERROR(__xludf.DUMMYFUNCTION("""COMPUTED_VALUE"""),365)</f>
        <v>365</v>
      </c>
      <c r="C228" s="1">
        <f ca="1"/>
        <v>1</v>
      </c>
      <c r="E228" s="1">
        <f t="shared" ca="1" si="0"/>
        <v>1.0919839178183946E-3</v>
      </c>
      <c r="F228" s="1">
        <f t="shared" ca="1" si="1"/>
        <v>0.69013383606122536</v>
      </c>
    </row>
    <row r="229" spans="2:6" x14ac:dyDescent="0.2">
      <c r="B229" s="1">
        <f ca="1">IFERROR(__xludf.DUMMYFUNCTION("""COMPUTED_VALUE"""),371)</f>
        <v>371</v>
      </c>
      <c r="C229" s="1">
        <f ca="1"/>
        <v>2</v>
      </c>
      <c r="E229" s="1">
        <f t="shared" ca="1" si="0"/>
        <v>1.0669743724833834E-3</v>
      </c>
      <c r="F229" s="1">
        <f t="shared" ca="1" si="1"/>
        <v>0.67432780340949827</v>
      </c>
    </row>
    <row r="230" spans="2:6" x14ac:dyDescent="0.2">
      <c r="B230" s="1">
        <f ca="1">IFERROR(__xludf.DUMMYFUNCTION("""COMPUTED_VALUE"""),373)</f>
        <v>373</v>
      </c>
      <c r="C230" s="1">
        <f ca="1"/>
        <v>1</v>
      </c>
      <c r="E230" s="1">
        <f t="shared" ca="1" si="0"/>
        <v>1.0586191110772884E-3</v>
      </c>
      <c r="F230" s="1">
        <f t="shared" ca="1" si="1"/>
        <v>0.66904727820084631</v>
      </c>
    </row>
    <row r="231" spans="2:6" x14ac:dyDescent="0.2">
      <c r="B231" s="1">
        <f ca="1">IFERROR(__xludf.DUMMYFUNCTION("""COMPUTED_VALUE"""),379)</f>
        <v>379</v>
      </c>
      <c r="C231" s="1">
        <f ca="1"/>
        <v>1</v>
      </c>
      <c r="E231" s="1">
        <f t="shared" ca="1" si="0"/>
        <v>1.0335141670124377E-3</v>
      </c>
      <c r="F231" s="1">
        <f t="shared" ca="1" si="1"/>
        <v>0.65318095355186057</v>
      </c>
    </row>
    <row r="232" spans="2:6" x14ac:dyDescent="0.2">
      <c r="B232" s="1">
        <f ca="1">IFERROR(__xludf.DUMMYFUNCTION("""COMPUTED_VALUE"""),380)</f>
        <v>380</v>
      </c>
      <c r="C232" s="1">
        <f ca="1"/>
        <v>1</v>
      </c>
      <c r="E232" s="1">
        <f t="shared" ca="1" si="0"/>
        <v>1.0293258799424548E-3</v>
      </c>
      <c r="F232" s="1">
        <f t="shared" ca="1" si="1"/>
        <v>0.65053395612363141</v>
      </c>
    </row>
    <row r="233" spans="2:6" x14ac:dyDescent="0.2">
      <c r="B233" s="1">
        <f ca="1">IFERROR(__xludf.DUMMYFUNCTION("""COMPUTED_VALUE"""),382)</f>
        <v>382</v>
      </c>
      <c r="C233" s="1">
        <f ca="1"/>
        <v>1</v>
      </c>
      <c r="E233" s="1">
        <f t="shared" ca="1" si="0"/>
        <v>1.0209471079298045E-3</v>
      </c>
      <c r="F233" s="1">
        <f t="shared" ca="1" si="1"/>
        <v>0.6452385722116365</v>
      </c>
    </row>
    <row r="234" spans="2:6" x14ac:dyDescent="0.2">
      <c r="B234" s="1">
        <f ca="1">IFERROR(__xludf.DUMMYFUNCTION("""COMPUTED_VALUE"""),387)</f>
        <v>387</v>
      </c>
      <c r="C234" s="1">
        <f ca="1"/>
        <v>1</v>
      </c>
      <c r="E234" s="1">
        <f t="shared" ca="1" si="0"/>
        <v>9.9999422278059143E-4</v>
      </c>
      <c r="F234" s="1">
        <f t="shared" ca="1" si="1"/>
        <v>0.6319963487973338</v>
      </c>
    </row>
    <row r="235" spans="2:6" x14ac:dyDescent="0.2">
      <c r="B235" s="1">
        <f ca="1">IFERROR(__xludf.DUMMYFUNCTION("""COMPUTED_VALUE"""),392)</f>
        <v>392</v>
      </c>
      <c r="C235" s="1">
        <f ca="1"/>
        <v>1</v>
      </c>
      <c r="E235" s="1">
        <f t="shared" ca="1" si="0"/>
        <v>9.7904734975816626E-4</v>
      </c>
      <c r="F235" s="1">
        <f t="shared" ca="1" si="1"/>
        <v>0.61875792504716109</v>
      </c>
    </row>
    <row r="236" spans="2:6" x14ac:dyDescent="0.2">
      <c r="B236" s="1">
        <f ca="1">IFERROR(__xludf.DUMMYFUNCTION("""COMPUTED_VALUE"""),393)</f>
        <v>393</v>
      </c>
      <c r="C236" s="1">
        <f ca="1"/>
        <v>1</v>
      </c>
      <c r="E236" s="1">
        <f t="shared" ca="1" si="0"/>
        <v>9.7486027176305848E-4</v>
      </c>
      <c r="F236" s="1">
        <f t="shared" ca="1" si="1"/>
        <v>0.61611169175425295</v>
      </c>
    </row>
    <row r="237" spans="2:6" x14ac:dyDescent="0.2">
      <c r="B237" s="1">
        <f ca="1">IFERROR(__xludf.DUMMYFUNCTION("""COMPUTED_VALUE"""),396)</f>
        <v>396</v>
      </c>
      <c r="C237" s="1">
        <f ca="1"/>
        <v>1</v>
      </c>
      <c r="E237" s="1">
        <f t="shared" ca="1" si="0"/>
        <v>9.6230616831122716E-4</v>
      </c>
      <c r="F237" s="1">
        <f t="shared" ca="1" si="1"/>
        <v>0.60817749837269552</v>
      </c>
    </row>
    <row r="238" spans="2:6" x14ac:dyDescent="0.2">
      <c r="B238" s="1">
        <f ca="1">IFERROR(__xludf.DUMMYFUNCTION("""COMPUTED_VALUE"""),398)</f>
        <v>398</v>
      </c>
      <c r="C238" s="1">
        <f ca="1"/>
        <v>1</v>
      </c>
      <c r="E238" s="1">
        <f t="shared" ca="1" si="0"/>
        <v>9.5394409956967062E-4</v>
      </c>
      <c r="F238" s="1">
        <f t="shared" ca="1" si="1"/>
        <v>0.60289267092803178</v>
      </c>
    </row>
    <row r="239" spans="2:6" x14ac:dyDescent="0.2">
      <c r="B239" s="1">
        <f ca="1">IFERROR(__xludf.DUMMYFUNCTION("""COMPUTED_VALUE"""),403)</f>
        <v>403</v>
      </c>
      <c r="C239" s="1">
        <f ca="1"/>
        <v>1</v>
      </c>
      <c r="E239" s="1">
        <f t="shared" ca="1" si="0"/>
        <v>9.3307260250641917E-4</v>
      </c>
      <c r="F239" s="1">
        <f t="shared" ca="1" si="1"/>
        <v>0.58970188478405694</v>
      </c>
    </row>
    <row r="240" spans="2:6" x14ac:dyDescent="0.2">
      <c r="B240" s="1">
        <f ca="1">IFERROR(__xludf.DUMMYFUNCTION("""COMPUTED_VALUE"""),412)</f>
        <v>412</v>
      </c>
      <c r="C240" s="1">
        <f ca="1"/>
        <v>1</v>
      </c>
      <c r="E240" s="1">
        <f t="shared" ca="1" si="0"/>
        <v>8.9567012972337136E-4</v>
      </c>
      <c r="F240" s="1">
        <f t="shared" ca="1" si="1"/>
        <v>0.56606352198517074</v>
      </c>
    </row>
    <row r="241" spans="2:6" x14ac:dyDescent="0.2">
      <c r="B241" s="1">
        <f ca="1">IFERROR(__xludf.DUMMYFUNCTION("""COMPUTED_VALUE"""),417)</f>
        <v>417</v>
      </c>
      <c r="C241" s="1">
        <f ca="1"/>
        <v>1</v>
      </c>
      <c r="E241" s="1">
        <f t="shared" ca="1" si="0"/>
        <v>8.7501214927917918E-4</v>
      </c>
      <c r="F241" s="1">
        <f t="shared" ca="1" si="1"/>
        <v>0.5530076783444412</v>
      </c>
    </row>
    <row r="242" spans="2:6" x14ac:dyDescent="0.2">
      <c r="B242" s="1">
        <f ca="1">IFERROR(__xludf.DUMMYFUNCTION("""COMPUTED_VALUE"""),418)</f>
        <v>418</v>
      </c>
      <c r="C242" s="1">
        <f ca="1"/>
        <v>1</v>
      </c>
      <c r="E242" s="1">
        <f t="shared" ca="1" si="0"/>
        <v>8.7089283279852259E-4</v>
      </c>
      <c r="F242" s="1">
        <f t="shared" ca="1" si="1"/>
        <v>0.55040427032866623</v>
      </c>
    </row>
    <row r="243" spans="2:6" x14ac:dyDescent="0.2">
      <c r="B243" s="1">
        <f ca="1">IFERROR(__xludf.DUMMYFUNCTION("""COMPUTED_VALUE"""),423)</f>
        <v>423</v>
      </c>
      <c r="C243" s="1">
        <f ca="1"/>
        <v>1</v>
      </c>
      <c r="E243" s="1">
        <f t="shared" ca="1" si="0"/>
        <v>8.5036437483058328E-4</v>
      </c>
      <c r="F243" s="1">
        <f t="shared" ca="1" si="1"/>
        <v>0.53743028489292866</v>
      </c>
    </row>
    <row r="244" spans="2:6" x14ac:dyDescent="0.2">
      <c r="B244" s="1">
        <f ca="1">IFERROR(__xludf.DUMMYFUNCTION("""COMPUTED_VALUE"""),425)</f>
        <v>425</v>
      </c>
      <c r="C244" s="1">
        <f ca="1"/>
        <v>1</v>
      </c>
      <c r="E244" s="1">
        <f t="shared" ca="1" si="0"/>
        <v>8.4218701690475602E-4</v>
      </c>
      <c r="F244" s="1">
        <f t="shared" ca="1" si="1"/>
        <v>0.53226219468380576</v>
      </c>
    </row>
    <row r="245" spans="2:6" x14ac:dyDescent="0.2">
      <c r="B245" s="1">
        <f ca="1">IFERROR(__xludf.DUMMYFUNCTION("""COMPUTED_VALUE"""),429)</f>
        <v>429</v>
      </c>
      <c r="C245" s="1">
        <f ca="1"/>
        <v>1</v>
      </c>
      <c r="E245" s="1">
        <f t="shared" ca="1" si="0"/>
        <v>8.2589578691961833E-4</v>
      </c>
      <c r="F245" s="1">
        <f t="shared" ca="1" si="1"/>
        <v>0.52196613733319874</v>
      </c>
    </row>
    <row r="246" spans="2:6" x14ac:dyDescent="0.2">
      <c r="B246" s="1">
        <f ca="1">IFERROR(__xludf.DUMMYFUNCTION("""COMPUTED_VALUE"""),434)</f>
        <v>434</v>
      </c>
      <c r="C246" s="1">
        <f ca="1"/>
        <v>1</v>
      </c>
      <c r="E246" s="1">
        <f t="shared" ca="1" si="0"/>
        <v>8.0566017827647424E-4</v>
      </c>
      <c r="F246" s="1">
        <f t="shared" ca="1" si="1"/>
        <v>0.50917723267073167</v>
      </c>
    </row>
    <row r="247" spans="2:6" x14ac:dyDescent="0.2">
      <c r="B247" s="1">
        <f ca="1">IFERROR(__xludf.DUMMYFUNCTION("""COMPUTED_VALUE"""),438)</f>
        <v>438</v>
      </c>
      <c r="C247" s="1">
        <f ca="1"/>
        <v>1</v>
      </c>
      <c r="E247" s="1">
        <f t="shared" ca="1" si="0"/>
        <v>7.8958306569654559E-4</v>
      </c>
      <c r="F247" s="1">
        <f t="shared" ca="1" si="1"/>
        <v>0.49901649752021682</v>
      </c>
    </row>
    <row r="248" spans="2:6" x14ac:dyDescent="0.2">
      <c r="B248" s="1">
        <f ca="1">IFERROR(__xludf.DUMMYFUNCTION("""COMPUTED_VALUE"""),455)</f>
        <v>455</v>
      </c>
      <c r="C248" s="1">
        <f ca="1"/>
        <v>1</v>
      </c>
      <c r="E248" s="1">
        <f t="shared" ca="1" si="0"/>
        <v>7.2252086340636392E-4</v>
      </c>
      <c r="F248" s="1">
        <f t="shared" ca="1" si="1"/>
        <v>0.45663318567282202</v>
      </c>
    </row>
    <row r="249" spans="2:6" x14ac:dyDescent="0.2">
      <c r="B249" s="1">
        <f ca="1">IFERROR(__xludf.DUMMYFUNCTION("""COMPUTED_VALUE"""),466)</f>
        <v>466</v>
      </c>
      <c r="C249" s="1">
        <f ca="1"/>
        <v>1</v>
      </c>
      <c r="E249" s="1">
        <f t="shared" ca="1" si="0"/>
        <v>6.803769517395368E-4</v>
      </c>
      <c r="F249" s="1">
        <f t="shared" ca="1" si="1"/>
        <v>0.42999823349938726</v>
      </c>
    </row>
    <row r="250" spans="2:6" x14ac:dyDescent="0.2">
      <c r="B250" s="1">
        <f ca="1">IFERROR(__xludf.DUMMYFUNCTION("""COMPUTED_VALUE"""),468)</f>
        <v>468</v>
      </c>
      <c r="C250" s="1">
        <f ca="1"/>
        <v>1</v>
      </c>
      <c r="E250" s="1">
        <f t="shared" ca="1" si="0"/>
        <v>6.7283133811961394E-4</v>
      </c>
      <c r="F250" s="1">
        <f t="shared" ca="1" si="1"/>
        <v>0.42522940569159601</v>
      </c>
    </row>
    <row r="251" spans="2:6" x14ac:dyDescent="0.2">
      <c r="B251" s="1">
        <f ca="1">IFERROR(__xludf.DUMMYFUNCTION("""COMPUTED_VALUE"""),469)</f>
        <v>469</v>
      </c>
      <c r="C251" s="1">
        <f ca="1"/>
        <v>1</v>
      </c>
      <c r="E251" s="1">
        <f t="shared" ca="1" si="0"/>
        <v>6.6907258875603139E-4</v>
      </c>
      <c r="F251" s="1">
        <f t="shared" ca="1" si="1"/>
        <v>0.42285387609381186</v>
      </c>
    </row>
    <row r="252" spans="2:6" x14ac:dyDescent="0.2">
      <c r="B252" s="1">
        <f ca="1">IFERROR(__xludf.DUMMYFUNCTION("""COMPUTED_VALUE"""),489)</f>
        <v>489</v>
      </c>
      <c r="C252" s="1">
        <f ca="1"/>
        <v>1</v>
      </c>
      <c r="E252" s="1">
        <f t="shared" ca="1" si="0"/>
        <v>5.95983462511139E-4</v>
      </c>
      <c r="F252" s="1">
        <f t="shared" ca="1" si="1"/>
        <v>0.37666154830703985</v>
      </c>
    </row>
    <row r="253" spans="2:6" x14ac:dyDescent="0.2">
      <c r="B253" s="1">
        <f ca="1">IFERROR(__xludf.DUMMYFUNCTION("""COMPUTED_VALUE"""),507)</f>
        <v>507</v>
      </c>
      <c r="C253" s="1">
        <f ca="1"/>
        <v>1</v>
      </c>
      <c r="E253" s="1">
        <f t="shared" ca="1" si="0"/>
        <v>5.3388369880349703E-4</v>
      </c>
      <c r="F253" s="1">
        <f t="shared" ca="1" si="1"/>
        <v>0.3374144976438101</v>
      </c>
    </row>
    <row r="254" spans="2:6" x14ac:dyDescent="0.2">
      <c r="B254" s="1">
        <f ca="1">IFERROR(__xludf.DUMMYFUNCTION("""COMPUTED_VALUE"""),521)</f>
        <v>521</v>
      </c>
      <c r="C254" s="1">
        <f ca="1"/>
        <v>1</v>
      </c>
      <c r="E254" s="1">
        <f t="shared" ca="1" si="0"/>
        <v>4.8819542575981339E-4</v>
      </c>
      <c r="F254" s="1">
        <f t="shared" ca="1" si="1"/>
        <v>0.30853950908020206</v>
      </c>
    </row>
    <row r="255" spans="2:6" x14ac:dyDescent="0.2">
      <c r="B255" s="1">
        <f ca="1">IFERROR(__xludf.DUMMYFUNCTION("""COMPUTED_VALUE"""),561)</f>
        <v>561</v>
      </c>
      <c r="C255" s="1">
        <f ca="1"/>
        <v>1</v>
      </c>
      <c r="E255" s="1">
        <f t="shared" ca="1" si="0"/>
        <v>3.7107510924555364E-4</v>
      </c>
      <c r="F255" s="1">
        <f t="shared" ca="1" si="1"/>
        <v>0.2345194690431899</v>
      </c>
    </row>
    <row r="256" spans="2:6" x14ac:dyDescent="0.2">
      <c r="B256" s="1">
        <f ca="1">IFERROR(__xludf.DUMMYFUNCTION("""COMPUTED_VALUE"""),565)</f>
        <v>565</v>
      </c>
      <c r="C256" s="1">
        <f ca="1"/>
        <v>1</v>
      </c>
      <c r="E256" s="1">
        <f t="shared" ca="1" si="0"/>
        <v>3.6048460797466199E-4</v>
      </c>
      <c r="F256" s="1">
        <f t="shared" ca="1" si="1"/>
        <v>0.22782627223998639</v>
      </c>
    </row>
    <row r="257" spans="2:6" x14ac:dyDescent="0.2">
      <c r="B257" s="1">
        <f ca="1">IFERROR(__xludf.DUMMYFUNCTION("""COMPUTED_VALUE"""),596)</f>
        <v>596</v>
      </c>
      <c r="C257" s="1">
        <f ca="1"/>
        <v>1</v>
      </c>
      <c r="E257" s="1">
        <f t="shared" ca="1" si="0"/>
        <v>2.8533115308009574E-4</v>
      </c>
      <c r="F257" s="1">
        <f t="shared" ca="1" si="1"/>
        <v>0.18032928874662052</v>
      </c>
    </row>
    <row r="258" spans="2:6" x14ac:dyDescent="0.2">
      <c r="B258" s="1">
        <f ca="1">IFERROR(__xludf.DUMMYFUNCTION("""COMPUTED_VALUE"""),597)</f>
        <v>597</v>
      </c>
      <c r="C258" s="1">
        <f ca="1"/>
        <v>1</v>
      </c>
      <c r="E258" s="1">
        <f t="shared" ca="1" si="0"/>
        <v>2.8310884623677181E-4</v>
      </c>
      <c r="F258" s="1">
        <f t="shared" ca="1" si="1"/>
        <v>0.17892479082163978</v>
      </c>
    </row>
    <row r="259" spans="2:6" x14ac:dyDescent="0.2">
      <c r="B259" s="1">
        <f ca="1">IFERROR(__xludf.DUMMYFUNCTION("""COMPUTED_VALUE"""),606)</f>
        <v>606</v>
      </c>
      <c r="C259" s="1">
        <f ca="1"/>
        <v>1</v>
      </c>
      <c r="E259" s="1">
        <f t="shared" ref="E259:E284" ca="1" si="2">NORMDIST(B259,$E$2,$G$2,FALSE)</f>
        <v>2.6366543429613058E-4</v>
      </c>
      <c r="F259" s="1">
        <f t="shared" ref="F259:F284" ca="1" si="3">E259*632</f>
        <v>0.16663655447515452</v>
      </c>
    </row>
    <row r="260" spans="2:6" x14ac:dyDescent="0.2">
      <c r="B260" s="1">
        <f ca="1">IFERROR(__xludf.DUMMYFUNCTION("""COMPUTED_VALUE"""),623)</f>
        <v>623</v>
      </c>
      <c r="C260" s="1">
        <f ca="1"/>
        <v>1</v>
      </c>
      <c r="E260" s="1">
        <f t="shared" ca="1" si="2"/>
        <v>2.2962743812402064E-4</v>
      </c>
      <c r="F260" s="1">
        <f t="shared" ca="1" si="3"/>
        <v>0.14512454089438104</v>
      </c>
    </row>
    <row r="261" spans="2:6" x14ac:dyDescent="0.2">
      <c r="B261" s="1">
        <f ca="1">IFERROR(__xludf.DUMMYFUNCTION("""COMPUTED_VALUE"""),643)</f>
        <v>643</v>
      </c>
      <c r="C261" s="1">
        <f ca="1"/>
        <v>1</v>
      </c>
      <c r="E261" s="1">
        <f t="shared" ca="1" si="2"/>
        <v>1.9391790258147949E-4</v>
      </c>
      <c r="F261" s="1">
        <f t="shared" ca="1" si="3"/>
        <v>0.12255611443149504</v>
      </c>
    </row>
    <row r="262" spans="2:6" x14ac:dyDescent="0.2">
      <c r="B262" s="1">
        <f ca="1">IFERROR(__xludf.DUMMYFUNCTION("""COMPUTED_VALUE"""),653)</f>
        <v>653</v>
      </c>
      <c r="C262" s="1">
        <f ca="1"/>
        <v>1</v>
      </c>
      <c r="E262" s="1">
        <f t="shared" ca="1" si="2"/>
        <v>1.7774062867883156E-4</v>
      </c>
      <c r="F262" s="1">
        <f t="shared" ca="1" si="3"/>
        <v>0.11233207732502154</v>
      </c>
    </row>
    <row r="263" spans="2:6" x14ac:dyDescent="0.2">
      <c r="B263" s="1">
        <f ca="1">IFERROR(__xludf.DUMMYFUNCTION("""COMPUTED_VALUE"""),656)</f>
        <v>656</v>
      </c>
      <c r="C263" s="1">
        <f ca="1"/>
        <v>1</v>
      </c>
      <c r="E263" s="1">
        <f t="shared" ca="1" si="2"/>
        <v>1.7309745426482016E-4</v>
      </c>
      <c r="F263" s="1">
        <f t="shared" ca="1" si="3"/>
        <v>0.10939759109536634</v>
      </c>
    </row>
    <row r="264" spans="2:6" x14ac:dyDescent="0.2">
      <c r="B264" s="1">
        <f ca="1">IFERROR(__xludf.DUMMYFUNCTION("""COMPUTED_VALUE"""),670)</f>
        <v>670</v>
      </c>
      <c r="C264" s="1">
        <f ca="1"/>
        <v>1</v>
      </c>
      <c r="E264" s="1">
        <f t="shared" ca="1" si="2"/>
        <v>1.5266780184403488E-4</v>
      </c>
      <c r="F264" s="1">
        <f t="shared" ca="1" si="3"/>
        <v>9.6486050765430043E-2</v>
      </c>
    </row>
    <row r="265" spans="2:6" x14ac:dyDescent="0.2">
      <c r="B265" s="1">
        <f ca="1">IFERROR(__xludf.DUMMYFUNCTION("""COMPUTED_VALUE"""),677)</f>
        <v>677</v>
      </c>
      <c r="C265" s="1">
        <f ca="1"/>
        <v>1</v>
      </c>
      <c r="E265" s="1">
        <f t="shared" ca="1" si="2"/>
        <v>1.4319339738454916E-4</v>
      </c>
      <c r="F265" s="1">
        <f t="shared" ca="1" si="3"/>
        <v>9.0498227147035065E-2</v>
      </c>
    </row>
    <row r="266" spans="2:6" x14ac:dyDescent="0.2">
      <c r="B266" s="1">
        <f ca="1">IFERROR(__xludf.DUMMYFUNCTION("""COMPUTED_VALUE"""),683)</f>
        <v>683</v>
      </c>
      <c r="C266" s="1">
        <f ca="1"/>
        <v>1</v>
      </c>
      <c r="E266" s="1">
        <f t="shared" ca="1" si="2"/>
        <v>1.3545034333666196E-4</v>
      </c>
      <c r="F266" s="1">
        <f t="shared" ca="1" si="3"/>
        <v>8.5604616988770352E-2</v>
      </c>
    </row>
    <row r="267" spans="2:6" x14ac:dyDescent="0.2">
      <c r="B267" s="1">
        <f ca="1">IFERROR(__xludf.DUMMYFUNCTION("""COMPUTED_VALUE"""),708)</f>
        <v>708</v>
      </c>
      <c r="C267" s="1">
        <f ca="1"/>
        <v>1</v>
      </c>
      <c r="E267" s="1">
        <f t="shared" ca="1" si="2"/>
        <v>1.0672596842812218E-4</v>
      </c>
      <c r="F267" s="1">
        <f t="shared" ca="1" si="3"/>
        <v>6.7450812046573216E-2</v>
      </c>
    </row>
    <row r="268" spans="2:6" x14ac:dyDescent="0.2">
      <c r="B268" s="1">
        <f ca="1">IFERROR(__xludf.DUMMYFUNCTION("""COMPUTED_VALUE"""),726)</f>
        <v>726</v>
      </c>
      <c r="C268" s="1">
        <f ca="1"/>
        <v>1</v>
      </c>
      <c r="E268" s="1">
        <f t="shared" ca="1" si="2"/>
        <v>8.9295999088136296E-5</v>
      </c>
      <c r="F268" s="1">
        <f t="shared" ca="1" si="3"/>
        <v>5.6435071423702139E-2</v>
      </c>
    </row>
    <row r="269" spans="2:6" x14ac:dyDescent="0.2">
      <c r="B269" s="1">
        <f ca="1">IFERROR(__xludf.DUMMYFUNCTION("""COMPUTED_VALUE"""),764)</f>
        <v>764</v>
      </c>
      <c r="C269" s="1">
        <f ca="1"/>
        <v>1</v>
      </c>
      <c r="E269" s="1">
        <f t="shared" ca="1" si="2"/>
        <v>6.0165629838346663E-5</v>
      </c>
      <c r="F269" s="1">
        <f t="shared" ca="1" si="3"/>
        <v>3.802467805783509E-2</v>
      </c>
    </row>
    <row r="270" spans="2:6" x14ac:dyDescent="0.2">
      <c r="B270" s="1">
        <f ca="1">IFERROR(__xludf.DUMMYFUNCTION("""COMPUTED_VALUE"""),767)</f>
        <v>767</v>
      </c>
      <c r="C270" s="1">
        <f ca="1"/>
        <v>1</v>
      </c>
      <c r="E270" s="1">
        <f t="shared" ca="1" si="2"/>
        <v>5.8256945341140213E-5</v>
      </c>
      <c r="F270" s="1">
        <f t="shared" ca="1" si="3"/>
        <v>3.6818389455600613E-2</v>
      </c>
    </row>
    <row r="271" spans="2:6" x14ac:dyDescent="0.2">
      <c r="B271" s="1">
        <f ca="1">IFERROR(__xludf.DUMMYFUNCTION("""COMPUTED_VALUE"""),780)</f>
        <v>780</v>
      </c>
      <c r="C271" s="1">
        <f ca="1"/>
        <v>1</v>
      </c>
      <c r="E271" s="1">
        <f t="shared" ca="1" si="2"/>
        <v>5.0570296335802541E-5</v>
      </c>
      <c r="F271" s="1">
        <f t="shared" ca="1" si="3"/>
        <v>3.1960427284227204E-2</v>
      </c>
    </row>
    <row r="272" spans="2:6" x14ac:dyDescent="0.2">
      <c r="B272" s="1">
        <f ca="1">IFERROR(__xludf.DUMMYFUNCTION("""COMPUTED_VALUE"""),789)</f>
        <v>789</v>
      </c>
      <c r="C272" s="1">
        <f ca="1"/>
        <v>1</v>
      </c>
      <c r="E272" s="1">
        <f t="shared" ca="1" si="2"/>
        <v>4.5772750689904473E-5</v>
      </c>
      <c r="F272" s="1">
        <f t="shared" ca="1" si="3"/>
        <v>2.8928378436019628E-2</v>
      </c>
    </row>
    <row r="273" spans="2:6" x14ac:dyDescent="0.2">
      <c r="B273" s="1">
        <f ca="1">IFERROR(__xludf.DUMMYFUNCTION("""COMPUTED_VALUE"""),925)</f>
        <v>925</v>
      </c>
      <c r="C273" s="1">
        <f ca="1"/>
        <v>1</v>
      </c>
      <c r="E273" s="1">
        <f t="shared" ca="1" si="2"/>
        <v>8.5566916906674678E-6</v>
      </c>
      <c r="F273" s="1">
        <f t="shared" ca="1" si="3"/>
        <v>5.4078291485018396E-3</v>
      </c>
    </row>
    <row r="274" spans="2:6" x14ac:dyDescent="0.2">
      <c r="B274" s="1">
        <f ca="1">IFERROR(__xludf.DUMMYFUNCTION("""COMPUTED_VALUE"""),947)</f>
        <v>947</v>
      </c>
      <c r="C274" s="1">
        <f ca="1"/>
        <v>1</v>
      </c>
      <c r="E274" s="1">
        <f t="shared" ca="1" si="2"/>
        <v>6.3302337291929895E-6</v>
      </c>
      <c r="F274" s="1">
        <f t="shared" ca="1" si="3"/>
        <v>4.0007077168499692E-3</v>
      </c>
    </row>
    <row r="275" spans="2:6" x14ac:dyDescent="0.2">
      <c r="B275" s="1">
        <f ca="1">IFERROR(__xludf.DUMMYFUNCTION("""COMPUTED_VALUE"""),974)</f>
        <v>974</v>
      </c>
      <c r="C275" s="1">
        <f ca="1"/>
        <v>1</v>
      </c>
      <c r="E275" s="1">
        <f t="shared" ca="1" si="2"/>
        <v>4.3232579693354065E-6</v>
      </c>
      <c r="F275" s="1">
        <f t="shared" ca="1" si="3"/>
        <v>2.7322990366199767E-3</v>
      </c>
    </row>
    <row r="276" spans="2:6" x14ac:dyDescent="0.2">
      <c r="B276" s="1">
        <f ca="1">IFERROR(__xludf.DUMMYFUNCTION("""COMPUTED_VALUE"""),988)</f>
        <v>988</v>
      </c>
      <c r="C276" s="1">
        <f ca="1"/>
        <v>1</v>
      </c>
      <c r="E276" s="1">
        <f t="shared" ca="1" si="2"/>
        <v>3.5300535902016869E-6</v>
      </c>
      <c r="F276" s="1">
        <f t="shared" ca="1" si="3"/>
        <v>2.2309938690074659E-3</v>
      </c>
    </row>
    <row r="277" spans="2:6" x14ac:dyDescent="0.2">
      <c r="B277" s="1">
        <f ca="1">IFERROR(__xludf.DUMMYFUNCTION("""COMPUTED_VALUE"""),1000)</f>
        <v>1000</v>
      </c>
      <c r="C277" s="1">
        <f ca="1"/>
        <v>1</v>
      </c>
      <c r="E277" s="1">
        <f t="shared" ca="1" si="2"/>
        <v>2.9590598803409658E-6</v>
      </c>
      <c r="F277" s="1">
        <f t="shared" ca="1" si="3"/>
        <v>1.8701258443754904E-3</v>
      </c>
    </row>
    <row r="278" spans="2:6" x14ac:dyDescent="0.2">
      <c r="B278" s="1">
        <f ca="1">IFERROR(__xludf.DUMMYFUNCTION("""COMPUTED_VALUE"""),1063)</f>
        <v>1063</v>
      </c>
      <c r="C278" s="1">
        <f ca="1"/>
        <v>1</v>
      </c>
      <c r="E278" s="1">
        <f t="shared" ca="1" si="2"/>
        <v>1.1248357717331007E-6</v>
      </c>
      <c r="F278" s="1">
        <f t="shared" ca="1" si="3"/>
        <v>7.1089620773531965E-4</v>
      </c>
    </row>
    <row r="279" spans="2:6" x14ac:dyDescent="0.2">
      <c r="B279" s="1">
        <f ca="1">IFERROR(__xludf.DUMMYFUNCTION("""COMPUTED_VALUE"""),1235)</f>
        <v>1235</v>
      </c>
      <c r="C279" s="1">
        <f ca="1"/>
        <v>1</v>
      </c>
      <c r="E279" s="1">
        <f t="shared" ca="1" si="2"/>
        <v>5.6523931627784853E-8</v>
      </c>
      <c r="F279" s="1">
        <f t="shared" ca="1" si="3"/>
        <v>3.5723124788760024E-5</v>
      </c>
    </row>
    <row r="280" spans="2:6" x14ac:dyDescent="0.2">
      <c r="B280" s="1">
        <f ca="1">IFERROR(__xludf.DUMMYFUNCTION("""COMPUTED_VALUE"""),1459)</f>
        <v>1459</v>
      </c>
      <c r="C280" s="1">
        <f ca="1"/>
        <v>1</v>
      </c>
      <c r="E280" s="1">
        <f t="shared" ca="1" si="2"/>
        <v>5.3345204954828792E-10</v>
      </c>
      <c r="F280" s="1">
        <f t="shared" ca="1" si="3"/>
        <v>3.3714169531451797E-7</v>
      </c>
    </row>
    <row r="281" spans="2:6" x14ac:dyDescent="0.2">
      <c r="B281" s="1">
        <f ca="1">IFERROR(__xludf.DUMMYFUNCTION("""COMPUTED_VALUE"""),1547)</f>
        <v>1547</v>
      </c>
      <c r="C281" s="1">
        <f ca="1"/>
        <v>1</v>
      </c>
      <c r="E281" s="1">
        <f t="shared" ca="1" si="2"/>
        <v>6.7336093443682074E-11</v>
      </c>
      <c r="F281" s="1">
        <f t="shared" ca="1" si="3"/>
        <v>4.255641105640707E-8</v>
      </c>
    </row>
    <row r="282" spans="2:6" x14ac:dyDescent="0.2">
      <c r="B282" s="1">
        <f ca="1">IFERROR(__xludf.DUMMYFUNCTION("""COMPUTED_VALUE"""),1575)</f>
        <v>1575</v>
      </c>
      <c r="C282" s="1">
        <f ca="1"/>
        <v>1</v>
      </c>
      <c r="E282" s="1">
        <f t="shared" ca="1" si="2"/>
        <v>3.3887204828291387E-11</v>
      </c>
      <c r="F282" s="1">
        <f t="shared" ca="1" si="3"/>
        <v>2.1416713451480158E-8</v>
      </c>
    </row>
    <row r="283" spans="2:6" x14ac:dyDescent="0.2">
      <c r="B283" s="1">
        <f ca="1">IFERROR(__xludf.DUMMYFUNCTION("""COMPUTED_VALUE"""),2415)</f>
        <v>2415</v>
      </c>
      <c r="C283" s="1">
        <f ca="1"/>
        <v>1</v>
      </c>
      <c r="E283" s="1">
        <f t="shared" ca="1" si="2"/>
        <v>6.9431803791450026E-23</v>
      </c>
      <c r="F283" s="1">
        <f t="shared" ca="1" si="3"/>
        <v>4.3880899996196419E-20</v>
      </c>
    </row>
    <row r="284" spans="2:6" x14ac:dyDescent="0.2">
      <c r="B284" s="1">
        <f ca="1">IFERROR(__xludf.DUMMYFUNCTION("""COMPUTED_VALUE"""),2732)</f>
        <v>2732</v>
      </c>
      <c r="C284" s="1">
        <f ca="1"/>
        <v>1</v>
      </c>
      <c r="E284" s="1">
        <f t="shared" ca="1" si="2"/>
        <v>1.1250865126505253E-28</v>
      </c>
      <c r="F284" s="1">
        <f t="shared" ca="1" si="3"/>
        <v>7.1105467599513203E-26</v>
      </c>
    </row>
    <row r="285" spans="2:6" x14ac:dyDescent="0.2">
      <c r="C285" s="1">
        <f ca="1"/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G522"/>
  <sheetViews>
    <sheetView workbookViewId="0"/>
  </sheetViews>
  <sheetFormatPr defaultColWidth="12.5703125" defaultRowHeight="15.75" customHeight="1" x14ac:dyDescent="0.2"/>
  <sheetData>
    <row r="2" spans="2:7" x14ac:dyDescent="0.2">
      <c r="B2" s="1" t="s">
        <v>653</v>
      </c>
      <c r="D2" s="1" t="s">
        <v>646</v>
      </c>
      <c r="E2" s="1">
        <f>AVERAGE(data!D2:D633)</f>
        <v>63.471360759493727</v>
      </c>
      <c r="F2" s="1" t="s">
        <v>647</v>
      </c>
      <c r="G2" s="1">
        <f>STDEV(data!D2:D633)</f>
        <v>17.871747663503086</v>
      </c>
    </row>
    <row r="3" spans="2:7" x14ac:dyDescent="0.2">
      <c r="B3" s="1" t="s">
        <v>648</v>
      </c>
      <c r="C3" s="1" t="s">
        <v>649</v>
      </c>
      <c r="E3" s="1" t="s">
        <v>650</v>
      </c>
      <c r="F3" s="1" t="s">
        <v>651</v>
      </c>
    </row>
    <row r="4" spans="2:7" x14ac:dyDescent="0.2">
      <c r="B4" s="1">
        <f ca="1">IFERROR(__xludf.DUMMYFUNCTION("SORT(UNIQUE(data!D2:data!D633))"),25.24)</f>
        <v>25.24</v>
      </c>
      <c r="C4" s="1">
        <f t="array" aca="1" ref="C4:C522" ca="1">FREQUENCY(data!D2:D633,B4:B521)</f>
        <v>1</v>
      </c>
      <c r="E4" s="1">
        <f t="shared" ref="E4:E258" ca="1" si="0">NORMDIST(B4,$E$2,$G$2,FALSE)</f>
        <v>2.2648151847382203E-3</v>
      </c>
      <c r="F4" s="1">
        <f t="shared" ref="F4:F258" ca="1" si="1">E4*632</f>
        <v>1.4313631967545553</v>
      </c>
    </row>
    <row r="5" spans="2:7" x14ac:dyDescent="0.2">
      <c r="B5" s="1">
        <f ca="1">IFERROR(__xludf.DUMMYFUNCTION("""COMPUTED_VALUE"""),26.64)</f>
        <v>26.64</v>
      </c>
      <c r="C5" s="1">
        <f ca="1"/>
        <v>1</v>
      </c>
      <c r="E5" s="1">
        <f t="shared" ca="1" si="0"/>
        <v>2.669794873007485E-3</v>
      </c>
      <c r="F5" s="1">
        <f t="shared" ca="1" si="1"/>
        <v>1.6873103597407304</v>
      </c>
    </row>
    <row r="6" spans="2:7" x14ac:dyDescent="0.2">
      <c r="B6" s="1">
        <f ca="1">IFERROR(__xludf.DUMMYFUNCTION("""COMPUTED_VALUE"""),29.81)</f>
        <v>29.81</v>
      </c>
      <c r="C6" s="1">
        <f ca="1"/>
        <v>1</v>
      </c>
      <c r="E6" s="1">
        <f t="shared" ca="1" si="0"/>
        <v>3.7879216961089501E-3</v>
      </c>
      <c r="F6" s="1">
        <f t="shared" ca="1" si="1"/>
        <v>2.3939665119408566</v>
      </c>
    </row>
    <row r="7" spans="2:7" x14ac:dyDescent="0.2">
      <c r="B7" s="1">
        <f ca="1">IFERROR(__xludf.DUMMYFUNCTION("""COMPUTED_VALUE"""),32.01)</f>
        <v>32.01</v>
      </c>
      <c r="C7" s="1">
        <f ca="1"/>
        <v>1</v>
      </c>
      <c r="E7" s="1">
        <f t="shared" ca="1" si="0"/>
        <v>4.7402876984979124E-3</v>
      </c>
      <c r="F7" s="1">
        <f t="shared" ca="1" si="1"/>
        <v>2.9958618254506808</v>
      </c>
    </row>
    <row r="8" spans="2:7" x14ac:dyDescent="0.2">
      <c r="B8" s="1">
        <f ca="1">IFERROR(__xludf.DUMMYFUNCTION("""COMPUTED_VALUE"""),32.42)</f>
        <v>32.42</v>
      </c>
      <c r="C8" s="1">
        <f ca="1"/>
        <v>1</v>
      </c>
      <c r="E8" s="1">
        <f t="shared" ca="1" si="0"/>
        <v>4.9343470365556599E-3</v>
      </c>
      <c r="F8" s="1">
        <f t="shared" ca="1" si="1"/>
        <v>3.1185073271031771</v>
      </c>
    </row>
    <row r="9" spans="2:7" x14ac:dyDescent="0.2">
      <c r="B9" s="1">
        <f ca="1">IFERROR(__xludf.DUMMYFUNCTION("""COMPUTED_VALUE"""),33.02)</f>
        <v>33.020000000000003</v>
      </c>
      <c r="C9" s="1">
        <f ca="1"/>
        <v>1</v>
      </c>
      <c r="E9" s="1">
        <f t="shared" ca="1" si="0"/>
        <v>5.2277845340297406E-3</v>
      </c>
      <c r="F9" s="1">
        <f t="shared" ca="1" si="1"/>
        <v>3.3039598255067961</v>
      </c>
    </row>
    <row r="10" spans="2:7" x14ac:dyDescent="0.2">
      <c r="B10" s="1">
        <f ca="1">IFERROR(__xludf.DUMMYFUNCTION("""COMPUTED_VALUE"""),33.98)</f>
        <v>33.979999999999997</v>
      </c>
      <c r="C10" s="1">
        <f ca="1"/>
        <v>1</v>
      </c>
      <c r="E10" s="1">
        <f t="shared" ca="1" si="0"/>
        <v>5.720583142430292E-3</v>
      </c>
      <c r="F10" s="1">
        <f t="shared" ca="1" si="1"/>
        <v>3.6154085460159444</v>
      </c>
    </row>
    <row r="11" spans="2:7" x14ac:dyDescent="0.2">
      <c r="B11" s="1">
        <f ca="1">IFERROR(__xludf.DUMMYFUNCTION("""COMPUTED_VALUE"""),34.07)</f>
        <v>34.07</v>
      </c>
      <c r="C11" s="1">
        <f ca="1"/>
        <v>1</v>
      </c>
      <c r="E11" s="1">
        <f t="shared" ca="1" si="0"/>
        <v>5.7682463633824364E-3</v>
      </c>
      <c r="F11" s="1">
        <f t="shared" ca="1" si="1"/>
        <v>3.6455317016577</v>
      </c>
    </row>
    <row r="12" spans="2:7" x14ac:dyDescent="0.2">
      <c r="B12" s="1">
        <f ca="1">IFERROR(__xludf.DUMMYFUNCTION("""COMPUTED_VALUE"""),34.08)</f>
        <v>34.08</v>
      </c>
      <c r="C12" s="1">
        <f ca="1"/>
        <v>2</v>
      </c>
      <c r="E12" s="1">
        <f t="shared" ca="1" si="0"/>
        <v>5.7735576922318902E-3</v>
      </c>
      <c r="F12" s="1">
        <f t="shared" ca="1" si="1"/>
        <v>3.6488884614905546</v>
      </c>
    </row>
    <row r="13" spans="2:7" x14ac:dyDescent="0.2">
      <c r="B13" s="1">
        <f ca="1">IFERROR(__xludf.DUMMYFUNCTION("""COMPUTED_VALUE"""),34.34)</f>
        <v>34.340000000000003</v>
      </c>
      <c r="C13" s="1">
        <f ca="1"/>
        <v>1</v>
      </c>
      <c r="E13" s="1">
        <f t="shared" ca="1" si="0"/>
        <v>5.912732281473522E-3</v>
      </c>
      <c r="F13" s="1">
        <f t="shared" ca="1" si="1"/>
        <v>3.7368468018912657</v>
      </c>
    </row>
    <row r="14" spans="2:7" x14ac:dyDescent="0.2">
      <c r="B14" s="1">
        <f ca="1">IFERROR(__xludf.DUMMYFUNCTION("""COMPUTED_VALUE"""),34.73)</f>
        <v>34.729999999999997</v>
      </c>
      <c r="C14" s="1">
        <f ca="1"/>
        <v>1</v>
      </c>
      <c r="E14" s="1">
        <f t="shared" ca="1" si="0"/>
        <v>6.1253784841057311E-3</v>
      </c>
      <c r="F14" s="1">
        <f t="shared" ca="1" si="1"/>
        <v>3.8712392019548219</v>
      </c>
    </row>
    <row r="15" spans="2:7" x14ac:dyDescent="0.2">
      <c r="B15" s="1">
        <f ca="1">IFERROR(__xludf.DUMMYFUNCTION("""COMPUTED_VALUE"""),34.94)</f>
        <v>34.94</v>
      </c>
      <c r="C15" s="1">
        <f ca="1"/>
        <v>1</v>
      </c>
      <c r="E15" s="1">
        <f t="shared" ca="1" si="0"/>
        <v>6.2417993575200779E-3</v>
      </c>
      <c r="F15" s="1">
        <f t="shared" ca="1" si="1"/>
        <v>3.944817193952689</v>
      </c>
    </row>
    <row r="16" spans="2:7" x14ac:dyDescent="0.2">
      <c r="B16" s="1">
        <f ca="1">IFERROR(__xludf.DUMMYFUNCTION("""COMPUTED_VALUE"""),35.16)</f>
        <v>35.159999999999997</v>
      </c>
      <c r="C16" s="1">
        <f ca="1"/>
        <v>1</v>
      </c>
      <c r="E16" s="1">
        <f t="shared" ca="1" si="0"/>
        <v>6.3651953931274062E-3</v>
      </c>
      <c r="F16" s="1">
        <f t="shared" ca="1" si="1"/>
        <v>4.0228034884565211</v>
      </c>
    </row>
    <row r="17" spans="2:6" x14ac:dyDescent="0.2">
      <c r="B17" s="1">
        <f ca="1">IFERROR(__xludf.DUMMYFUNCTION("""COMPUTED_VALUE"""),35.76)</f>
        <v>35.76</v>
      </c>
      <c r="C17" s="1">
        <f ca="1"/>
        <v>1</v>
      </c>
      <c r="E17" s="1">
        <f t="shared" ca="1" si="0"/>
        <v>6.7091012366114712E-3</v>
      </c>
      <c r="F17" s="1">
        <f t="shared" ca="1" si="1"/>
        <v>4.2401519815384496</v>
      </c>
    </row>
    <row r="18" spans="2:6" x14ac:dyDescent="0.2">
      <c r="B18" s="1">
        <f ca="1">IFERROR(__xludf.DUMMYFUNCTION("""COMPUTED_VALUE"""),35.79)</f>
        <v>35.79</v>
      </c>
      <c r="C18" s="1">
        <f ca="1"/>
        <v>1</v>
      </c>
      <c r="E18" s="1">
        <f t="shared" ca="1" si="0"/>
        <v>6.7265771254082802E-3</v>
      </c>
      <c r="F18" s="1">
        <f t="shared" ca="1" si="1"/>
        <v>4.2511967432580331</v>
      </c>
    </row>
    <row r="19" spans="2:6" x14ac:dyDescent="0.2">
      <c r="B19" s="1">
        <f ca="1">IFERROR(__xludf.DUMMYFUNCTION("""COMPUTED_VALUE"""),36.09)</f>
        <v>36.090000000000003</v>
      </c>
      <c r="C19" s="1">
        <f ca="1"/>
        <v>1</v>
      </c>
      <c r="E19" s="1">
        <f t="shared" ca="1" si="0"/>
        <v>6.9027894831203878E-3</v>
      </c>
      <c r="F19" s="1">
        <f t="shared" ca="1" si="1"/>
        <v>4.3625629533320849</v>
      </c>
    </row>
    <row r="20" spans="2:6" x14ac:dyDescent="0.2">
      <c r="B20" s="1">
        <f ca="1">IFERROR(__xludf.DUMMYFUNCTION("""COMPUTED_VALUE"""),36.35)</f>
        <v>36.35</v>
      </c>
      <c r="C20" s="1">
        <f ca="1"/>
        <v>1</v>
      </c>
      <c r="E20" s="1">
        <f t="shared" ca="1" si="0"/>
        <v>7.0576276724723039E-3</v>
      </c>
      <c r="F20" s="1">
        <f t="shared" ca="1" si="1"/>
        <v>4.460420689002496</v>
      </c>
    </row>
    <row r="21" spans="2:6" x14ac:dyDescent="0.2">
      <c r="B21" s="1">
        <f ca="1">IFERROR(__xludf.DUMMYFUNCTION("""COMPUTED_VALUE"""),36.76)</f>
        <v>36.76</v>
      </c>
      <c r="C21" s="1">
        <f ca="1"/>
        <v>2</v>
      </c>
      <c r="E21" s="1">
        <f t="shared" ca="1" si="0"/>
        <v>7.3057405153518461E-3</v>
      </c>
      <c r="F21" s="1">
        <f t="shared" ca="1" si="1"/>
        <v>4.6172280057023665</v>
      </c>
    </row>
    <row r="22" spans="2:6" x14ac:dyDescent="0.2">
      <c r="B22" s="1">
        <f ca="1">IFERROR(__xludf.DUMMYFUNCTION("""COMPUTED_VALUE"""),36.85)</f>
        <v>36.85</v>
      </c>
      <c r="C22" s="1">
        <f ca="1"/>
        <v>1</v>
      </c>
      <c r="E22" s="1">
        <f t="shared" ca="1" si="0"/>
        <v>7.3608427389448457E-3</v>
      </c>
      <c r="F22" s="1">
        <f t="shared" ca="1" si="1"/>
        <v>4.6520526110131426</v>
      </c>
    </row>
    <row r="23" spans="2:6" x14ac:dyDescent="0.2">
      <c r="B23" s="1">
        <f ca="1">IFERROR(__xludf.DUMMYFUNCTION("""COMPUTED_VALUE"""),36.87)</f>
        <v>36.869999999999997</v>
      </c>
      <c r="C23" s="1">
        <f ca="1"/>
        <v>1</v>
      </c>
      <c r="E23" s="1">
        <f t="shared" ca="1" si="0"/>
        <v>7.3731186140333733E-3</v>
      </c>
      <c r="F23" s="1">
        <f t="shared" ca="1" si="1"/>
        <v>4.6598109640690923</v>
      </c>
    </row>
    <row r="24" spans="2:6" x14ac:dyDescent="0.2">
      <c r="B24" s="1">
        <f ca="1">IFERROR(__xludf.DUMMYFUNCTION("""COMPUTED_VALUE"""),37.27)</f>
        <v>37.270000000000003</v>
      </c>
      <c r="C24" s="1">
        <f ca="1"/>
        <v>1</v>
      </c>
      <c r="E24" s="1">
        <f t="shared" ca="1" si="0"/>
        <v>7.6209766262367046E-3</v>
      </c>
      <c r="F24" s="1">
        <f t="shared" ca="1" si="1"/>
        <v>4.8164572277815969</v>
      </c>
    </row>
    <row r="25" spans="2:6" x14ac:dyDescent="0.2">
      <c r="B25" s="1">
        <f ca="1">IFERROR(__xludf.DUMMYFUNCTION("""COMPUTED_VALUE"""),37.5)</f>
        <v>37.5</v>
      </c>
      <c r="C25" s="1">
        <f ca="1"/>
        <v>2</v>
      </c>
      <c r="E25" s="1">
        <f t="shared" ca="1" si="0"/>
        <v>7.7654884471724545E-3</v>
      </c>
      <c r="F25" s="1">
        <f t="shared" ca="1" si="1"/>
        <v>4.9077886986129915</v>
      </c>
    </row>
    <row r="26" spans="2:6" x14ac:dyDescent="0.2">
      <c r="B26" s="1">
        <f ca="1">IFERROR(__xludf.DUMMYFUNCTION("""COMPUTED_VALUE"""),37.57)</f>
        <v>37.57</v>
      </c>
      <c r="C26" s="1">
        <f ca="1"/>
        <v>1</v>
      </c>
      <c r="E26" s="1">
        <f t="shared" ca="1" si="0"/>
        <v>7.809755102798673E-3</v>
      </c>
      <c r="F26" s="1">
        <f t="shared" ca="1" si="1"/>
        <v>4.9357652249687618</v>
      </c>
    </row>
    <row r="27" spans="2:6" x14ac:dyDescent="0.2">
      <c r="B27" s="1">
        <f ca="1">IFERROR(__xludf.DUMMYFUNCTION("""COMPUTED_VALUE"""),37.69)</f>
        <v>37.69</v>
      </c>
      <c r="C27" s="1">
        <f ca="1"/>
        <v>1</v>
      </c>
      <c r="E27" s="1">
        <f t="shared" ca="1" si="0"/>
        <v>7.8859471992117642E-3</v>
      </c>
      <c r="F27" s="1">
        <f t="shared" ca="1" si="1"/>
        <v>4.9839186299018348</v>
      </c>
    </row>
    <row r="28" spans="2:6" x14ac:dyDescent="0.2">
      <c r="B28" s="1">
        <f ca="1">IFERROR(__xludf.DUMMYFUNCTION("""COMPUTED_VALUE"""),37.71)</f>
        <v>37.71</v>
      </c>
      <c r="C28" s="1">
        <f ca="1"/>
        <v>1</v>
      </c>
      <c r="E28" s="1">
        <f t="shared" ca="1" si="0"/>
        <v>7.898683333493391E-3</v>
      </c>
      <c r="F28" s="1">
        <f t="shared" ca="1" si="1"/>
        <v>4.9919678667678227</v>
      </c>
    </row>
    <row r="29" spans="2:6" x14ac:dyDescent="0.2">
      <c r="B29" s="1">
        <f ca="1">IFERROR(__xludf.DUMMYFUNCTION("""COMPUTED_VALUE"""),37.89)</f>
        <v>37.89</v>
      </c>
      <c r="C29" s="1">
        <f ca="1"/>
        <v>1</v>
      </c>
      <c r="E29" s="1">
        <f t="shared" ca="1" si="0"/>
        <v>8.0137865263691307E-3</v>
      </c>
      <c r="F29" s="1">
        <f t="shared" ca="1" si="1"/>
        <v>5.064713084665291</v>
      </c>
    </row>
    <row r="30" spans="2:6" x14ac:dyDescent="0.2">
      <c r="B30" s="1">
        <f ca="1">IFERROR(__xludf.DUMMYFUNCTION("""COMPUTED_VALUE"""),37.91)</f>
        <v>37.909999999999997</v>
      </c>
      <c r="C30" s="1">
        <f ca="1"/>
        <v>1</v>
      </c>
      <c r="E30" s="1">
        <f t="shared" ca="1" si="0"/>
        <v>8.0266286043420426E-3</v>
      </c>
      <c r="F30" s="1">
        <f t="shared" ca="1" si="1"/>
        <v>5.0728292779441713</v>
      </c>
    </row>
    <row r="31" spans="2:6" x14ac:dyDescent="0.2">
      <c r="B31" s="1">
        <f ca="1">IFERROR(__xludf.DUMMYFUNCTION("""COMPUTED_VALUE"""),38.06)</f>
        <v>38.06</v>
      </c>
      <c r="C31" s="1">
        <f ca="1"/>
        <v>1</v>
      </c>
      <c r="E31" s="1">
        <f t="shared" ca="1" si="0"/>
        <v>8.1232781633185491E-3</v>
      </c>
      <c r="F31" s="1">
        <f t="shared" ca="1" si="1"/>
        <v>5.1339117992173229</v>
      </c>
    </row>
    <row r="32" spans="2:6" x14ac:dyDescent="0.2">
      <c r="B32" s="1">
        <f ca="1">IFERROR(__xludf.DUMMYFUNCTION("""COMPUTED_VALUE"""),38.15)</f>
        <v>38.15</v>
      </c>
      <c r="C32" s="1">
        <f ca="1"/>
        <v>1</v>
      </c>
      <c r="E32" s="1">
        <f t="shared" ca="1" si="0"/>
        <v>8.1815489632727344E-3</v>
      </c>
      <c r="F32" s="1">
        <f t="shared" ca="1" si="1"/>
        <v>5.1707389447883685</v>
      </c>
    </row>
    <row r="33" spans="2:6" x14ac:dyDescent="0.2">
      <c r="B33" s="1">
        <f ca="1">IFERROR(__xludf.DUMMYFUNCTION("""COMPUTED_VALUE"""),38.26)</f>
        <v>38.26</v>
      </c>
      <c r="C33" s="1">
        <f ca="1"/>
        <v>1</v>
      </c>
      <c r="E33" s="1">
        <f t="shared" ca="1" si="0"/>
        <v>8.2530525409522087E-3</v>
      </c>
      <c r="F33" s="1">
        <f t="shared" ca="1" si="1"/>
        <v>5.2159292058817961</v>
      </c>
    </row>
    <row r="34" spans="2:6" x14ac:dyDescent="0.2">
      <c r="B34" s="1">
        <f ca="1">IFERROR(__xludf.DUMMYFUNCTION("""COMPUTED_VALUE"""),38.42)</f>
        <v>38.42</v>
      </c>
      <c r="C34" s="1">
        <f ca="1"/>
        <v>1</v>
      </c>
      <c r="E34" s="1">
        <f t="shared" ca="1" si="0"/>
        <v>8.3576095499901162E-3</v>
      </c>
      <c r="F34" s="1">
        <f t="shared" ca="1" si="1"/>
        <v>5.2820092355937538</v>
      </c>
    </row>
    <row r="35" spans="2:6" x14ac:dyDescent="0.2">
      <c r="B35" s="1">
        <f ca="1">IFERROR(__xludf.DUMMYFUNCTION("""COMPUTED_VALUE"""),38.63)</f>
        <v>38.630000000000003</v>
      </c>
      <c r="C35" s="1">
        <f ca="1"/>
        <v>1</v>
      </c>
      <c r="E35" s="1">
        <f t="shared" ca="1" si="0"/>
        <v>8.4958200393992593E-3</v>
      </c>
      <c r="F35" s="1">
        <f t="shared" ca="1" si="1"/>
        <v>5.369358264900332</v>
      </c>
    </row>
    <row r="36" spans="2:6" x14ac:dyDescent="0.2">
      <c r="B36" s="1">
        <f ca="1">IFERROR(__xludf.DUMMYFUNCTION("""COMPUTED_VALUE"""),38.65)</f>
        <v>38.65</v>
      </c>
      <c r="C36" s="1">
        <f ca="1"/>
        <v>1</v>
      </c>
      <c r="E36" s="1">
        <f t="shared" ca="1" si="0"/>
        <v>8.5090402828663318E-3</v>
      </c>
      <c r="F36" s="1">
        <f t="shared" ca="1" si="1"/>
        <v>5.3777134587715221</v>
      </c>
    </row>
    <row r="37" spans="2:6" x14ac:dyDescent="0.2">
      <c r="B37" s="1">
        <f ca="1">IFERROR(__xludf.DUMMYFUNCTION("""COMPUTED_VALUE"""),38.74)</f>
        <v>38.74</v>
      </c>
      <c r="C37" s="1">
        <f ca="1"/>
        <v>1</v>
      </c>
      <c r="E37" s="1">
        <f t="shared" ca="1" si="0"/>
        <v>8.5686536212326234E-3</v>
      </c>
      <c r="F37" s="1">
        <f t="shared" ca="1" si="1"/>
        <v>5.4153890886190181</v>
      </c>
    </row>
    <row r="38" spans="2:6" x14ac:dyDescent="0.2">
      <c r="B38" s="1">
        <f ca="1">IFERROR(__xludf.DUMMYFUNCTION("""COMPUTED_VALUE"""),38.98)</f>
        <v>38.979999999999997</v>
      </c>
      <c r="C38" s="1">
        <f ca="1"/>
        <v>1</v>
      </c>
      <c r="E38" s="1">
        <f t="shared" ca="1" si="0"/>
        <v>8.7285900339079247E-3</v>
      </c>
      <c r="F38" s="1">
        <f t="shared" ca="1" si="1"/>
        <v>5.5164689014298087</v>
      </c>
    </row>
    <row r="39" spans="2:6" x14ac:dyDescent="0.2">
      <c r="B39" s="1">
        <f ca="1">IFERROR(__xludf.DUMMYFUNCTION("""COMPUTED_VALUE"""),39.02)</f>
        <v>39.020000000000003</v>
      </c>
      <c r="C39" s="1">
        <f ca="1"/>
        <v>1</v>
      </c>
      <c r="E39" s="1">
        <f t="shared" ca="1" si="0"/>
        <v>8.7553813355512357E-3</v>
      </c>
      <c r="F39" s="1">
        <f t="shared" ca="1" si="1"/>
        <v>5.5334010040683808</v>
      </c>
    </row>
    <row r="40" spans="2:6" x14ac:dyDescent="0.2">
      <c r="B40" s="1">
        <f ca="1">IFERROR(__xludf.DUMMYFUNCTION("""COMPUTED_VALUE"""),39.07)</f>
        <v>39.07</v>
      </c>
      <c r="C40" s="1">
        <f ca="1"/>
        <v>1</v>
      </c>
      <c r="E40" s="1">
        <f t="shared" ca="1" si="0"/>
        <v>8.7889242180782205E-3</v>
      </c>
      <c r="F40" s="1">
        <f t="shared" ca="1" si="1"/>
        <v>5.5546001058254353</v>
      </c>
    </row>
    <row r="41" spans="2:6" x14ac:dyDescent="0.2">
      <c r="B41" s="1">
        <f ca="1">IFERROR(__xludf.DUMMYFUNCTION("""COMPUTED_VALUE"""),39.13)</f>
        <v>39.130000000000003</v>
      </c>
      <c r="C41" s="1">
        <f ca="1"/>
        <v>1</v>
      </c>
      <c r="E41" s="1">
        <f t="shared" ca="1" si="0"/>
        <v>8.829254125838128E-3</v>
      </c>
      <c r="F41" s="1">
        <f t="shared" ca="1" si="1"/>
        <v>5.5800886075296967</v>
      </c>
    </row>
    <row r="42" spans="2:6" x14ac:dyDescent="0.2">
      <c r="B42" s="1">
        <f ca="1">IFERROR(__xludf.DUMMYFUNCTION("""COMPUTED_VALUE"""),39.16)</f>
        <v>39.159999999999997</v>
      </c>
      <c r="C42" s="1">
        <f ca="1"/>
        <v>1</v>
      </c>
      <c r="E42" s="1">
        <f t="shared" ca="1" si="0"/>
        <v>8.8494510213146648E-3</v>
      </c>
      <c r="F42" s="1">
        <f t="shared" ca="1" si="1"/>
        <v>5.5928530454708678</v>
      </c>
    </row>
    <row r="43" spans="2:6" x14ac:dyDescent="0.2">
      <c r="B43" s="1">
        <f ca="1">IFERROR(__xludf.DUMMYFUNCTION("""COMPUTED_VALUE"""),39.74)</f>
        <v>39.74</v>
      </c>
      <c r="C43" s="1">
        <f ca="1"/>
        <v>1</v>
      </c>
      <c r="E43" s="1">
        <f t="shared" ca="1" si="0"/>
        <v>9.2440122464674899E-3</v>
      </c>
      <c r="F43" s="1">
        <f t="shared" ca="1" si="1"/>
        <v>5.8422157397674539</v>
      </c>
    </row>
    <row r="44" spans="2:6" x14ac:dyDescent="0.2">
      <c r="B44" s="1">
        <f ca="1">IFERROR(__xludf.DUMMYFUNCTION("""COMPUTED_VALUE"""),40.01)</f>
        <v>40.01</v>
      </c>
      <c r="C44" s="1">
        <f ca="1"/>
        <v>1</v>
      </c>
      <c r="E44" s="1">
        <f t="shared" ca="1" si="0"/>
        <v>9.430252632601303E-3</v>
      </c>
      <c r="F44" s="1">
        <f t="shared" ca="1" si="1"/>
        <v>5.9599196638040235</v>
      </c>
    </row>
    <row r="45" spans="2:6" x14ac:dyDescent="0.2">
      <c r="B45" s="1">
        <f ca="1">IFERROR(__xludf.DUMMYFUNCTION("""COMPUTED_VALUE"""),40.11)</f>
        <v>40.11</v>
      </c>
      <c r="C45" s="1">
        <f ca="1"/>
        <v>1</v>
      </c>
      <c r="E45" s="1">
        <f t="shared" ca="1" si="0"/>
        <v>9.4996285208858947E-3</v>
      </c>
      <c r="F45" s="1">
        <f t="shared" ca="1" si="1"/>
        <v>6.0037652251998859</v>
      </c>
    </row>
    <row r="46" spans="2:6" x14ac:dyDescent="0.2">
      <c r="B46" s="1">
        <f ca="1">IFERROR(__xludf.DUMMYFUNCTION("""COMPUTED_VALUE"""),40.31)</f>
        <v>40.31</v>
      </c>
      <c r="C46" s="1">
        <f ca="1"/>
        <v>1</v>
      </c>
      <c r="E46" s="1">
        <f t="shared" ca="1" si="0"/>
        <v>9.6390097936473705E-3</v>
      </c>
      <c r="F46" s="1">
        <f t="shared" ca="1" si="1"/>
        <v>6.0918541895851384</v>
      </c>
    </row>
    <row r="47" spans="2:6" x14ac:dyDescent="0.2">
      <c r="B47" s="1">
        <f ca="1">IFERROR(__xludf.DUMMYFUNCTION("""COMPUTED_VALUE"""),40.37)</f>
        <v>40.369999999999997</v>
      </c>
      <c r="C47" s="1">
        <f ca="1"/>
        <v>1</v>
      </c>
      <c r="E47" s="1">
        <f t="shared" ca="1" si="0"/>
        <v>9.6809851812089624E-3</v>
      </c>
      <c r="F47" s="1">
        <f t="shared" ca="1" si="1"/>
        <v>6.1183826345240639</v>
      </c>
    </row>
    <row r="48" spans="2:6" x14ac:dyDescent="0.2">
      <c r="B48" s="1">
        <f ca="1">IFERROR(__xludf.DUMMYFUNCTION("""COMPUTED_VALUE"""),40.39)</f>
        <v>40.39</v>
      </c>
      <c r="C48" s="1">
        <f ca="1"/>
        <v>2</v>
      </c>
      <c r="E48" s="1">
        <f t="shared" ca="1" si="0"/>
        <v>9.694993275160128E-3</v>
      </c>
      <c r="F48" s="1">
        <f t="shared" ca="1" si="1"/>
        <v>6.1272357499012013</v>
      </c>
    </row>
    <row r="49" spans="2:6" x14ac:dyDescent="0.2">
      <c r="B49" s="1">
        <f ca="1">IFERROR(__xludf.DUMMYFUNCTION("""COMPUTED_VALUE"""),40.69)</f>
        <v>40.69</v>
      </c>
      <c r="C49" s="1">
        <f ca="1"/>
        <v>1</v>
      </c>
      <c r="E49" s="1">
        <f t="shared" ca="1" si="0"/>
        <v>9.9060746836535478E-3</v>
      </c>
      <c r="F49" s="1">
        <f t="shared" ca="1" si="1"/>
        <v>6.2606392000690425</v>
      </c>
    </row>
    <row r="50" spans="2:6" x14ac:dyDescent="0.2">
      <c r="B50" s="1">
        <f ca="1">IFERROR(__xludf.DUMMYFUNCTION("""COMPUTED_VALUE"""),40.7)</f>
        <v>40.700000000000003</v>
      </c>
      <c r="C50" s="1">
        <f ca="1"/>
        <v>1</v>
      </c>
      <c r="E50" s="1">
        <f t="shared" ca="1" si="0"/>
        <v>9.9131412223261439E-3</v>
      </c>
      <c r="F50" s="1">
        <f t="shared" ca="1" si="1"/>
        <v>6.2651052525101232</v>
      </c>
    </row>
    <row r="51" spans="2:6" x14ac:dyDescent="0.2">
      <c r="B51" s="1">
        <f ca="1">IFERROR(__xludf.DUMMYFUNCTION("""COMPUTED_VALUE"""),40.71)</f>
        <v>40.71</v>
      </c>
      <c r="C51" s="1">
        <f ca="1"/>
        <v>1</v>
      </c>
      <c r="E51" s="1">
        <f t="shared" ca="1" si="0"/>
        <v>9.9202096960471081E-3</v>
      </c>
      <c r="F51" s="1">
        <f t="shared" ca="1" si="1"/>
        <v>6.2695725279017722</v>
      </c>
    </row>
    <row r="52" spans="2:6" x14ac:dyDescent="0.2">
      <c r="B52" s="1">
        <f ca="1">IFERROR(__xludf.DUMMYFUNCTION("""COMPUTED_VALUE"""),40.79)</f>
        <v>40.79</v>
      </c>
      <c r="C52" s="1">
        <f ca="1"/>
        <v>2</v>
      </c>
      <c r="E52" s="1">
        <f t="shared" ca="1" si="0"/>
        <v>9.9768267809693858E-3</v>
      </c>
      <c r="F52" s="1">
        <f t="shared" ca="1" si="1"/>
        <v>6.3053545255726515</v>
      </c>
    </row>
    <row r="53" spans="2:6" x14ac:dyDescent="0.2">
      <c r="B53" s="1">
        <f ca="1">IFERROR(__xludf.DUMMYFUNCTION("""COMPUTED_VALUE"""),40.95)</f>
        <v>40.950000000000003</v>
      </c>
      <c r="C53" s="1">
        <f ca="1"/>
        <v>1</v>
      </c>
      <c r="E53" s="1">
        <f t="shared" ca="1" si="0"/>
        <v>1.009042559573216E-2</v>
      </c>
      <c r="F53" s="1">
        <f t="shared" ca="1" si="1"/>
        <v>6.3771489765027249</v>
      </c>
    </row>
    <row r="54" spans="2:6" x14ac:dyDescent="0.2">
      <c r="B54" s="1">
        <f ca="1">IFERROR(__xludf.DUMMYFUNCTION("""COMPUTED_VALUE"""),41.01)</f>
        <v>41.01</v>
      </c>
      <c r="C54" s="1">
        <f ca="1"/>
        <v>1</v>
      </c>
      <c r="E54" s="1">
        <f t="shared" ca="1" si="0"/>
        <v>1.0133148444312493E-2</v>
      </c>
      <c r="F54" s="1">
        <f t="shared" ca="1" si="1"/>
        <v>6.4041498168054956</v>
      </c>
    </row>
    <row r="55" spans="2:6" x14ac:dyDescent="0.2">
      <c r="B55" s="1">
        <f ca="1">IFERROR(__xludf.DUMMYFUNCTION("""COMPUTED_VALUE"""),41.11)</f>
        <v>41.11</v>
      </c>
      <c r="C55" s="1">
        <f ca="1"/>
        <v>1</v>
      </c>
      <c r="E55" s="1">
        <f t="shared" ca="1" si="0"/>
        <v>1.0204499948992874E-2</v>
      </c>
      <c r="F55" s="1">
        <f t="shared" ca="1" si="1"/>
        <v>6.449243967763497</v>
      </c>
    </row>
    <row r="56" spans="2:6" x14ac:dyDescent="0.2">
      <c r="B56" s="1">
        <f ca="1">IFERROR(__xludf.DUMMYFUNCTION("""COMPUTED_VALUE"""),41.18)</f>
        <v>41.18</v>
      </c>
      <c r="C56" s="1">
        <f ca="1"/>
        <v>1</v>
      </c>
      <c r="E56" s="1">
        <f t="shared" ca="1" si="0"/>
        <v>1.0254553697732795E-2</v>
      </c>
      <c r="F56" s="1">
        <f t="shared" ca="1" si="1"/>
        <v>6.4808779369671266</v>
      </c>
    </row>
    <row r="57" spans="2:6" x14ac:dyDescent="0.2">
      <c r="B57" s="1">
        <f ca="1">IFERROR(__xludf.DUMMYFUNCTION("""COMPUTED_VALUE"""),41.31)</f>
        <v>41.31</v>
      </c>
      <c r="C57" s="1">
        <f ca="1"/>
        <v>1</v>
      </c>
      <c r="E57" s="1">
        <f t="shared" ca="1" si="0"/>
        <v>1.034774176779104E-2</v>
      </c>
      <c r="F57" s="1">
        <f t="shared" ca="1" si="1"/>
        <v>6.5397727972439368</v>
      </c>
    </row>
    <row r="58" spans="2:6" x14ac:dyDescent="0.2">
      <c r="B58" s="1">
        <f ca="1">IFERROR(__xludf.DUMMYFUNCTION("""COMPUTED_VALUE"""),41.38)</f>
        <v>41.38</v>
      </c>
      <c r="C58" s="1">
        <f ca="1"/>
        <v>1</v>
      </c>
      <c r="E58" s="1">
        <f t="shared" ca="1" si="0"/>
        <v>1.0398042347333101E-2</v>
      </c>
      <c r="F58" s="1">
        <f t="shared" ca="1" si="1"/>
        <v>6.5715627635145202</v>
      </c>
    </row>
    <row r="59" spans="2:6" x14ac:dyDescent="0.2">
      <c r="B59" s="1">
        <f ca="1">IFERROR(__xludf.DUMMYFUNCTION("""COMPUTED_VALUE"""),41.45)</f>
        <v>41.45</v>
      </c>
      <c r="C59" s="1">
        <f ca="1"/>
        <v>1</v>
      </c>
      <c r="E59" s="1">
        <f t="shared" ca="1" si="0"/>
        <v>1.0448427145360827E-2</v>
      </c>
      <c r="F59" s="1">
        <f t="shared" ca="1" si="1"/>
        <v>6.6034059558680429</v>
      </c>
    </row>
    <row r="60" spans="2:6" x14ac:dyDescent="0.2">
      <c r="B60" s="1">
        <f ca="1">IFERROR(__xludf.DUMMYFUNCTION("""COMPUTED_VALUE"""),41.57)</f>
        <v>41.57</v>
      </c>
      <c r="C60" s="1">
        <f ca="1"/>
        <v>1</v>
      </c>
      <c r="E60" s="1">
        <f t="shared" ca="1" si="0"/>
        <v>1.0534993728625229E-2</v>
      </c>
      <c r="F60" s="1">
        <f t="shared" ca="1" si="1"/>
        <v>6.6581160364911449</v>
      </c>
    </row>
    <row r="61" spans="2:6" x14ac:dyDescent="0.2">
      <c r="B61" s="1">
        <f ca="1">IFERROR(__xludf.DUMMYFUNCTION("""COMPUTED_VALUE"""),41.6)</f>
        <v>41.6</v>
      </c>
      <c r="C61" s="1">
        <f ca="1"/>
        <v>1</v>
      </c>
      <c r="E61" s="1">
        <f t="shared" ca="1" si="0"/>
        <v>1.0556672841622121E-2</v>
      </c>
      <c r="F61" s="1">
        <f t="shared" ca="1" si="1"/>
        <v>6.6718172359051806</v>
      </c>
    </row>
    <row r="62" spans="2:6" x14ac:dyDescent="0.2">
      <c r="B62" s="1">
        <f ca="1">IFERROR(__xludf.DUMMYFUNCTION("""COMPUTED_VALUE"""),41.7)</f>
        <v>41.7</v>
      </c>
      <c r="C62" s="1">
        <f ca="1"/>
        <v>1</v>
      </c>
      <c r="E62" s="1">
        <f t="shared" ca="1" si="0"/>
        <v>1.0629042952588206E-2</v>
      </c>
      <c r="F62" s="1">
        <f t="shared" ca="1" si="1"/>
        <v>6.7175551460357461</v>
      </c>
    </row>
    <row r="63" spans="2:6" x14ac:dyDescent="0.2">
      <c r="B63" s="1">
        <f ca="1">IFERROR(__xludf.DUMMYFUNCTION("""COMPUTED_VALUE"""),41.79)</f>
        <v>41.79</v>
      </c>
      <c r="C63" s="1">
        <f ca="1"/>
        <v>2</v>
      </c>
      <c r="E63" s="1">
        <f t="shared" ca="1" si="0"/>
        <v>1.069431386301177E-2</v>
      </c>
      <c r="F63" s="1">
        <f t="shared" ca="1" si="1"/>
        <v>6.7588063614234386</v>
      </c>
    </row>
    <row r="64" spans="2:6" x14ac:dyDescent="0.2">
      <c r="B64" s="1">
        <f ca="1">IFERROR(__xludf.DUMMYFUNCTION("""COMPUTED_VALUE"""),42.4)</f>
        <v>42.4</v>
      </c>
      <c r="C64" s="1">
        <f ca="1"/>
        <v>1</v>
      </c>
      <c r="E64" s="1">
        <f t="shared" ca="1" si="0"/>
        <v>1.113994727764896E-2</v>
      </c>
      <c r="F64" s="1">
        <f t="shared" ca="1" si="1"/>
        <v>7.0404466794741429</v>
      </c>
    </row>
    <row r="65" spans="2:6" x14ac:dyDescent="0.2">
      <c r="B65" s="1">
        <f ca="1">IFERROR(__xludf.DUMMYFUNCTION("""COMPUTED_VALUE"""),42.53)</f>
        <v>42.53</v>
      </c>
      <c r="C65" s="1">
        <f ca="1"/>
        <v>1</v>
      </c>
      <c r="E65" s="1">
        <f t="shared" ca="1" si="0"/>
        <v>1.1235600843752511E-2</v>
      </c>
      <c r="F65" s="1">
        <f t="shared" ca="1" si="1"/>
        <v>7.1008997332515866</v>
      </c>
    </row>
    <row r="66" spans="2:6" x14ac:dyDescent="0.2">
      <c r="B66" s="1">
        <f ca="1">IFERROR(__xludf.DUMMYFUNCTION("""COMPUTED_VALUE"""),42.57)</f>
        <v>42.57</v>
      </c>
      <c r="C66" s="1">
        <f ca="1"/>
        <v>1</v>
      </c>
      <c r="E66" s="1">
        <f t="shared" ca="1" si="0"/>
        <v>1.1265077705400429E-2</v>
      </c>
      <c r="F66" s="1">
        <f t="shared" ca="1" si="1"/>
        <v>7.1195291098130715</v>
      </c>
    </row>
    <row r="67" spans="2:6" x14ac:dyDescent="0.2">
      <c r="B67" s="1">
        <f ca="1">IFERROR(__xludf.DUMMYFUNCTION("""COMPUTED_VALUE"""),42.69)</f>
        <v>42.69</v>
      </c>
      <c r="C67" s="1">
        <f ca="1"/>
        <v>1</v>
      </c>
      <c r="E67" s="1">
        <f t="shared" ca="1" si="0"/>
        <v>1.1353631847230931E-2</v>
      </c>
      <c r="F67" s="1">
        <f t="shared" ca="1" si="1"/>
        <v>7.1754953274499478</v>
      </c>
    </row>
    <row r="68" spans="2:6" x14ac:dyDescent="0.2">
      <c r="B68" s="1">
        <f ca="1">IFERROR(__xludf.DUMMYFUNCTION("""COMPUTED_VALUE"""),42.73)</f>
        <v>42.73</v>
      </c>
      <c r="C68" s="1">
        <f ca="1"/>
        <v>1</v>
      </c>
      <c r="E68" s="1">
        <f t="shared" ca="1" si="0"/>
        <v>1.1383190271761602E-2</v>
      </c>
      <c r="F68" s="1">
        <f t="shared" ca="1" si="1"/>
        <v>7.1941762517533325</v>
      </c>
    </row>
    <row r="69" spans="2:6" x14ac:dyDescent="0.2">
      <c r="B69" s="1">
        <f ca="1">IFERROR(__xludf.DUMMYFUNCTION("""COMPUTED_VALUE"""),43.02)</f>
        <v>43.02</v>
      </c>
      <c r="C69" s="1">
        <f ca="1"/>
        <v>1</v>
      </c>
      <c r="E69" s="1">
        <f t="shared" ca="1" si="0"/>
        <v>1.1598065097330586E-2</v>
      </c>
      <c r="F69" s="1">
        <f t="shared" ca="1" si="1"/>
        <v>7.3299771415129298</v>
      </c>
    </row>
    <row r="70" spans="2:6" x14ac:dyDescent="0.2">
      <c r="B70" s="1">
        <f ca="1">IFERROR(__xludf.DUMMYFUNCTION("""COMPUTED_VALUE"""),43.07)</f>
        <v>43.07</v>
      </c>
      <c r="C70" s="1">
        <f ca="1"/>
        <v>1</v>
      </c>
      <c r="E70" s="1">
        <f t="shared" ca="1" si="0"/>
        <v>1.1635210668104978E-2</v>
      </c>
      <c r="F70" s="1">
        <f t="shared" ca="1" si="1"/>
        <v>7.3534531422423459</v>
      </c>
    </row>
    <row r="71" spans="2:6" x14ac:dyDescent="0.2">
      <c r="B71" s="1">
        <f ca="1">IFERROR(__xludf.DUMMYFUNCTION("""COMPUTED_VALUE"""),43.08)</f>
        <v>43.08</v>
      </c>
      <c r="C71" s="1">
        <f ca="1"/>
        <v>1</v>
      </c>
      <c r="E71" s="1">
        <f t="shared" ca="1" si="0"/>
        <v>1.164264311068226E-2</v>
      </c>
      <c r="F71" s="1">
        <f t="shared" ca="1" si="1"/>
        <v>7.3581504459511882</v>
      </c>
    </row>
    <row r="72" spans="2:6" x14ac:dyDescent="0.2">
      <c r="B72" s="1">
        <f ca="1">IFERROR(__xludf.DUMMYFUNCTION("""COMPUTED_VALUE"""),43.55)</f>
        <v>43.55</v>
      </c>
      <c r="C72" s="1">
        <f ca="1"/>
        <v>1</v>
      </c>
      <c r="E72" s="1">
        <f t="shared" ca="1" si="0"/>
        <v>1.199313994136335E-2</v>
      </c>
      <c r="F72" s="1">
        <f t="shared" ca="1" si="1"/>
        <v>7.5796644429416373</v>
      </c>
    </row>
    <row r="73" spans="2:6" x14ac:dyDescent="0.2">
      <c r="B73" s="1">
        <f ca="1">IFERROR(__xludf.DUMMYFUNCTION("""COMPUTED_VALUE"""),43.56)</f>
        <v>43.56</v>
      </c>
      <c r="C73" s="1">
        <f ca="1"/>
        <v>1</v>
      </c>
      <c r="E73" s="1">
        <f t="shared" ca="1" si="0"/>
        <v>1.200062067598574E-2</v>
      </c>
      <c r="F73" s="1">
        <f t="shared" ca="1" si="1"/>
        <v>7.5843922672229871</v>
      </c>
    </row>
    <row r="74" spans="2:6" x14ac:dyDescent="0.2">
      <c r="B74" s="1">
        <f ca="1">IFERROR(__xludf.DUMMYFUNCTION("""COMPUTED_VALUE"""),43.62)</f>
        <v>43.62</v>
      </c>
      <c r="C74" s="1">
        <f ca="1"/>
        <v>1</v>
      </c>
      <c r="E74" s="1">
        <f t="shared" ca="1" si="0"/>
        <v>1.2045523976437664E-2</v>
      </c>
      <c r="F74" s="1">
        <f t="shared" ca="1" si="1"/>
        <v>7.6127711531086035</v>
      </c>
    </row>
    <row r="75" spans="2:6" x14ac:dyDescent="0.2">
      <c r="B75" s="1">
        <f ca="1">IFERROR(__xludf.DUMMYFUNCTION("""COMPUTED_VALUE"""),43.76)</f>
        <v>43.76</v>
      </c>
      <c r="C75" s="1">
        <f ca="1"/>
        <v>1</v>
      </c>
      <c r="E75" s="1">
        <f t="shared" ca="1" si="0"/>
        <v>1.2150420237726551E-2</v>
      </c>
      <c r="F75" s="1">
        <f t="shared" ca="1" si="1"/>
        <v>7.6790655902431801</v>
      </c>
    </row>
    <row r="76" spans="2:6" x14ac:dyDescent="0.2">
      <c r="B76" s="1">
        <f ca="1">IFERROR(__xludf.DUMMYFUNCTION("""COMPUTED_VALUE"""),43.78)</f>
        <v>43.78</v>
      </c>
      <c r="C76" s="1">
        <f ca="1"/>
        <v>1</v>
      </c>
      <c r="E76" s="1">
        <f t="shared" ca="1" si="0"/>
        <v>1.2165418860474772E-2</v>
      </c>
      <c r="F76" s="1">
        <f t="shared" ca="1" si="1"/>
        <v>7.6885447198200563</v>
      </c>
    </row>
    <row r="77" spans="2:6" x14ac:dyDescent="0.2">
      <c r="B77" s="1">
        <f ca="1">IFERROR(__xludf.DUMMYFUNCTION("""COMPUTED_VALUE"""),43.98)</f>
        <v>43.98</v>
      </c>
      <c r="C77" s="1">
        <f ca="1"/>
        <v>1</v>
      </c>
      <c r="E77" s="1">
        <f t="shared" ca="1" si="0"/>
        <v>1.2315578847060402E-2</v>
      </c>
      <c r="F77" s="1">
        <f t="shared" ca="1" si="1"/>
        <v>7.7834458313421742</v>
      </c>
    </row>
    <row r="78" spans="2:6" x14ac:dyDescent="0.2">
      <c r="B78" s="1">
        <f ca="1">IFERROR(__xludf.DUMMYFUNCTION("""COMPUTED_VALUE"""),44.12)</f>
        <v>44.12</v>
      </c>
      <c r="C78" s="1">
        <f ca="1"/>
        <v>1</v>
      </c>
      <c r="E78" s="1">
        <f t="shared" ca="1" si="0"/>
        <v>1.2420866712240136E-2</v>
      </c>
      <c r="F78" s="1">
        <f t="shared" ca="1" si="1"/>
        <v>7.8499877621357657</v>
      </c>
    </row>
    <row r="79" spans="2:6" x14ac:dyDescent="0.2">
      <c r="B79" s="1">
        <f ca="1">IFERROR(__xludf.DUMMYFUNCTION("""COMPUTED_VALUE"""),44.26)</f>
        <v>44.26</v>
      </c>
      <c r="C79" s="1">
        <f ca="1"/>
        <v>1</v>
      </c>
      <c r="E79" s="1">
        <f t="shared" ca="1" si="0"/>
        <v>1.2526285998920172E-2</v>
      </c>
      <c r="F79" s="1">
        <f t="shared" ca="1" si="1"/>
        <v>7.9166127513175484</v>
      </c>
    </row>
    <row r="80" spans="2:6" x14ac:dyDescent="0.2">
      <c r="B80" s="1">
        <f ca="1">IFERROR(__xludf.DUMMYFUNCTION("""COMPUTED_VALUE"""),44.28)</f>
        <v>44.28</v>
      </c>
      <c r="C80" s="1">
        <f ca="1"/>
        <v>1</v>
      </c>
      <c r="E80" s="1">
        <f t="shared" ca="1" si="0"/>
        <v>1.2541355934292307E-2</v>
      </c>
      <c r="F80" s="1">
        <f t="shared" ca="1" si="1"/>
        <v>7.9261369504727384</v>
      </c>
    </row>
    <row r="81" spans="2:6" x14ac:dyDescent="0.2">
      <c r="B81" s="1">
        <f ca="1">IFERROR(__xludf.DUMMYFUNCTION("""COMPUTED_VALUE"""),44.29)</f>
        <v>44.29</v>
      </c>
      <c r="C81" s="1">
        <f ca="1"/>
        <v>1</v>
      </c>
      <c r="E81" s="1">
        <f t="shared" ca="1" si="0"/>
        <v>1.2548891806051119E-2</v>
      </c>
      <c r="F81" s="1">
        <f t="shared" ca="1" si="1"/>
        <v>7.9308996214243077</v>
      </c>
    </row>
    <row r="82" spans="2:6" x14ac:dyDescent="0.2">
      <c r="B82" s="1">
        <f ca="1">IFERROR(__xludf.DUMMYFUNCTION("""COMPUTED_VALUE"""),44.37)</f>
        <v>44.37</v>
      </c>
      <c r="C82" s="1">
        <f ca="1"/>
        <v>3</v>
      </c>
      <c r="E82" s="1">
        <f t="shared" ca="1" si="0"/>
        <v>1.2609199901863332E-2</v>
      </c>
      <c r="F82" s="1">
        <f t="shared" ca="1" si="1"/>
        <v>7.9690143379776259</v>
      </c>
    </row>
    <row r="83" spans="2:6" x14ac:dyDescent="0.2">
      <c r="B83" s="1">
        <f ca="1">IFERROR(__xludf.DUMMYFUNCTION("""COMPUTED_VALUE"""),44.59)</f>
        <v>44.59</v>
      </c>
      <c r="C83" s="1">
        <f ca="1"/>
        <v>1</v>
      </c>
      <c r="E83" s="1">
        <f t="shared" ca="1" si="0"/>
        <v>1.2775225812450167E-2</v>
      </c>
      <c r="F83" s="1">
        <f t="shared" ca="1" si="1"/>
        <v>8.0739427134685062</v>
      </c>
    </row>
    <row r="84" spans="2:6" x14ac:dyDescent="0.2">
      <c r="B84" s="1">
        <f ca="1">IFERROR(__xludf.DUMMYFUNCTION("""COMPUTED_VALUE"""),44.71)</f>
        <v>44.71</v>
      </c>
      <c r="C84" s="1">
        <f ca="1"/>
        <v>1</v>
      </c>
      <c r="E84" s="1">
        <f t="shared" ca="1" si="0"/>
        <v>1.2865883203606801E-2</v>
      </c>
      <c r="F84" s="1">
        <f t="shared" ca="1" si="1"/>
        <v>8.1312381846794981</v>
      </c>
    </row>
    <row r="85" spans="2:6" x14ac:dyDescent="0.2">
      <c r="B85" s="1">
        <f ca="1">IFERROR(__xludf.DUMMYFUNCTION("""COMPUTED_VALUE"""),44.72)</f>
        <v>44.72</v>
      </c>
      <c r="C85" s="1">
        <f ca="1"/>
        <v>1</v>
      </c>
      <c r="E85" s="1">
        <f t="shared" ca="1" si="0"/>
        <v>1.2873440764544058E-2</v>
      </c>
      <c r="F85" s="1">
        <f t="shared" ca="1" si="1"/>
        <v>8.1360145631918446</v>
      </c>
    </row>
    <row r="86" spans="2:6" x14ac:dyDescent="0.2">
      <c r="B86" s="1">
        <f ca="1">IFERROR(__xludf.DUMMYFUNCTION("""COMPUTED_VALUE"""),44.74)</f>
        <v>44.74</v>
      </c>
      <c r="C86" s="1">
        <f ca="1"/>
        <v>1</v>
      </c>
      <c r="E86" s="1">
        <f t="shared" ca="1" si="0"/>
        <v>1.2888557101458652E-2</v>
      </c>
      <c r="F86" s="1">
        <f t="shared" ca="1" si="1"/>
        <v>8.1455680881218679</v>
      </c>
    </row>
    <row r="87" spans="2:6" x14ac:dyDescent="0.2">
      <c r="B87" s="1">
        <f ca="1">IFERROR(__xludf.DUMMYFUNCTION("""COMPUTED_VALUE"""),44.86)</f>
        <v>44.86</v>
      </c>
      <c r="C87" s="1">
        <f ca="1"/>
        <v>1</v>
      </c>
      <c r="E87" s="1">
        <f t="shared" ca="1" si="0"/>
        <v>1.2979287251920614E-2</v>
      </c>
      <c r="F87" s="1">
        <f t="shared" ca="1" si="1"/>
        <v>8.2029095432138277</v>
      </c>
    </row>
    <row r="88" spans="2:6" x14ac:dyDescent="0.2">
      <c r="B88" s="1">
        <f ca="1">IFERROR(__xludf.DUMMYFUNCTION("""COMPUTED_VALUE"""),44.91)</f>
        <v>44.91</v>
      </c>
      <c r="C88" s="1">
        <f ca="1"/>
        <v>1</v>
      </c>
      <c r="E88" s="1">
        <f t="shared" ca="1" si="0"/>
        <v>1.3017106520355372E-2</v>
      </c>
      <c r="F88" s="1">
        <f t="shared" ca="1" si="1"/>
        <v>8.226811320864595</v>
      </c>
    </row>
    <row r="89" spans="2:6" x14ac:dyDescent="0.2">
      <c r="B89" s="1">
        <f ca="1">IFERROR(__xludf.DUMMYFUNCTION("""COMPUTED_VALUE"""),44.99)</f>
        <v>44.99</v>
      </c>
      <c r="C89" s="1">
        <f ca="1"/>
        <v>1</v>
      </c>
      <c r="E89" s="1">
        <f t="shared" ca="1" si="0"/>
        <v>1.3077633783207849E-2</v>
      </c>
      <c r="F89" s="1">
        <f t="shared" ca="1" si="1"/>
        <v>8.2650645509873613</v>
      </c>
    </row>
    <row r="90" spans="2:6" x14ac:dyDescent="0.2">
      <c r="B90" s="1">
        <f ca="1">IFERROR(__xludf.DUMMYFUNCTION("""COMPUTED_VALUE"""),45.04)</f>
        <v>45.04</v>
      </c>
      <c r="C90" s="1">
        <f ca="1"/>
        <v>1</v>
      </c>
      <c r="E90" s="1">
        <f t="shared" ca="1" si="0"/>
        <v>1.3115472703702198E-2</v>
      </c>
      <c r="F90" s="1">
        <f t="shared" ca="1" si="1"/>
        <v>8.2889787487397886</v>
      </c>
    </row>
    <row r="91" spans="2:6" x14ac:dyDescent="0.2">
      <c r="B91" s="1">
        <f ca="1">IFERROR(__xludf.DUMMYFUNCTION("""COMPUTED_VALUE"""),45.15)</f>
        <v>45.15</v>
      </c>
      <c r="C91" s="1">
        <f ca="1"/>
        <v>1</v>
      </c>
      <c r="E91" s="1">
        <f t="shared" ca="1" si="0"/>
        <v>1.3198740503538385E-2</v>
      </c>
      <c r="F91" s="1">
        <f t="shared" ca="1" si="1"/>
        <v>8.3416039982362591</v>
      </c>
    </row>
    <row r="92" spans="2:6" x14ac:dyDescent="0.2">
      <c r="B92" s="1">
        <f ca="1">IFERROR(__xludf.DUMMYFUNCTION("""COMPUTED_VALUE"""),45.45)</f>
        <v>45.45</v>
      </c>
      <c r="C92" s="1">
        <f ca="1"/>
        <v>1</v>
      </c>
      <c r="E92" s="1">
        <f t="shared" ca="1" si="0"/>
        <v>1.342594588851947E-2</v>
      </c>
      <c r="F92" s="1">
        <f t="shared" ca="1" si="1"/>
        <v>8.4851978015443041</v>
      </c>
    </row>
    <row r="93" spans="2:6" x14ac:dyDescent="0.2">
      <c r="B93" s="1">
        <f ca="1">IFERROR(__xludf.DUMMYFUNCTION("""COMPUTED_VALUE"""),45.62)</f>
        <v>45.62</v>
      </c>
      <c r="C93" s="1">
        <f ca="1"/>
        <v>1</v>
      </c>
      <c r="E93" s="1">
        <f t="shared" ca="1" si="0"/>
        <v>1.3554731921531397E-2</v>
      </c>
      <c r="F93" s="1">
        <f t="shared" ca="1" si="1"/>
        <v>8.5665905744078419</v>
      </c>
    </row>
    <row r="94" spans="2:6" x14ac:dyDescent="0.2">
      <c r="B94" s="1">
        <f ca="1">IFERROR(__xludf.DUMMYFUNCTION("""COMPUTED_VALUE"""),45.64)</f>
        <v>45.64</v>
      </c>
      <c r="C94" s="1">
        <f ca="1"/>
        <v>1</v>
      </c>
      <c r="E94" s="1">
        <f t="shared" ca="1" si="0"/>
        <v>1.3569883485758693E-2</v>
      </c>
      <c r="F94" s="1">
        <f t="shared" ca="1" si="1"/>
        <v>8.5761663629994942</v>
      </c>
    </row>
    <row r="95" spans="2:6" x14ac:dyDescent="0.2">
      <c r="B95" s="1">
        <f ca="1">IFERROR(__xludf.DUMMYFUNCTION("""COMPUTED_VALUE"""),45.76)</f>
        <v>45.76</v>
      </c>
      <c r="C95" s="1">
        <f ca="1"/>
        <v>1</v>
      </c>
      <c r="E95" s="1">
        <f t="shared" ca="1" si="0"/>
        <v>1.3660789926450744E-2</v>
      </c>
      <c r="F95" s="1">
        <f t="shared" ca="1" si="1"/>
        <v>8.6336192335168693</v>
      </c>
    </row>
    <row r="96" spans="2:6" x14ac:dyDescent="0.2">
      <c r="B96" s="1">
        <f ca="1">IFERROR(__xludf.DUMMYFUNCTION("""COMPUTED_VALUE"""),45.96)</f>
        <v>45.96</v>
      </c>
      <c r="C96" s="1">
        <f ca="1"/>
        <v>1</v>
      </c>
      <c r="E96" s="1">
        <f t="shared" ca="1" si="0"/>
        <v>1.3812272101091013E-2</v>
      </c>
      <c r="F96" s="1">
        <f t="shared" ca="1" si="1"/>
        <v>8.7293559678895196</v>
      </c>
    </row>
    <row r="97" spans="2:6" x14ac:dyDescent="0.2">
      <c r="B97" s="1">
        <f ca="1">IFERROR(__xludf.DUMMYFUNCTION("""COMPUTED_VALUE"""),45.98)</f>
        <v>45.98</v>
      </c>
      <c r="C97" s="1">
        <f ca="1"/>
        <v>1</v>
      </c>
      <c r="E97" s="1">
        <f t="shared" ca="1" si="0"/>
        <v>1.382741715703872E-2</v>
      </c>
      <c r="F97" s="1">
        <f t="shared" ca="1" si="1"/>
        <v>8.7389276432484717</v>
      </c>
    </row>
    <row r="98" spans="2:6" x14ac:dyDescent="0.2">
      <c r="B98" s="1">
        <f ca="1">IFERROR(__xludf.DUMMYFUNCTION("""COMPUTED_VALUE"""),46.03)</f>
        <v>46.03</v>
      </c>
      <c r="C98" s="1">
        <f ca="1"/>
        <v>1</v>
      </c>
      <c r="E98" s="1">
        <f t="shared" ca="1" si="0"/>
        <v>1.3865276521406143E-2</v>
      </c>
      <c r="F98" s="1">
        <f t="shared" ca="1" si="1"/>
        <v>8.7628547615286827</v>
      </c>
    </row>
    <row r="99" spans="2:6" x14ac:dyDescent="0.2">
      <c r="B99" s="1">
        <f ca="1">IFERROR(__xludf.DUMMYFUNCTION("""COMPUTED_VALUE"""),46.05)</f>
        <v>46.05</v>
      </c>
      <c r="C99" s="1">
        <f ca="1"/>
        <v>1</v>
      </c>
      <c r="E99" s="1">
        <f t="shared" ca="1" si="0"/>
        <v>1.3880418855151819E-2</v>
      </c>
      <c r="F99" s="1">
        <f t="shared" ca="1" si="1"/>
        <v>8.7724247164559497</v>
      </c>
    </row>
    <row r="100" spans="2:6" x14ac:dyDescent="0.2">
      <c r="B100" s="1">
        <f ca="1">IFERROR(__xludf.DUMMYFUNCTION("""COMPUTED_VALUE"""),46.3)</f>
        <v>46.3</v>
      </c>
      <c r="C100" s="1">
        <f ca="1"/>
        <v>1</v>
      </c>
      <c r="E100" s="1">
        <f t="shared" ca="1" si="0"/>
        <v>1.4069612422144939E-2</v>
      </c>
      <c r="F100" s="1">
        <f t="shared" ca="1" si="1"/>
        <v>8.891995050795602</v>
      </c>
    </row>
    <row r="101" spans="2:6" x14ac:dyDescent="0.2">
      <c r="B101" s="1">
        <f ca="1">IFERROR(__xludf.DUMMYFUNCTION("""COMPUTED_VALUE"""),46.33)</f>
        <v>46.33</v>
      </c>
      <c r="C101" s="1">
        <f ca="1"/>
        <v>1</v>
      </c>
      <c r="E101" s="1">
        <f t="shared" ca="1" si="0"/>
        <v>1.4092302943578423E-2</v>
      </c>
      <c r="F101" s="1">
        <f t="shared" ca="1" si="1"/>
        <v>8.9063354603415625</v>
      </c>
    </row>
    <row r="102" spans="2:6" x14ac:dyDescent="0.2">
      <c r="B102" s="1">
        <f ca="1">IFERROR(__xludf.DUMMYFUNCTION("""COMPUTED_VALUE"""),46.42)</f>
        <v>46.42</v>
      </c>
      <c r="C102" s="1">
        <f ca="1"/>
        <v>1</v>
      </c>
      <c r="E102" s="1">
        <f t="shared" ca="1" si="0"/>
        <v>1.4160354899114824E-2</v>
      </c>
      <c r="F102" s="1">
        <f t="shared" ca="1" si="1"/>
        <v>8.949344296240568</v>
      </c>
    </row>
    <row r="103" spans="2:6" x14ac:dyDescent="0.2">
      <c r="B103" s="1">
        <f ca="1">IFERROR(__xludf.DUMMYFUNCTION("""COMPUTED_VALUE"""),46.46)</f>
        <v>46.46</v>
      </c>
      <c r="C103" s="1">
        <f ca="1"/>
        <v>2</v>
      </c>
      <c r="E103" s="1">
        <f t="shared" ca="1" si="0"/>
        <v>1.4190590086937228E-2</v>
      </c>
      <c r="F103" s="1">
        <f t="shared" ca="1" si="1"/>
        <v>8.9684529349443274</v>
      </c>
    </row>
    <row r="104" spans="2:6" x14ac:dyDescent="0.2">
      <c r="B104" s="1">
        <f ca="1">IFERROR(__xludf.DUMMYFUNCTION("""COMPUTED_VALUE"""),46.5)</f>
        <v>46.5</v>
      </c>
      <c r="C104" s="1">
        <f ca="1"/>
        <v>1</v>
      </c>
      <c r="E104" s="1">
        <f t="shared" ca="1" si="0"/>
        <v>1.4220818594944735E-2</v>
      </c>
      <c r="F104" s="1">
        <f t="shared" ca="1" si="1"/>
        <v>8.9875573520050729</v>
      </c>
    </row>
    <row r="105" spans="2:6" x14ac:dyDescent="0.2">
      <c r="B105" s="1">
        <f ca="1">IFERROR(__xludf.DUMMYFUNCTION("""COMPUTED_VALUE"""),46.52)</f>
        <v>46.52</v>
      </c>
      <c r="C105" s="1">
        <f ca="1"/>
        <v>1</v>
      </c>
      <c r="E105" s="1">
        <f t="shared" ca="1" si="0"/>
        <v>1.4235930244851315E-2</v>
      </c>
      <c r="F105" s="1">
        <f t="shared" ca="1" si="1"/>
        <v>8.9971079147460316</v>
      </c>
    </row>
    <row r="106" spans="2:6" x14ac:dyDescent="0.2">
      <c r="B106" s="1">
        <f ca="1">IFERROR(__xludf.DUMMYFUNCTION("""COMPUTED_VALUE"""),46.61)</f>
        <v>46.61</v>
      </c>
      <c r="C106" s="1">
        <f ca="1"/>
        <v>1</v>
      </c>
      <c r="E106" s="1">
        <f t="shared" ca="1" si="0"/>
        <v>1.430390995582591E-2</v>
      </c>
      <c r="F106" s="1">
        <f t="shared" ca="1" si="1"/>
        <v>9.0400710920819751</v>
      </c>
    </row>
    <row r="107" spans="2:6" x14ac:dyDescent="0.2">
      <c r="B107" s="1">
        <f ca="1">IFERROR(__xludf.DUMMYFUNCTION("""COMPUTED_VALUE"""),46.64)</f>
        <v>46.64</v>
      </c>
      <c r="C107" s="1">
        <f ca="1"/>
        <v>1</v>
      </c>
      <c r="E107" s="1">
        <f t="shared" ca="1" si="0"/>
        <v>1.4326561181770645E-2</v>
      </c>
      <c r="F107" s="1">
        <f t="shared" ca="1" si="1"/>
        <v>9.0543866668790471</v>
      </c>
    </row>
    <row r="108" spans="2:6" x14ac:dyDescent="0.2">
      <c r="B108" s="1">
        <f ca="1">IFERROR(__xludf.DUMMYFUNCTION("""COMPUTED_VALUE"""),46.67)</f>
        <v>46.67</v>
      </c>
      <c r="C108" s="1">
        <f ca="1"/>
        <v>1</v>
      </c>
      <c r="E108" s="1">
        <f t="shared" ca="1" si="0"/>
        <v>1.4349207844394469E-2</v>
      </c>
      <c r="F108" s="1">
        <f t="shared" ca="1" si="1"/>
        <v>9.0686993576573034</v>
      </c>
    </row>
    <row r="109" spans="2:6" x14ac:dyDescent="0.2">
      <c r="B109" s="1">
        <f ca="1">IFERROR(__xludf.DUMMYFUNCTION("""COMPUTED_VALUE"""),46.69)</f>
        <v>46.69</v>
      </c>
      <c r="C109" s="1">
        <f ca="1"/>
        <v>1</v>
      </c>
      <c r="E109" s="1">
        <f t="shared" ca="1" si="0"/>
        <v>1.4364303017668256E-2</v>
      </c>
      <c r="F109" s="1">
        <f t="shared" ca="1" si="1"/>
        <v>9.0782395071663373</v>
      </c>
    </row>
    <row r="110" spans="2:6" x14ac:dyDescent="0.2">
      <c r="B110" s="1">
        <f ca="1">IFERROR(__xludf.DUMMYFUNCTION("""COMPUTED_VALUE"""),46.73)</f>
        <v>46.73</v>
      </c>
      <c r="C110" s="1">
        <f ca="1"/>
        <v>1</v>
      </c>
      <c r="E110" s="1">
        <f t="shared" ca="1" si="0"/>
        <v>1.4394486939741281E-2</v>
      </c>
      <c r="F110" s="1">
        <f t="shared" ca="1" si="1"/>
        <v>9.0973157459164895</v>
      </c>
    </row>
    <row r="111" spans="2:6" x14ac:dyDescent="0.2">
      <c r="B111" s="1">
        <f ca="1">IFERROR(__xludf.DUMMYFUNCTION("""COMPUTED_VALUE"""),46.82)</f>
        <v>46.82</v>
      </c>
      <c r="C111" s="1">
        <f ca="1"/>
        <v>1</v>
      </c>
      <c r="E111" s="1">
        <f t="shared" ca="1" si="0"/>
        <v>1.4462367978716967E-2</v>
      </c>
      <c r="F111" s="1">
        <f t="shared" ca="1" si="1"/>
        <v>9.1402165625491225</v>
      </c>
    </row>
    <row r="112" spans="2:6" x14ac:dyDescent="0.2">
      <c r="B112" s="1">
        <f ca="1">IFERROR(__xludf.DUMMYFUNCTION("""COMPUTED_VALUE"""),46.92)</f>
        <v>46.92</v>
      </c>
      <c r="C112" s="1">
        <f ca="1"/>
        <v>1</v>
      </c>
      <c r="E112" s="1">
        <f t="shared" ca="1" si="0"/>
        <v>1.4537734452806893E-2</v>
      </c>
      <c r="F112" s="1">
        <f t="shared" ca="1" si="1"/>
        <v>9.1878481741739559</v>
      </c>
    </row>
    <row r="113" spans="2:6" x14ac:dyDescent="0.2">
      <c r="B113" s="1">
        <f ca="1">IFERROR(__xludf.DUMMYFUNCTION("""COMPUTED_VALUE"""),46.93)</f>
        <v>46.93</v>
      </c>
      <c r="C113" s="1">
        <f ca="1"/>
        <v>1</v>
      </c>
      <c r="E113" s="1">
        <f t="shared" ca="1" si="0"/>
        <v>1.4545267621105504E-2</v>
      </c>
      <c r="F113" s="1">
        <f t="shared" ca="1" si="1"/>
        <v>9.1926091365386782</v>
      </c>
    </row>
    <row r="114" spans="2:6" x14ac:dyDescent="0.2">
      <c r="B114" s="1">
        <f ca="1">IFERROR(__xludf.DUMMYFUNCTION("""COMPUTED_VALUE"""),47.04)</f>
        <v>47.04</v>
      </c>
      <c r="C114" s="1">
        <f ca="1"/>
        <v>2</v>
      </c>
      <c r="E114" s="1">
        <f t="shared" ca="1" si="0"/>
        <v>1.4628088276733248E-2</v>
      </c>
      <c r="F114" s="1">
        <f t="shared" ca="1" si="1"/>
        <v>9.2449517908954135</v>
      </c>
    </row>
    <row r="115" spans="2:6" x14ac:dyDescent="0.2">
      <c r="B115" s="1">
        <f ca="1">IFERROR(__xludf.DUMMYFUNCTION("""COMPUTED_VALUE"""),47.08)</f>
        <v>47.08</v>
      </c>
      <c r="C115" s="1">
        <f ca="1"/>
        <v>1</v>
      </c>
      <c r="E115" s="1">
        <f t="shared" ca="1" si="0"/>
        <v>1.4658183979070259E-2</v>
      </c>
      <c r="F115" s="1">
        <f t="shared" ca="1" si="1"/>
        <v>9.2639722747724029</v>
      </c>
    </row>
    <row r="116" spans="2:6" x14ac:dyDescent="0.2">
      <c r="B116" s="1">
        <f ca="1">IFERROR(__xludf.DUMMYFUNCTION("""COMPUTED_VALUE"""),47.09)</f>
        <v>47.09</v>
      </c>
      <c r="C116" s="1">
        <f ca="1"/>
        <v>1</v>
      </c>
      <c r="E116" s="1">
        <f t="shared" ca="1" si="0"/>
        <v>1.4665706095336392E-2</v>
      </c>
      <c r="F116" s="1">
        <f t="shared" ca="1" si="1"/>
        <v>9.2687262522526002</v>
      </c>
    </row>
    <row r="117" spans="2:6" x14ac:dyDescent="0.2">
      <c r="B117" s="1">
        <f ca="1">IFERROR(__xludf.DUMMYFUNCTION("""COMPUTED_VALUE"""),47.15)</f>
        <v>47.15</v>
      </c>
      <c r="C117" s="1">
        <f ca="1"/>
        <v>2</v>
      </c>
      <c r="E117" s="1">
        <f t="shared" ca="1" si="0"/>
        <v>1.4710823203013815E-2</v>
      </c>
      <c r="F117" s="1">
        <f t="shared" ca="1" si="1"/>
        <v>9.2972402643047314</v>
      </c>
    </row>
    <row r="118" spans="2:6" x14ac:dyDescent="0.2">
      <c r="B118" s="1">
        <f ca="1">IFERROR(__xludf.DUMMYFUNCTION("""COMPUTED_VALUE"""),47.17)</f>
        <v>47.17</v>
      </c>
      <c r="C118" s="1">
        <f ca="1"/>
        <v>1</v>
      </c>
      <c r="E118" s="1">
        <f t="shared" ca="1" si="0"/>
        <v>1.4725856177668535E-2</v>
      </c>
      <c r="F118" s="1">
        <f t="shared" ca="1" si="1"/>
        <v>9.3067411042865142</v>
      </c>
    </row>
    <row r="119" spans="2:6" x14ac:dyDescent="0.2">
      <c r="B119" s="1">
        <f ca="1">IFERROR(__xludf.DUMMYFUNCTION("""COMPUTED_VALUE"""),47.19)</f>
        <v>47.19</v>
      </c>
      <c r="C119" s="1">
        <f ca="1"/>
        <v>1</v>
      </c>
      <c r="E119" s="1">
        <f t="shared" ca="1" si="0"/>
        <v>1.4740886053734423E-2</v>
      </c>
      <c r="F119" s="1">
        <f t="shared" ca="1" si="1"/>
        <v>9.3162399859601557</v>
      </c>
    </row>
    <row r="120" spans="2:6" x14ac:dyDescent="0.2">
      <c r="B120" s="1">
        <f ca="1">IFERROR(__xludf.DUMMYFUNCTION("""COMPUTED_VALUE"""),47.46)</f>
        <v>47.46</v>
      </c>
      <c r="C120" s="1">
        <f ca="1"/>
        <v>1</v>
      </c>
      <c r="E120" s="1">
        <f t="shared" ca="1" si="0"/>
        <v>1.4943465413964886E-2</v>
      </c>
      <c r="F120" s="1">
        <f t="shared" ca="1" si="1"/>
        <v>9.4442701416258075</v>
      </c>
    </row>
    <row r="121" spans="2:6" x14ac:dyDescent="0.2">
      <c r="B121" s="1">
        <f ca="1">IFERROR(__xludf.DUMMYFUNCTION("""COMPUTED_VALUE"""),47.52)</f>
        <v>47.52</v>
      </c>
      <c r="C121" s="1">
        <f ca="1"/>
        <v>2</v>
      </c>
      <c r="E121" s="1">
        <f t="shared" ca="1" si="0"/>
        <v>1.4988395199978308E-2</v>
      </c>
      <c r="F121" s="1">
        <f t="shared" ca="1" si="1"/>
        <v>9.4726657663862905</v>
      </c>
    </row>
    <row r="122" spans="2:6" x14ac:dyDescent="0.2">
      <c r="B122" s="1">
        <f ca="1">IFERROR(__xludf.DUMMYFUNCTION("""COMPUTED_VALUE"""),47.56)</f>
        <v>47.56</v>
      </c>
      <c r="C122" s="1">
        <f ca="1"/>
        <v>1</v>
      </c>
      <c r="E122" s="1">
        <f t="shared" ca="1" si="0"/>
        <v>1.5018329373234005E-2</v>
      </c>
      <c r="F122" s="1">
        <f t="shared" ca="1" si="1"/>
        <v>9.4915841638838909</v>
      </c>
    </row>
    <row r="123" spans="2:6" x14ac:dyDescent="0.2">
      <c r="B123" s="1">
        <f ca="1">IFERROR(__xludf.DUMMYFUNCTION("""COMPUTED_VALUE"""),47.6)</f>
        <v>47.6</v>
      </c>
      <c r="C123" s="1">
        <f ca="1"/>
        <v>1</v>
      </c>
      <c r="E123" s="1">
        <f t="shared" ca="1" si="0"/>
        <v>1.5048247946802238E-2</v>
      </c>
      <c r="F123" s="1">
        <f t="shared" ca="1" si="1"/>
        <v>9.5104927023790147</v>
      </c>
    </row>
    <row r="124" spans="2:6" x14ac:dyDescent="0.2">
      <c r="B124" s="1">
        <f ca="1">IFERROR(__xludf.DUMMYFUNCTION("""COMPUTED_VALUE"""),47.95)</f>
        <v>47.95</v>
      </c>
      <c r="C124" s="1">
        <f ca="1"/>
        <v>1</v>
      </c>
      <c r="E124" s="1">
        <f t="shared" ca="1" si="0"/>
        <v>1.5309319306903185E-2</v>
      </c>
      <c r="F124" s="1">
        <f t="shared" ca="1" si="1"/>
        <v>9.6754898019628133</v>
      </c>
    </row>
    <row r="125" spans="2:6" x14ac:dyDescent="0.2">
      <c r="B125" s="1">
        <f ca="1">IFERROR(__xludf.DUMMYFUNCTION("""COMPUTED_VALUE"""),47.97)</f>
        <v>47.97</v>
      </c>
      <c r="C125" s="1">
        <f ca="1"/>
        <v>1</v>
      </c>
      <c r="E125" s="1">
        <f t="shared" ca="1" si="0"/>
        <v>1.5324196214184949E-2</v>
      </c>
      <c r="F125" s="1">
        <f t="shared" ca="1" si="1"/>
        <v>9.6848920073648888</v>
      </c>
    </row>
    <row r="126" spans="2:6" x14ac:dyDescent="0.2">
      <c r="B126" s="1">
        <f ca="1">IFERROR(__xludf.DUMMYFUNCTION("""COMPUTED_VALUE"""),48)</f>
        <v>48</v>
      </c>
      <c r="C126" s="1">
        <f ca="1"/>
        <v>1</v>
      </c>
      <c r="E126" s="1">
        <f t="shared" ca="1" si="0"/>
        <v>1.5346502649779114E-2</v>
      </c>
      <c r="F126" s="1">
        <f t="shared" ca="1" si="1"/>
        <v>9.6989896746603996</v>
      </c>
    </row>
    <row r="127" spans="2:6" x14ac:dyDescent="0.2">
      <c r="B127" s="1">
        <f ca="1">IFERROR(__xludf.DUMMYFUNCTION("""COMPUTED_VALUE"""),48.14)</f>
        <v>48.14</v>
      </c>
      <c r="C127" s="1">
        <f ca="1"/>
        <v>2</v>
      </c>
      <c r="E127" s="1">
        <f t="shared" ca="1" si="0"/>
        <v>1.5450453784744177E-2</v>
      </c>
      <c r="F127" s="1">
        <f t="shared" ca="1" si="1"/>
        <v>9.7646867919583205</v>
      </c>
    </row>
    <row r="128" spans="2:6" x14ac:dyDescent="0.2">
      <c r="B128" s="1">
        <f ca="1">IFERROR(__xludf.DUMMYFUNCTION("""COMPUTED_VALUE"""),48.18)</f>
        <v>48.18</v>
      </c>
      <c r="C128" s="1">
        <f ca="1"/>
        <v>1</v>
      </c>
      <c r="E128" s="1">
        <f t="shared" ca="1" si="0"/>
        <v>1.5480108750215157E-2</v>
      </c>
      <c r="F128" s="1">
        <f t="shared" ca="1" si="1"/>
        <v>9.783428730135979</v>
      </c>
    </row>
    <row r="129" spans="2:6" x14ac:dyDescent="0.2">
      <c r="B129" s="1">
        <f ca="1">IFERROR(__xludf.DUMMYFUNCTION("""COMPUTED_VALUE"""),48.29)</f>
        <v>48.29</v>
      </c>
      <c r="C129" s="1">
        <f ca="1"/>
        <v>2</v>
      </c>
      <c r="E129" s="1">
        <f t="shared" ca="1" si="0"/>
        <v>1.5561551764193438E-2</v>
      </c>
      <c r="F129" s="1">
        <f t="shared" ca="1" si="1"/>
        <v>9.834900714970253</v>
      </c>
    </row>
    <row r="130" spans="2:6" x14ac:dyDescent="0.2">
      <c r="B130" s="1">
        <f ca="1">IFERROR(__xludf.DUMMYFUNCTION("""COMPUTED_VALUE"""),48.34)</f>
        <v>48.34</v>
      </c>
      <c r="C130" s="1">
        <f ca="1"/>
        <v>1</v>
      </c>
      <c r="E130" s="1">
        <f t="shared" ca="1" si="0"/>
        <v>1.5598517478719353E-2</v>
      </c>
      <c r="F130" s="1">
        <f t="shared" ca="1" si="1"/>
        <v>9.8582630465506309</v>
      </c>
    </row>
    <row r="131" spans="2:6" x14ac:dyDescent="0.2">
      <c r="B131" s="1">
        <f ca="1">IFERROR(__xludf.DUMMYFUNCTION("""COMPUTED_VALUE"""),48.39)</f>
        <v>48.39</v>
      </c>
      <c r="C131" s="1">
        <f ca="1"/>
        <v>1</v>
      </c>
      <c r="E131" s="1">
        <f t="shared" ca="1" si="0"/>
        <v>1.5635448621384582E-2</v>
      </c>
      <c r="F131" s="1">
        <f t="shared" ca="1" si="1"/>
        <v>9.8816035287150559</v>
      </c>
    </row>
    <row r="132" spans="2:6" x14ac:dyDescent="0.2">
      <c r="B132" s="1">
        <f ca="1">IFERROR(__xludf.DUMMYFUNCTION("""COMPUTED_VALUE"""),48.42)</f>
        <v>48.42</v>
      </c>
      <c r="C132" s="1">
        <f ca="1"/>
        <v>1</v>
      </c>
      <c r="E132" s="1">
        <f t="shared" ca="1" si="0"/>
        <v>1.5657590437683055E-2</v>
      </c>
      <c r="F132" s="1">
        <f t="shared" ca="1" si="1"/>
        <v>9.8955971566156915</v>
      </c>
    </row>
    <row r="133" spans="2:6" x14ac:dyDescent="0.2">
      <c r="B133" s="1">
        <f ca="1">IFERROR(__xludf.DUMMYFUNCTION("""COMPUTED_VALUE"""),48.54)</f>
        <v>48.54</v>
      </c>
      <c r="C133" s="1">
        <f ca="1"/>
        <v>2</v>
      </c>
      <c r="E133" s="1">
        <f t="shared" ca="1" si="0"/>
        <v>1.5746028007879363E-2</v>
      </c>
      <c r="F133" s="1">
        <f t="shared" ca="1" si="1"/>
        <v>9.9514897009797565</v>
      </c>
    </row>
    <row r="134" spans="2:6" x14ac:dyDescent="0.2">
      <c r="B134" s="1">
        <f ca="1">IFERROR(__xludf.DUMMYFUNCTION("""COMPUTED_VALUE"""),48.63)</f>
        <v>48.63</v>
      </c>
      <c r="C134" s="1">
        <f ca="1"/>
        <v>1</v>
      </c>
      <c r="E134" s="1">
        <f t="shared" ca="1" si="0"/>
        <v>1.5812215998789587E-2</v>
      </c>
      <c r="F134" s="1">
        <f t="shared" ca="1" si="1"/>
        <v>9.9933205112350194</v>
      </c>
    </row>
    <row r="135" spans="2:6" x14ac:dyDescent="0.2">
      <c r="B135" s="1">
        <f ca="1">IFERROR(__xludf.DUMMYFUNCTION("""COMPUTED_VALUE"""),48.67)</f>
        <v>48.67</v>
      </c>
      <c r="C135" s="1">
        <f ca="1"/>
        <v>1</v>
      </c>
      <c r="E135" s="1">
        <f t="shared" ca="1" si="0"/>
        <v>1.5841593163705096E-2</v>
      </c>
      <c r="F135" s="1">
        <f t="shared" ca="1" si="1"/>
        <v>10.01188687946162</v>
      </c>
    </row>
    <row r="136" spans="2:6" x14ac:dyDescent="0.2">
      <c r="B136" s="1">
        <f ca="1">IFERROR(__xludf.DUMMYFUNCTION("""COMPUTED_VALUE"""),48.68)</f>
        <v>48.68</v>
      </c>
      <c r="C136" s="1">
        <f ca="1"/>
        <v>1</v>
      </c>
      <c r="E136" s="1">
        <f t="shared" ca="1" si="0"/>
        <v>1.5848933573704704E-2</v>
      </c>
      <c r="F136" s="1">
        <f t="shared" ca="1" si="1"/>
        <v>10.016526018581374</v>
      </c>
    </row>
    <row r="137" spans="2:6" x14ac:dyDescent="0.2">
      <c r="B137" s="1">
        <f ca="1">IFERROR(__xludf.DUMMYFUNCTION("""COMPUTED_VALUE"""),48.74)</f>
        <v>48.74</v>
      </c>
      <c r="C137" s="1">
        <f ca="1"/>
        <v>1</v>
      </c>
      <c r="E137" s="1">
        <f t="shared" ca="1" si="0"/>
        <v>1.589294302175431E-2</v>
      </c>
      <c r="F137" s="1">
        <f t="shared" ca="1" si="1"/>
        <v>10.044339989748725</v>
      </c>
    </row>
    <row r="138" spans="2:6" x14ac:dyDescent="0.2">
      <c r="B138" s="1">
        <f ca="1">IFERROR(__xludf.DUMMYFUNCTION("""COMPUTED_VALUE"""),48.79)</f>
        <v>48.79</v>
      </c>
      <c r="C138" s="1">
        <f ca="1"/>
        <v>1</v>
      </c>
      <c r="E138" s="1">
        <f t="shared" ca="1" si="0"/>
        <v>1.5929573746257138E-2</v>
      </c>
      <c r="F138" s="1">
        <f t="shared" ca="1" si="1"/>
        <v>10.067490607634511</v>
      </c>
    </row>
    <row r="139" spans="2:6" x14ac:dyDescent="0.2">
      <c r="B139" s="1">
        <f ca="1">IFERROR(__xludf.DUMMYFUNCTION("""COMPUTED_VALUE"""),48.85)</f>
        <v>48.85</v>
      </c>
      <c r="C139" s="1">
        <f ca="1"/>
        <v>1</v>
      </c>
      <c r="E139" s="1">
        <f t="shared" ca="1" si="0"/>
        <v>1.5973477040680119E-2</v>
      </c>
      <c r="F139" s="1">
        <f t="shared" ca="1" si="1"/>
        <v>10.095237489709834</v>
      </c>
    </row>
    <row r="140" spans="2:6" x14ac:dyDescent="0.2">
      <c r="B140" s="1">
        <f ca="1">IFERROR(__xludf.DUMMYFUNCTION("""COMPUTED_VALUE"""),48.94)</f>
        <v>48.94</v>
      </c>
      <c r="C140" s="1">
        <f ca="1"/>
        <v>1</v>
      </c>
      <c r="E140" s="1">
        <f t="shared" ca="1" si="0"/>
        <v>1.6039219996838841E-2</v>
      </c>
      <c r="F140" s="1">
        <f t="shared" ca="1" si="1"/>
        <v>10.136787038002147</v>
      </c>
    </row>
    <row r="141" spans="2:6" x14ac:dyDescent="0.2">
      <c r="B141" s="1">
        <f ca="1">IFERROR(__xludf.DUMMYFUNCTION("""COMPUTED_VALUE"""),48.95)</f>
        <v>48.95</v>
      </c>
      <c r="C141" s="1">
        <f ca="1"/>
        <v>1</v>
      </c>
      <c r="E141" s="1">
        <f t="shared" ca="1" si="0"/>
        <v>1.6046516332161472E-2</v>
      </c>
      <c r="F141" s="1">
        <f t="shared" ca="1" si="1"/>
        <v>10.141398321926051</v>
      </c>
    </row>
    <row r="142" spans="2:6" x14ac:dyDescent="0.2">
      <c r="B142" s="1">
        <f ca="1">IFERROR(__xludf.DUMMYFUNCTION("""COMPUTED_VALUE"""),48.97)</f>
        <v>48.97</v>
      </c>
      <c r="C142" s="1">
        <f ca="1"/>
        <v>1</v>
      </c>
      <c r="E142" s="1">
        <f t="shared" ca="1" si="0"/>
        <v>1.6061103876146489E-2</v>
      </c>
      <c r="F142" s="1">
        <f t="shared" ca="1" si="1"/>
        <v>10.15061764972458</v>
      </c>
    </row>
    <row r="143" spans="2:6" x14ac:dyDescent="0.2">
      <c r="B143" s="1">
        <f ca="1">IFERROR(__xludf.DUMMYFUNCTION("""COMPUTED_VALUE"""),48.99)</f>
        <v>48.99</v>
      </c>
      <c r="C143" s="1">
        <f ca="1"/>
        <v>2</v>
      </c>
      <c r="E143" s="1">
        <f t="shared" ca="1" si="0"/>
        <v>1.6075684548948505E-2</v>
      </c>
      <c r="F143" s="1">
        <f t="shared" ca="1" si="1"/>
        <v>10.159832634935455</v>
      </c>
    </row>
    <row r="144" spans="2:6" x14ac:dyDescent="0.2">
      <c r="B144" s="1">
        <f ca="1">IFERROR(__xludf.DUMMYFUNCTION("""COMPUTED_VALUE"""),49.23)</f>
        <v>49.23</v>
      </c>
      <c r="C144" s="1">
        <f ca="1"/>
        <v>1</v>
      </c>
      <c r="E144" s="1">
        <f t="shared" ca="1" si="0"/>
        <v>1.6250101087914571E-2</v>
      </c>
      <c r="F144" s="1">
        <f t="shared" ca="1" si="1"/>
        <v>10.270063887562008</v>
      </c>
    </row>
    <row r="145" spans="2:6" x14ac:dyDescent="0.2">
      <c r="B145" s="1">
        <f ca="1">IFERROR(__xludf.DUMMYFUNCTION("""COMPUTED_VALUE"""),49.24)</f>
        <v>49.24</v>
      </c>
      <c r="C145" s="1">
        <f ca="1"/>
        <v>1</v>
      </c>
      <c r="E145" s="1">
        <f t="shared" ca="1" si="0"/>
        <v>1.6257345744356951E-2</v>
      </c>
      <c r="F145" s="1">
        <f t="shared" ca="1" si="1"/>
        <v>10.274642510433592</v>
      </c>
    </row>
    <row r="146" spans="2:6" x14ac:dyDescent="0.2">
      <c r="B146" s="1">
        <f ca="1">IFERROR(__xludf.DUMMYFUNCTION("""COMPUTED_VALUE"""),49.28)</f>
        <v>49.28</v>
      </c>
      <c r="C146" s="1">
        <f ca="1"/>
        <v>2</v>
      </c>
      <c r="E146" s="1">
        <f t="shared" ca="1" si="0"/>
        <v>1.6286305692325077E-2</v>
      </c>
      <c r="F146" s="1">
        <f t="shared" ca="1" si="1"/>
        <v>10.292945197549448</v>
      </c>
    </row>
    <row r="147" spans="2:6" x14ac:dyDescent="0.2">
      <c r="B147" s="1">
        <f ca="1">IFERROR(__xludf.DUMMYFUNCTION("""COMPUTED_VALUE"""),49.36)</f>
        <v>49.36</v>
      </c>
      <c r="C147" s="1">
        <f ca="1"/>
        <v>1</v>
      </c>
      <c r="E147" s="1">
        <f t="shared" ca="1" si="0"/>
        <v>1.634413481826771E-2</v>
      </c>
      <c r="F147" s="1">
        <f t="shared" ca="1" si="1"/>
        <v>10.329493205145193</v>
      </c>
    </row>
    <row r="148" spans="2:6" x14ac:dyDescent="0.2">
      <c r="B148" s="1">
        <f ca="1">IFERROR(__xludf.DUMMYFUNCTION("""COMPUTED_VALUE"""),49.63)</f>
        <v>49.63</v>
      </c>
      <c r="C148" s="1">
        <f ca="1"/>
        <v>2</v>
      </c>
      <c r="E148" s="1">
        <f t="shared" ca="1" si="0"/>
        <v>1.6538381593052574E-2</v>
      </c>
      <c r="F148" s="1">
        <f t="shared" ca="1" si="1"/>
        <v>10.452257166809227</v>
      </c>
    </row>
    <row r="149" spans="2:6" x14ac:dyDescent="0.2">
      <c r="B149" s="1">
        <f ca="1">IFERROR(__xludf.DUMMYFUNCTION("""COMPUTED_VALUE"""),49.64)</f>
        <v>49.64</v>
      </c>
      <c r="C149" s="1">
        <f ca="1"/>
        <v>2</v>
      </c>
      <c r="E149" s="1">
        <f t="shared" ca="1" si="0"/>
        <v>1.6545547561786059E-2</v>
      </c>
      <c r="F149" s="1">
        <f t="shared" ca="1" si="1"/>
        <v>10.45678605904879</v>
      </c>
    </row>
    <row r="150" spans="2:6" x14ac:dyDescent="0.2">
      <c r="B150" s="1">
        <f ca="1">IFERROR(__xludf.DUMMYFUNCTION("""COMPUTED_VALUE"""),49.66)</f>
        <v>49.66</v>
      </c>
      <c r="C150" s="1">
        <f ca="1"/>
        <v>1</v>
      </c>
      <c r="E150" s="1">
        <f t="shared" ca="1" si="0"/>
        <v>1.6559873261412283E-2</v>
      </c>
      <c r="F150" s="1">
        <f t="shared" ca="1" si="1"/>
        <v>10.465839901212563</v>
      </c>
    </row>
    <row r="151" spans="2:6" x14ac:dyDescent="0.2">
      <c r="B151" s="1">
        <f ca="1">IFERROR(__xludf.DUMMYFUNCTION("""COMPUTED_VALUE"""),49.7)</f>
        <v>49.7</v>
      </c>
      <c r="C151" s="1">
        <f ca="1"/>
        <v>2</v>
      </c>
      <c r="E151" s="1">
        <f t="shared" ca="1" si="0"/>
        <v>1.6588499558471474E-2</v>
      </c>
      <c r="F151" s="1">
        <f t="shared" ca="1" si="1"/>
        <v>10.48393172095397</v>
      </c>
    </row>
    <row r="152" spans="2:6" x14ac:dyDescent="0.2">
      <c r="B152" s="1">
        <f ca="1">IFERROR(__xludf.DUMMYFUNCTION("""COMPUTED_VALUE"""),49.81)</f>
        <v>49.81</v>
      </c>
      <c r="C152" s="1">
        <f ca="1"/>
        <v>1</v>
      </c>
      <c r="E152" s="1">
        <f t="shared" ca="1" si="0"/>
        <v>1.6667046778743692E-2</v>
      </c>
      <c r="F152" s="1">
        <f t="shared" ca="1" si="1"/>
        <v>10.533573564166014</v>
      </c>
    </row>
    <row r="153" spans="2:6" x14ac:dyDescent="0.2">
      <c r="B153" s="1">
        <f ca="1">IFERROR(__xludf.DUMMYFUNCTION("""COMPUTED_VALUE"""),50)</f>
        <v>50</v>
      </c>
      <c r="C153" s="1">
        <f ca="1"/>
        <v>4</v>
      </c>
      <c r="E153" s="1">
        <f t="shared" ca="1" si="0"/>
        <v>1.6802096957654878E-2</v>
      </c>
      <c r="F153" s="1">
        <f t="shared" ca="1" si="1"/>
        <v>10.618925277237883</v>
      </c>
    </row>
    <row r="154" spans="2:6" x14ac:dyDescent="0.2">
      <c r="B154" s="1">
        <f ca="1">IFERROR(__xludf.DUMMYFUNCTION("""COMPUTED_VALUE"""),50.08)</f>
        <v>50.08</v>
      </c>
      <c r="C154" s="1">
        <f ca="1"/>
        <v>1</v>
      </c>
      <c r="E154" s="1">
        <f t="shared" ca="1" si="0"/>
        <v>1.6858716996322309E-2</v>
      </c>
      <c r="F154" s="1">
        <f t="shared" ca="1" si="1"/>
        <v>10.654709141675699</v>
      </c>
    </row>
    <row r="155" spans="2:6" x14ac:dyDescent="0.2">
      <c r="B155" s="1">
        <f ca="1">IFERROR(__xludf.DUMMYFUNCTION("""COMPUTED_VALUE"""),50.11)</f>
        <v>50.11</v>
      </c>
      <c r="C155" s="1">
        <f ca="1"/>
        <v>1</v>
      </c>
      <c r="E155" s="1">
        <f t="shared" ca="1" si="0"/>
        <v>1.6879911465843892E-2</v>
      </c>
      <c r="F155" s="1">
        <f t="shared" ca="1" si="1"/>
        <v>10.66810404641334</v>
      </c>
    </row>
    <row r="156" spans="2:6" x14ac:dyDescent="0.2">
      <c r="B156" s="1">
        <f ca="1">IFERROR(__xludf.DUMMYFUNCTION("""COMPUTED_VALUE"""),50.27)</f>
        <v>50.27</v>
      </c>
      <c r="C156" s="1">
        <f ca="1"/>
        <v>1</v>
      </c>
      <c r="E156" s="1">
        <f t="shared" ca="1" si="0"/>
        <v>1.699259077898627E-2</v>
      </c>
      <c r="F156" s="1">
        <f t="shared" ca="1" si="1"/>
        <v>10.739317372319322</v>
      </c>
    </row>
    <row r="157" spans="2:6" x14ac:dyDescent="0.2">
      <c r="B157" s="1">
        <f ca="1">IFERROR(__xludf.DUMMYFUNCTION("""COMPUTED_VALUE"""),50.32)</f>
        <v>50.32</v>
      </c>
      <c r="C157" s="1">
        <f ca="1"/>
        <v>1</v>
      </c>
      <c r="E157" s="1">
        <f t="shared" ca="1" si="0"/>
        <v>1.7027677195459511E-2</v>
      </c>
      <c r="F157" s="1">
        <f t="shared" ca="1" si="1"/>
        <v>10.761491987530411</v>
      </c>
    </row>
    <row r="158" spans="2:6" x14ac:dyDescent="0.2">
      <c r="B158" s="1">
        <f ca="1">IFERROR(__xludf.DUMMYFUNCTION("""COMPUTED_VALUE"""),50.36)</f>
        <v>50.36</v>
      </c>
      <c r="C158" s="1">
        <f ca="1"/>
        <v>1</v>
      </c>
      <c r="E158" s="1">
        <f t="shared" ca="1" si="0"/>
        <v>1.7055702364054747E-2</v>
      </c>
      <c r="F158" s="1">
        <f t="shared" ca="1" si="1"/>
        <v>10.779203894082601</v>
      </c>
    </row>
    <row r="159" spans="2:6" x14ac:dyDescent="0.2">
      <c r="B159" s="1">
        <f ca="1">IFERROR(__xludf.DUMMYFUNCTION("""COMPUTED_VALUE"""),50.39)</f>
        <v>50.39</v>
      </c>
      <c r="C159" s="1">
        <f ca="1"/>
        <v>1</v>
      </c>
      <c r="E159" s="1">
        <f t="shared" ca="1" si="0"/>
        <v>1.7076695367839401E-2</v>
      </c>
      <c r="F159" s="1">
        <f t="shared" ca="1" si="1"/>
        <v>10.792471472474501</v>
      </c>
    </row>
    <row r="160" spans="2:6" x14ac:dyDescent="0.2">
      <c r="B160" s="1">
        <f ca="1">IFERROR(__xludf.DUMMYFUNCTION("""COMPUTED_VALUE"""),50.4)</f>
        <v>50.4</v>
      </c>
      <c r="C160" s="1">
        <f ca="1"/>
        <v>1</v>
      </c>
      <c r="E160" s="1">
        <f t="shared" ca="1" si="0"/>
        <v>1.7083688078861611E-2</v>
      </c>
      <c r="F160" s="1">
        <f t="shared" ca="1" si="1"/>
        <v>10.796890865840538</v>
      </c>
    </row>
    <row r="161" spans="2:6" x14ac:dyDescent="0.2">
      <c r="B161" s="1">
        <f ca="1">IFERROR(__xludf.DUMMYFUNCTION("""COMPUTED_VALUE"""),50.42)</f>
        <v>50.42</v>
      </c>
      <c r="C161" s="1">
        <f ca="1"/>
        <v>1</v>
      </c>
      <c r="E161" s="1">
        <f t="shared" ca="1" si="0"/>
        <v>1.7097666033171283E-2</v>
      </c>
      <c r="F161" s="1">
        <f t="shared" ca="1" si="1"/>
        <v>10.805724932964251</v>
      </c>
    </row>
    <row r="162" spans="2:6" x14ac:dyDescent="0.2">
      <c r="B162" s="1">
        <f ca="1">IFERROR(__xludf.DUMMYFUNCTION("""COMPUTED_VALUE"""),50.63)</f>
        <v>50.63</v>
      </c>
      <c r="C162" s="1">
        <f ca="1"/>
        <v>1</v>
      </c>
      <c r="E162" s="1">
        <f t="shared" ca="1" si="0"/>
        <v>1.7243822977808788E-2</v>
      </c>
      <c r="F162" s="1">
        <f t="shared" ca="1" si="1"/>
        <v>10.898096121975154</v>
      </c>
    </row>
    <row r="163" spans="2:6" x14ac:dyDescent="0.2">
      <c r="B163" s="1">
        <f ca="1">IFERROR(__xludf.DUMMYFUNCTION("""COMPUTED_VALUE"""),50.68)</f>
        <v>50.68</v>
      </c>
      <c r="C163" s="1">
        <f ca="1"/>
        <v>1</v>
      </c>
      <c r="E163" s="1">
        <f t="shared" ca="1" si="0"/>
        <v>1.7278454372032438E-2</v>
      </c>
      <c r="F163" s="1">
        <f t="shared" ca="1" si="1"/>
        <v>10.919983163124501</v>
      </c>
    </row>
    <row r="164" spans="2:6" x14ac:dyDescent="0.2">
      <c r="B164" s="1">
        <f ca="1">IFERROR(__xludf.DUMMYFUNCTION("""COMPUTED_VALUE"""),50.74)</f>
        <v>50.74</v>
      </c>
      <c r="C164" s="1">
        <f ca="1"/>
        <v>1</v>
      </c>
      <c r="E164" s="1">
        <f t="shared" ca="1" si="0"/>
        <v>1.7319924916813667E-2</v>
      </c>
      <c r="F164" s="1">
        <f t="shared" ca="1" si="1"/>
        <v>10.946192547426238</v>
      </c>
    </row>
    <row r="165" spans="2:6" x14ac:dyDescent="0.2">
      <c r="B165" s="1">
        <f ca="1">IFERROR(__xludf.DUMMYFUNCTION("""COMPUTED_VALUE"""),50.79)</f>
        <v>50.79</v>
      </c>
      <c r="C165" s="1">
        <f ca="1"/>
        <v>1</v>
      </c>
      <c r="E165" s="1">
        <f t="shared" ca="1" si="0"/>
        <v>1.7354410306899389E-2</v>
      </c>
      <c r="F165" s="1">
        <f t="shared" ca="1" si="1"/>
        <v>10.967987313960414</v>
      </c>
    </row>
    <row r="166" spans="2:6" x14ac:dyDescent="0.2">
      <c r="B166" s="1">
        <f ca="1">IFERROR(__xludf.DUMMYFUNCTION("""COMPUTED_VALUE"""),50.82)</f>
        <v>50.82</v>
      </c>
      <c r="C166" s="1">
        <f ca="1"/>
        <v>1</v>
      </c>
      <c r="E166" s="1">
        <f t="shared" ca="1" si="0"/>
        <v>1.7375069211401532E-2</v>
      </c>
      <c r="F166" s="1">
        <f t="shared" ca="1" si="1"/>
        <v>10.981043741605768</v>
      </c>
    </row>
    <row r="167" spans="2:6" x14ac:dyDescent="0.2">
      <c r="B167" s="1">
        <f ca="1">IFERROR(__xludf.DUMMYFUNCTION("""COMPUTED_VALUE"""),50.84)</f>
        <v>50.84</v>
      </c>
      <c r="C167" s="1">
        <f ca="1"/>
        <v>1</v>
      </c>
      <c r="E167" s="1">
        <f t="shared" ca="1" si="0"/>
        <v>1.738882825400143E-2</v>
      </c>
      <c r="F167" s="1">
        <f t="shared" ca="1" si="1"/>
        <v>10.989739456528904</v>
      </c>
    </row>
    <row r="168" spans="2:6" x14ac:dyDescent="0.2">
      <c r="B168" s="1">
        <f ca="1">IFERROR(__xludf.DUMMYFUNCTION("""COMPUTED_VALUE"""),50.85)</f>
        <v>50.85</v>
      </c>
      <c r="C168" s="1">
        <f ca="1"/>
        <v>1</v>
      </c>
      <c r="E168" s="1">
        <f t="shared" ca="1" si="0"/>
        <v>1.7395703691028205E-2</v>
      </c>
      <c r="F168" s="1">
        <f t="shared" ca="1" si="1"/>
        <v>10.994084732729826</v>
      </c>
    </row>
    <row r="169" spans="2:6" x14ac:dyDescent="0.2">
      <c r="B169" s="1">
        <f ca="1">IFERROR(__xludf.DUMMYFUNCTION("""COMPUTED_VALUE"""),50.88)</f>
        <v>50.88</v>
      </c>
      <c r="C169" s="1">
        <f ca="1"/>
        <v>1</v>
      </c>
      <c r="E169" s="1">
        <f t="shared" ca="1" si="0"/>
        <v>1.7416313600416542E-2</v>
      </c>
      <c r="F169" s="1">
        <f t="shared" ca="1" si="1"/>
        <v>11.007110195463255</v>
      </c>
    </row>
    <row r="170" spans="2:6" x14ac:dyDescent="0.2">
      <c r="B170" s="1">
        <f ca="1">IFERROR(__xludf.DUMMYFUNCTION("""COMPUTED_VALUE"""),50.94)</f>
        <v>50.94</v>
      </c>
      <c r="C170" s="1">
        <f ca="1"/>
        <v>1</v>
      </c>
      <c r="E170" s="1">
        <f t="shared" ca="1" si="0"/>
        <v>1.7457459127205387E-2</v>
      </c>
      <c r="F170" s="1">
        <f t="shared" ca="1" si="1"/>
        <v>11.033114168393805</v>
      </c>
    </row>
    <row r="171" spans="2:6" x14ac:dyDescent="0.2">
      <c r="B171" s="1">
        <f ca="1">IFERROR(__xludf.DUMMYFUNCTION("""COMPUTED_VALUE"""),51.03)</f>
        <v>51.03</v>
      </c>
      <c r="C171" s="1">
        <f ca="1"/>
        <v>1</v>
      </c>
      <c r="E171" s="1">
        <f t="shared" ca="1" si="0"/>
        <v>1.7518989508654666E-2</v>
      </c>
      <c r="F171" s="1">
        <f t="shared" ca="1" si="1"/>
        <v>11.072001369469749</v>
      </c>
    </row>
    <row r="172" spans="2:6" x14ac:dyDescent="0.2">
      <c r="B172" s="1">
        <f ca="1">IFERROR(__xludf.DUMMYFUNCTION("""COMPUTED_VALUE"""),51.1)</f>
        <v>51.1</v>
      </c>
      <c r="C172" s="1">
        <f ca="1"/>
        <v>1</v>
      </c>
      <c r="E172" s="1">
        <f t="shared" ca="1" si="0"/>
        <v>1.7566688369418729E-2</v>
      </c>
      <c r="F172" s="1">
        <f t="shared" ca="1" si="1"/>
        <v>11.102147049472636</v>
      </c>
    </row>
    <row r="173" spans="2:6" x14ac:dyDescent="0.2">
      <c r="B173" s="1">
        <f ca="1">IFERROR(__xludf.DUMMYFUNCTION("""COMPUTED_VALUE"""),51.14)</f>
        <v>51.14</v>
      </c>
      <c r="C173" s="1">
        <f ca="1"/>
        <v>1</v>
      </c>
      <c r="E173" s="1">
        <f t="shared" ca="1" si="0"/>
        <v>1.7593881961534431E-2</v>
      </c>
      <c r="F173" s="1">
        <f t="shared" ca="1" si="1"/>
        <v>11.11933339968976</v>
      </c>
    </row>
    <row r="174" spans="2:6" x14ac:dyDescent="0.2">
      <c r="B174" s="1">
        <f ca="1">IFERROR(__xludf.DUMMYFUNCTION("""COMPUTED_VALUE"""),51.18)</f>
        <v>51.18</v>
      </c>
      <c r="C174" s="1">
        <f ca="1"/>
        <v>1</v>
      </c>
      <c r="E174" s="1">
        <f t="shared" ca="1" si="0"/>
        <v>1.7621029378834641E-2</v>
      </c>
      <c r="F174" s="1">
        <f t="shared" ca="1" si="1"/>
        <v>11.136490567423493</v>
      </c>
    </row>
    <row r="175" spans="2:6" x14ac:dyDescent="0.2">
      <c r="B175" s="1">
        <f ca="1">IFERROR(__xludf.DUMMYFUNCTION("""COMPUTED_VALUE"""),51.21)</f>
        <v>51.21</v>
      </c>
      <c r="C175" s="1">
        <f ca="1"/>
        <v>1</v>
      </c>
      <c r="E175" s="1">
        <f t="shared" ca="1" si="0"/>
        <v>1.7641359432979124E-2</v>
      </c>
      <c r="F175" s="1">
        <f t="shared" ca="1" si="1"/>
        <v>11.149339161642805</v>
      </c>
    </row>
    <row r="176" spans="2:6" x14ac:dyDescent="0.2">
      <c r="B176" s="1">
        <f ca="1">IFERROR(__xludf.DUMMYFUNCTION("""COMPUTED_VALUE"""),51.28)</f>
        <v>51.28</v>
      </c>
      <c r="C176" s="1">
        <f ca="1"/>
        <v>1</v>
      </c>
      <c r="E176" s="1">
        <f t="shared" ca="1" si="0"/>
        <v>1.7688693653852533E-2</v>
      </c>
      <c r="F176" s="1">
        <f t="shared" ca="1" si="1"/>
        <v>11.179254389234801</v>
      </c>
    </row>
    <row r="177" spans="2:6" x14ac:dyDescent="0.2">
      <c r="B177" s="1">
        <f ca="1">IFERROR(__xludf.DUMMYFUNCTION("""COMPUTED_VALUE"""),51.35)</f>
        <v>51.35</v>
      </c>
      <c r="C177" s="1">
        <f ca="1"/>
        <v>1</v>
      </c>
      <c r="E177" s="1">
        <f t="shared" ca="1" si="0"/>
        <v>1.7735882785519661E-2</v>
      </c>
      <c r="F177" s="1">
        <f t="shared" ca="1" si="1"/>
        <v>11.209077920448426</v>
      </c>
    </row>
    <row r="178" spans="2:6" x14ac:dyDescent="0.2">
      <c r="B178" s="1">
        <f ca="1">IFERROR(__xludf.DUMMYFUNCTION("""COMPUTED_VALUE"""),51.43)</f>
        <v>51.43</v>
      </c>
      <c r="C178" s="1">
        <f ca="1"/>
        <v>1</v>
      </c>
      <c r="E178" s="1">
        <f t="shared" ca="1" si="0"/>
        <v>1.7789633205211756E-2</v>
      </c>
      <c r="F178" s="1">
        <f t="shared" ca="1" si="1"/>
        <v>11.24304818569383</v>
      </c>
    </row>
    <row r="179" spans="2:6" x14ac:dyDescent="0.2">
      <c r="B179" s="1">
        <f ca="1">IFERROR(__xludf.DUMMYFUNCTION("""COMPUTED_VALUE"""),51.6)</f>
        <v>51.6</v>
      </c>
      <c r="C179" s="1">
        <f ca="1"/>
        <v>1</v>
      </c>
      <c r="E179" s="1">
        <f t="shared" ca="1" si="0"/>
        <v>1.7903203168106119E-2</v>
      </c>
      <c r="F179" s="1">
        <f t="shared" ca="1" si="1"/>
        <v>11.314824402243067</v>
      </c>
    </row>
    <row r="180" spans="2:6" x14ac:dyDescent="0.2">
      <c r="B180" s="1">
        <f ca="1">IFERROR(__xludf.DUMMYFUNCTION("""COMPUTED_VALUE"""),51.63)</f>
        <v>51.63</v>
      </c>
      <c r="C180" s="1">
        <f ca="1"/>
        <v>1</v>
      </c>
      <c r="E180" s="1">
        <f t="shared" ca="1" si="0"/>
        <v>1.7923151711750965E-2</v>
      </c>
      <c r="F180" s="1">
        <f t="shared" ca="1" si="1"/>
        <v>11.327431881826611</v>
      </c>
    </row>
    <row r="181" spans="2:6" x14ac:dyDescent="0.2">
      <c r="B181" s="1">
        <f ca="1">IFERROR(__xludf.DUMMYFUNCTION("""COMPUTED_VALUE"""),51.64)</f>
        <v>51.64</v>
      </c>
      <c r="C181" s="1">
        <f ca="1"/>
        <v>1</v>
      </c>
      <c r="E181" s="1">
        <f t="shared" ca="1" si="0"/>
        <v>1.7929794937334296E-2</v>
      </c>
      <c r="F181" s="1">
        <f t="shared" ca="1" si="1"/>
        <v>11.331630400395275</v>
      </c>
    </row>
    <row r="182" spans="2:6" x14ac:dyDescent="0.2">
      <c r="B182" s="1">
        <f ca="1">IFERROR(__xludf.DUMMYFUNCTION("""COMPUTED_VALUE"""),51.67)</f>
        <v>51.67</v>
      </c>
      <c r="C182" s="1">
        <f ca="1"/>
        <v>1</v>
      </c>
      <c r="E182" s="1">
        <f t="shared" ca="1" si="0"/>
        <v>1.7949705672605672E-2</v>
      </c>
      <c r="F182" s="1">
        <f t="shared" ca="1" si="1"/>
        <v>11.344213985086785</v>
      </c>
    </row>
    <row r="183" spans="2:6" x14ac:dyDescent="0.2">
      <c r="B183" s="1">
        <f ca="1">IFERROR(__xludf.DUMMYFUNCTION("""COMPUTED_VALUE"""),51.72)</f>
        <v>51.72</v>
      </c>
      <c r="C183" s="1">
        <f ca="1"/>
        <v>1</v>
      </c>
      <c r="E183" s="1">
        <f t="shared" ca="1" si="0"/>
        <v>1.7982826773664036E-2</v>
      </c>
      <c r="F183" s="1">
        <f t="shared" ca="1" si="1"/>
        <v>11.365146520955671</v>
      </c>
    </row>
    <row r="184" spans="2:6" x14ac:dyDescent="0.2">
      <c r="B184" s="1">
        <f ca="1">IFERROR(__xludf.DUMMYFUNCTION("""COMPUTED_VALUE"""),51.96)</f>
        <v>51.96</v>
      </c>
      <c r="C184" s="1">
        <f ca="1"/>
        <v>1</v>
      </c>
      <c r="E184" s="1">
        <f t="shared" ca="1" si="0"/>
        <v>1.8140684162128603E-2</v>
      </c>
      <c r="F184" s="1">
        <f t="shared" ca="1" si="1"/>
        <v>11.464912390465278</v>
      </c>
    </row>
    <row r="185" spans="2:6" x14ac:dyDescent="0.2">
      <c r="B185" s="1">
        <f ca="1">IFERROR(__xludf.DUMMYFUNCTION("""COMPUTED_VALUE"""),52.06)</f>
        <v>52.06</v>
      </c>
      <c r="C185" s="1">
        <f ca="1"/>
        <v>1</v>
      </c>
      <c r="E185" s="1">
        <f t="shared" ca="1" si="0"/>
        <v>1.8205897321888195E-2</v>
      </c>
      <c r="F185" s="1">
        <f t="shared" ca="1" si="1"/>
        <v>11.50612710743334</v>
      </c>
    </row>
    <row r="186" spans="2:6" x14ac:dyDescent="0.2">
      <c r="B186" s="1">
        <f ca="1">IFERROR(__xludf.DUMMYFUNCTION("""COMPUTED_VALUE"""),52.35)</f>
        <v>52.35</v>
      </c>
      <c r="C186" s="1">
        <f ca="1"/>
        <v>1</v>
      </c>
      <c r="E186" s="1">
        <f t="shared" ca="1" si="0"/>
        <v>1.839308741453961E-2</v>
      </c>
      <c r="F186" s="1">
        <f t="shared" ca="1" si="1"/>
        <v>11.624431245989033</v>
      </c>
    </row>
    <row r="187" spans="2:6" x14ac:dyDescent="0.2">
      <c r="B187" s="1">
        <f ca="1">IFERROR(__xludf.DUMMYFUNCTION("""COMPUTED_VALUE"""),52.39)</f>
        <v>52.39</v>
      </c>
      <c r="C187" s="1">
        <f ca="1"/>
        <v>1</v>
      </c>
      <c r="E187" s="1">
        <f t="shared" ca="1" si="0"/>
        <v>1.8418676733338236E-2</v>
      </c>
      <c r="F187" s="1">
        <f t="shared" ca="1" si="1"/>
        <v>11.640603695469766</v>
      </c>
    </row>
    <row r="188" spans="2:6" x14ac:dyDescent="0.2">
      <c r="B188" s="1">
        <f ca="1">IFERROR(__xludf.DUMMYFUNCTION("""COMPUTED_VALUE"""),52.47)</f>
        <v>52.47</v>
      </c>
      <c r="C188" s="1">
        <f ca="1"/>
        <v>1</v>
      </c>
      <c r="E188" s="1">
        <f t="shared" ca="1" si="0"/>
        <v>1.8469684655273835E-2</v>
      </c>
      <c r="F188" s="1">
        <f t="shared" ca="1" si="1"/>
        <v>11.672840702133064</v>
      </c>
    </row>
    <row r="189" spans="2:6" x14ac:dyDescent="0.2">
      <c r="B189" s="1">
        <f ca="1">IFERROR(__xludf.DUMMYFUNCTION("""COMPUTED_VALUE"""),52.48)</f>
        <v>52.48</v>
      </c>
      <c r="C189" s="1">
        <f ca="1"/>
        <v>1</v>
      </c>
      <c r="E189" s="1">
        <f t="shared" ca="1" si="0"/>
        <v>1.8476044538977811E-2</v>
      </c>
      <c r="F189" s="1">
        <f t="shared" ca="1" si="1"/>
        <v>11.676860148633976</v>
      </c>
    </row>
    <row r="190" spans="2:6" x14ac:dyDescent="0.2">
      <c r="B190" s="1">
        <f ca="1">IFERROR(__xludf.DUMMYFUNCTION("""COMPUTED_VALUE"""),52.54)</f>
        <v>52.54</v>
      </c>
      <c r="C190" s="1">
        <f ca="1"/>
        <v>1</v>
      </c>
      <c r="E190" s="1">
        <f t="shared" ca="1" si="0"/>
        <v>1.8514128129201907E-2</v>
      </c>
      <c r="F190" s="1">
        <f t="shared" ca="1" si="1"/>
        <v>11.700928977655606</v>
      </c>
    </row>
    <row r="191" spans="2:6" x14ac:dyDescent="0.2">
      <c r="B191" s="1">
        <f ca="1">IFERROR(__xludf.DUMMYFUNCTION("""COMPUTED_VALUE"""),52.59)</f>
        <v>52.59</v>
      </c>
      <c r="C191" s="1">
        <f ca="1"/>
        <v>1</v>
      </c>
      <c r="E191" s="1">
        <f t="shared" ca="1" si="0"/>
        <v>1.8545764734339453E-2</v>
      </c>
      <c r="F191" s="1">
        <f t="shared" ca="1" si="1"/>
        <v>11.720923312102535</v>
      </c>
    </row>
    <row r="192" spans="2:6" x14ac:dyDescent="0.2">
      <c r="B192" s="1">
        <f ca="1">IFERROR(__xludf.DUMMYFUNCTION("""COMPUTED_VALUE"""),52.61)</f>
        <v>52.61</v>
      </c>
      <c r="C192" s="1">
        <f ca="1"/>
        <v>1</v>
      </c>
      <c r="E192" s="1">
        <f t="shared" ca="1" si="0"/>
        <v>1.8558393835166886E-2</v>
      </c>
      <c r="F192" s="1">
        <f t="shared" ca="1" si="1"/>
        <v>11.728904903825473</v>
      </c>
    </row>
    <row r="193" spans="2:6" x14ac:dyDescent="0.2">
      <c r="B193" s="1">
        <f ca="1">IFERROR(__xludf.DUMMYFUNCTION("""COMPUTED_VALUE"""),52.66)</f>
        <v>52.66</v>
      </c>
      <c r="C193" s="1">
        <f ca="1"/>
        <v>1</v>
      </c>
      <c r="E193" s="1">
        <f t="shared" ca="1" si="0"/>
        <v>1.8589902370204033E-2</v>
      </c>
      <c r="F193" s="1">
        <f t="shared" ca="1" si="1"/>
        <v>11.748818297968949</v>
      </c>
    </row>
    <row r="194" spans="2:6" x14ac:dyDescent="0.2">
      <c r="B194" s="1">
        <f ca="1">IFERROR(__xludf.DUMMYFUNCTION("""COMPUTED_VALUE"""),52.7)</f>
        <v>52.7</v>
      </c>
      <c r="C194" s="1">
        <f ca="1"/>
        <v>1</v>
      </c>
      <c r="E194" s="1">
        <f t="shared" ca="1" si="0"/>
        <v>1.8615042803709212E-2</v>
      </c>
      <c r="F194" s="1">
        <f t="shared" ca="1" si="1"/>
        <v>11.764707051944223</v>
      </c>
    </row>
    <row r="195" spans="2:6" x14ac:dyDescent="0.2">
      <c r="B195" s="1">
        <f ca="1">IFERROR(__xludf.DUMMYFUNCTION("""COMPUTED_VALUE"""),52.79)</f>
        <v>52.79</v>
      </c>
      <c r="C195" s="1">
        <f ca="1"/>
        <v>1</v>
      </c>
      <c r="E195" s="1">
        <f t="shared" ca="1" si="0"/>
        <v>1.8671391177252562E-2</v>
      </c>
      <c r="F195" s="1">
        <f t="shared" ca="1" si="1"/>
        <v>11.800319224023619</v>
      </c>
    </row>
    <row r="196" spans="2:6" x14ac:dyDescent="0.2">
      <c r="B196" s="1">
        <f ca="1">IFERROR(__xludf.DUMMYFUNCTION("""COMPUTED_VALUE"""),52.8)</f>
        <v>52.8</v>
      </c>
      <c r="C196" s="1">
        <f ca="1"/>
        <v>2</v>
      </c>
      <c r="E196" s="1">
        <f t="shared" ca="1" si="0"/>
        <v>1.8677633388428056E-2</v>
      </c>
      <c r="F196" s="1">
        <f t="shared" ca="1" si="1"/>
        <v>11.804264301486532</v>
      </c>
    </row>
    <row r="197" spans="2:6" x14ac:dyDescent="0.2">
      <c r="B197" s="1">
        <f ca="1">IFERROR(__xludf.DUMMYFUNCTION("""COMPUTED_VALUE"""),52.81)</f>
        <v>52.81</v>
      </c>
      <c r="C197" s="1">
        <f ca="1"/>
        <v>1</v>
      </c>
      <c r="E197" s="1">
        <f t="shared" ca="1" si="0"/>
        <v>1.8683871836806167E-2</v>
      </c>
      <c r="F197" s="1">
        <f t="shared" ca="1" si="1"/>
        <v>11.808207000861497</v>
      </c>
    </row>
    <row r="198" spans="2:6" x14ac:dyDescent="0.2">
      <c r="B198" s="1">
        <f ca="1">IFERROR(__xludf.DUMMYFUNCTION("""COMPUTED_VALUE"""),52.91)</f>
        <v>52.91</v>
      </c>
      <c r="C198" s="1">
        <f ca="1"/>
        <v>1</v>
      </c>
      <c r="E198" s="1">
        <f t="shared" ca="1" si="0"/>
        <v>1.8746048231596358E-2</v>
      </c>
      <c r="F198" s="1">
        <f t="shared" ca="1" si="1"/>
        <v>11.847502482368899</v>
      </c>
    </row>
    <row r="199" spans="2:6" x14ac:dyDescent="0.2">
      <c r="B199" s="1">
        <f ca="1">IFERROR(__xludf.DUMMYFUNCTION("""COMPUTED_VALUE"""),52.99)</f>
        <v>52.99</v>
      </c>
      <c r="C199" s="1">
        <f ca="1"/>
        <v>1</v>
      </c>
      <c r="E199" s="1">
        <f t="shared" ca="1" si="0"/>
        <v>1.879551459141891E-2</v>
      </c>
      <c r="F199" s="1">
        <f t="shared" ca="1" si="1"/>
        <v>11.878765221776751</v>
      </c>
    </row>
    <row r="200" spans="2:6" x14ac:dyDescent="0.2">
      <c r="B200" s="1">
        <f ca="1">IFERROR(__xludf.DUMMYFUNCTION("""COMPUTED_VALUE"""),53.02)</f>
        <v>53.02</v>
      </c>
      <c r="C200" s="1">
        <f ca="1"/>
        <v>1</v>
      </c>
      <c r="E200" s="1">
        <f t="shared" ca="1" si="0"/>
        <v>1.8814000917753551E-2</v>
      </c>
      <c r="F200" s="1">
        <f t="shared" ca="1" si="1"/>
        <v>11.890448580020244</v>
      </c>
    </row>
    <row r="201" spans="2:6" x14ac:dyDescent="0.2">
      <c r="B201" s="1">
        <f ca="1">IFERROR(__xludf.DUMMYFUNCTION("""COMPUTED_VALUE"""),53.04)</f>
        <v>53.04</v>
      </c>
      <c r="C201" s="1">
        <f ca="1"/>
        <v>1</v>
      </c>
      <c r="E201" s="1">
        <f t="shared" ca="1" si="0"/>
        <v>1.8826305763998883E-2</v>
      </c>
      <c r="F201" s="1">
        <f t="shared" ca="1" si="1"/>
        <v>11.898225242847294</v>
      </c>
    </row>
    <row r="202" spans="2:6" x14ac:dyDescent="0.2">
      <c r="B202" s="1">
        <f ca="1">IFERROR(__xludf.DUMMYFUNCTION("""COMPUTED_VALUE"""),53.14)</f>
        <v>53.14</v>
      </c>
      <c r="C202" s="1">
        <f ca="1"/>
        <v>1</v>
      </c>
      <c r="E202" s="1">
        <f t="shared" ca="1" si="0"/>
        <v>1.8887596004162444E-2</v>
      </c>
      <c r="F202" s="1">
        <f t="shared" ca="1" si="1"/>
        <v>11.936960674630665</v>
      </c>
    </row>
    <row r="203" spans="2:6" x14ac:dyDescent="0.2">
      <c r="B203" s="1">
        <f ca="1">IFERROR(__xludf.DUMMYFUNCTION("""COMPUTED_VALUE"""),53.24)</f>
        <v>53.24</v>
      </c>
      <c r="C203" s="1">
        <f ca="1"/>
        <v>1</v>
      </c>
      <c r="E203" s="1">
        <f t="shared" ca="1" si="0"/>
        <v>1.8948492515407828E-2</v>
      </c>
      <c r="F203" s="1">
        <f t="shared" ca="1" si="1"/>
        <v>11.975447269737748</v>
      </c>
    </row>
    <row r="204" spans="2:6" x14ac:dyDescent="0.2">
      <c r="B204" s="1">
        <f ca="1">IFERROR(__xludf.DUMMYFUNCTION("""COMPUTED_VALUE"""),53.26)</f>
        <v>53.26</v>
      </c>
      <c r="C204" s="1">
        <f ca="1"/>
        <v>1</v>
      </c>
      <c r="E204" s="1">
        <f t="shared" ca="1" si="0"/>
        <v>1.8960624122010914E-2</v>
      </c>
      <c r="F204" s="1">
        <f t="shared" ca="1" si="1"/>
        <v>11.983114445110898</v>
      </c>
    </row>
    <row r="205" spans="2:6" x14ac:dyDescent="0.2">
      <c r="B205" s="1">
        <f ca="1">IFERROR(__xludf.DUMMYFUNCTION("""COMPUTED_VALUE"""),53.33)</f>
        <v>53.33</v>
      </c>
      <c r="C205" s="1">
        <f ca="1"/>
        <v>2</v>
      </c>
      <c r="E205" s="1">
        <f t="shared" ca="1" si="0"/>
        <v>1.9002958531042571E-2</v>
      </c>
      <c r="F205" s="1">
        <f t="shared" ca="1" si="1"/>
        <v>12.009869791618906</v>
      </c>
    </row>
    <row r="206" spans="2:6" x14ac:dyDescent="0.2">
      <c r="B206" s="1">
        <f ca="1">IFERROR(__xludf.DUMMYFUNCTION("""COMPUTED_VALUE"""),53.43)</f>
        <v>53.43</v>
      </c>
      <c r="C206" s="1">
        <f ca="1"/>
        <v>1</v>
      </c>
      <c r="E206" s="1">
        <f t="shared" ca="1" si="0"/>
        <v>1.9063092955422883E-2</v>
      </c>
      <c r="F206" s="1">
        <f t="shared" ca="1" si="1"/>
        <v>12.047874747827262</v>
      </c>
    </row>
    <row r="207" spans="2:6" x14ac:dyDescent="0.2">
      <c r="B207" s="1">
        <f ca="1">IFERROR(__xludf.DUMMYFUNCTION("""COMPUTED_VALUE"""),53.44)</f>
        <v>53.44</v>
      </c>
      <c r="C207" s="1">
        <f ca="1"/>
        <v>1</v>
      </c>
      <c r="E207" s="1">
        <f t="shared" ca="1" si="0"/>
        <v>1.9069084017459551E-2</v>
      </c>
      <c r="F207" s="1">
        <f t="shared" ca="1" si="1"/>
        <v>12.051661099034437</v>
      </c>
    </row>
    <row r="208" spans="2:6" x14ac:dyDescent="0.2">
      <c r="B208" s="1">
        <f ca="1">IFERROR(__xludf.DUMMYFUNCTION("""COMPUTED_VALUE"""),53.64)</f>
        <v>53.64</v>
      </c>
      <c r="C208" s="1">
        <f ca="1"/>
        <v>1</v>
      </c>
      <c r="E208" s="1">
        <f t="shared" ca="1" si="0"/>
        <v>1.9188039818924335E-2</v>
      </c>
      <c r="F208" s="1">
        <f t="shared" ca="1" si="1"/>
        <v>12.12684116556018</v>
      </c>
    </row>
    <row r="209" spans="2:6" x14ac:dyDescent="0.2">
      <c r="B209" s="1">
        <f ca="1">IFERROR(__xludf.DUMMYFUNCTION("""COMPUTED_VALUE"""),53.71)</f>
        <v>53.71</v>
      </c>
      <c r="C209" s="1">
        <f ca="1"/>
        <v>1</v>
      </c>
      <c r="E209" s="1">
        <f t="shared" ca="1" si="0"/>
        <v>1.922928048475217E-2</v>
      </c>
      <c r="F209" s="1">
        <f t="shared" ca="1" si="1"/>
        <v>12.152905266363371</v>
      </c>
    </row>
    <row r="210" spans="2:6" x14ac:dyDescent="0.2">
      <c r="B210" s="1">
        <f ca="1">IFERROR(__xludf.DUMMYFUNCTION("""COMPUTED_VALUE"""),53.73)</f>
        <v>53.73</v>
      </c>
      <c r="C210" s="1">
        <f ca="1"/>
        <v>1</v>
      </c>
      <c r="E210" s="1">
        <f t="shared" ca="1" si="0"/>
        <v>1.9241025587060364E-2</v>
      </c>
      <c r="F210" s="1">
        <f t="shared" ca="1" si="1"/>
        <v>12.160328171022151</v>
      </c>
    </row>
    <row r="211" spans="2:6" x14ac:dyDescent="0.2">
      <c r="B211" s="1">
        <f ca="1">IFERROR(__xludf.DUMMYFUNCTION("""COMPUTED_VALUE"""),53.77)</f>
        <v>53.77</v>
      </c>
      <c r="C211" s="1">
        <f ca="1"/>
        <v>1</v>
      </c>
      <c r="E211" s="1">
        <f t="shared" ca="1" si="0"/>
        <v>1.9264464939792159E-2</v>
      </c>
      <c r="F211" s="1">
        <f t="shared" ca="1" si="1"/>
        <v>12.175141841948644</v>
      </c>
    </row>
    <row r="212" spans="2:6" x14ac:dyDescent="0.2">
      <c r="B212" s="1">
        <f ca="1">IFERROR(__xludf.DUMMYFUNCTION("""COMPUTED_VALUE"""),53.79)</f>
        <v>53.79</v>
      </c>
      <c r="C212" s="1">
        <f ca="1"/>
        <v>2</v>
      </c>
      <c r="E212" s="1">
        <f t="shared" ca="1" si="0"/>
        <v>1.9276159110838385E-2</v>
      </c>
      <c r="F212" s="1">
        <f t="shared" ca="1" si="1"/>
        <v>12.182532558049859</v>
      </c>
    </row>
    <row r="213" spans="2:6" x14ac:dyDescent="0.2">
      <c r="B213" s="1">
        <f ca="1">IFERROR(__xludf.DUMMYFUNCTION("""COMPUTED_VALUE"""),53.89)</f>
        <v>53.89</v>
      </c>
      <c r="C213" s="1">
        <f ca="1"/>
        <v>1</v>
      </c>
      <c r="E213" s="1">
        <f t="shared" ca="1" si="0"/>
        <v>1.9334373328919886E-2</v>
      </c>
      <c r="F213" s="1">
        <f t="shared" ca="1" si="1"/>
        <v>12.219323943877368</v>
      </c>
    </row>
    <row r="214" spans="2:6" x14ac:dyDescent="0.2">
      <c r="B214" s="1">
        <f ca="1">IFERROR(__xludf.DUMMYFUNCTION("""COMPUTED_VALUE"""),53.91)</f>
        <v>53.91</v>
      </c>
      <c r="C214" s="1">
        <f ca="1"/>
        <v>1</v>
      </c>
      <c r="E214" s="1">
        <f t="shared" ca="1" si="0"/>
        <v>1.9345964568550485E-2</v>
      </c>
      <c r="F214" s="1">
        <f t="shared" ca="1" si="1"/>
        <v>12.226649607323907</v>
      </c>
    </row>
    <row r="215" spans="2:6" x14ac:dyDescent="0.2">
      <c r="B215" s="1">
        <f ca="1">IFERROR(__xludf.DUMMYFUNCTION("""COMPUTED_VALUE"""),54.04)</f>
        <v>54.04</v>
      </c>
      <c r="C215" s="1">
        <f ca="1"/>
        <v>1</v>
      </c>
      <c r="E215" s="1">
        <f t="shared" ca="1" si="0"/>
        <v>1.9420884345315647E-2</v>
      </c>
      <c r="F215" s="1">
        <f t="shared" ca="1" si="1"/>
        <v>12.273998906239489</v>
      </c>
    </row>
    <row r="216" spans="2:6" x14ac:dyDescent="0.2">
      <c r="B216" s="1">
        <f ca="1">IFERROR(__xludf.DUMMYFUNCTION("""COMPUTED_VALUE"""),54.13)</f>
        <v>54.13</v>
      </c>
      <c r="C216" s="1">
        <f ca="1"/>
        <v>1</v>
      </c>
      <c r="E216" s="1">
        <f t="shared" ca="1" si="0"/>
        <v>1.9472318210280153E-2</v>
      </c>
      <c r="F216" s="1">
        <f t="shared" ca="1" si="1"/>
        <v>12.306505108897056</v>
      </c>
    </row>
    <row r="217" spans="2:6" x14ac:dyDescent="0.2">
      <c r="B217" s="1">
        <f ca="1">IFERROR(__xludf.DUMMYFUNCTION("""COMPUTED_VALUE"""),54.19)</f>
        <v>54.19</v>
      </c>
      <c r="C217" s="1">
        <f ca="1"/>
        <v>2</v>
      </c>
      <c r="E217" s="1">
        <f t="shared" ca="1" si="0"/>
        <v>1.9506408280460154E-2</v>
      </c>
      <c r="F217" s="1">
        <f t="shared" ca="1" si="1"/>
        <v>12.328050033250818</v>
      </c>
    </row>
    <row r="218" spans="2:6" x14ac:dyDescent="0.2">
      <c r="B218" s="1">
        <f ca="1">IFERROR(__xludf.DUMMYFUNCTION("""COMPUTED_VALUE"""),54.21)</f>
        <v>54.21</v>
      </c>
      <c r="C218" s="1">
        <f ca="1"/>
        <v>1</v>
      </c>
      <c r="E218" s="1">
        <f t="shared" ca="1" si="0"/>
        <v>1.9517736008377917E-2</v>
      </c>
      <c r="F218" s="1">
        <f t="shared" ca="1" si="1"/>
        <v>12.335209157294845</v>
      </c>
    </row>
    <row r="219" spans="2:6" x14ac:dyDescent="0.2">
      <c r="B219" s="1">
        <f ca="1">IFERROR(__xludf.DUMMYFUNCTION("""COMPUTED_VALUE"""),54.24)</f>
        <v>54.24</v>
      </c>
      <c r="C219" s="1">
        <f ca="1"/>
        <v>1</v>
      </c>
      <c r="E219" s="1">
        <f t="shared" ca="1" si="0"/>
        <v>1.95346940650169E-2</v>
      </c>
      <c r="F219" s="1">
        <f t="shared" ca="1" si="1"/>
        <v>12.34592664909068</v>
      </c>
    </row>
    <row r="220" spans="2:6" x14ac:dyDescent="0.2">
      <c r="B220" s="1">
        <f ca="1">IFERROR(__xludf.DUMMYFUNCTION("""COMPUTED_VALUE"""),54.29)</f>
        <v>54.29</v>
      </c>
      <c r="C220" s="1">
        <f ca="1"/>
        <v>1</v>
      </c>
      <c r="E220" s="1">
        <f t="shared" ca="1" si="0"/>
        <v>1.9562867743213651E-2</v>
      </c>
      <c r="F220" s="1">
        <f t="shared" ca="1" si="1"/>
        <v>12.363732413711027</v>
      </c>
    </row>
    <row r="221" spans="2:6" x14ac:dyDescent="0.2">
      <c r="B221" s="1">
        <f ca="1">IFERROR(__xludf.DUMMYFUNCTION("""COMPUTED_VALUE"""),54.3)</f>
        <v>54.3</v>
      </c>
      <c r="C221" s="1">
        <f ca="1"/>
        <v>1</v>
      </c>
      <c r="E221" s="1">
        <f t="shared" ca="1" si="0"/>
        <v>1.9568488972990905E-2</v>
      </c>
      <c r="F221" s="1">
        <f t="shared" ca="1" si="1"/>
        <v>12.367285030930251</v>
      </c>
    </row>
    <row r="222" spans="2:6" x14ac:dyDescent="0.2">
      <c r="B222" s="1">
        <f ca="1">IFERROR(__xludf.DUMMYFUNCTION("""COMPUTED_VALUE"""),54.38)</f>
        <v>54.38</v>
      </c>
      <c r="C222" s="1">
        <f ca="1"/>
        <v>1</v>
      </c>
      <c r="E222" s="1">
        <f t="shared" ca="1" si="0"/>
        <v>1.9613295932167357E-2</v>
      </c>
      <c r="F222" s="1">
        <f t="shared" ca="1" si="1"/>
        <v>12.39560302912977</v>
      </c>
    </row>
    <row r="223" spans="2:6" x14ac:dyDescent="0.2">
      <c r="B223" s="1">
        <f ca="1">IFERROR(__xludf.DUMMYFUNCTION("""COMPUTED_VALUE"""),54.44)</f>
        <v>54.44</v>
      </c>
      <c r="C223" s="1">
        <f ca="1"/>
        <v>1</v>
      </c>
      <c r="E223" s="1">
        <f t="shared" ca="1" si="0"/>
        <v>1.9646710118151778E-2</v>
      </c>
      <c r="F223" s="1">
        <f t="shared" ca="1" si="1"/>
        <v>12.416720794671924</v>
      </c>
    </row>
    <row r="224" spans="2:6" x14ac:dyDescent="0.2">
      <c r="B224" s="1">
        <f ca="1">IFERROR(__xludf.DUMMYFUNCTION("""COMPUTED_VALUE"""),54.55)</f>
        <v>54.55</v>
      </c>
      <c r="C224" s="1">
        <f ca="1"/>
        <v>1</v>
      </c>
      <c r="E224" s="1">
        <f t="shared" ca="1" si="0"/>
        <v>1.9707540457737129E-2</v>
      </c>
      <c r="F224" s="1">
        <f t="shared" ca="1" si="1"/>
        <v>12.455165569289866</v>
      </c>
    </row>
    <row r="225" spans="2:6" x14ac:dyDescent="0.2">
      <c r="B225" s="1">
        <f ca="1">IFERROR(__xludf.DUMMYFUNCTION("""COMPUTED_VALUE"""),54.58)</f>
        <v>54.58</v>
      </c>
      <c r="C225" s="1">
        <f ca="1"/>
        <v>1</v>
      </c>
      <c r="E225" s="1">
        <f t="shared" ca="1" si="0"/>
        <v>1.9724033530755896E-2</v>
      </c>
      <c r="F225" s="1">
        <f t="shared" ca="1" si="1"/>
        <v>12.465589191437726</v>
      </c>
    </row>
    <row r="226" spans="2:6" x14ac:dyDescent="0.2">
      <c r="B226" s="1">
        <f ca="1">IFERROR(__xludf.DUMMYFUNCTION("""COMPUTED_VALUE"""),54.61)</f>
        <v>54.61</v>
      </c>
      <c r="C226" s="1">
        <f ca="1"/>
        <v>1</v>
      </c>
      <c r="E226" s="1">
        <f t="shared" ca="1" si="0"/>
        <v>1.9740484782088966E-2</v>
      </c>
      <c r="F226" s="1">
        <f t="shared" ca="1" si="1"/>
        <v>12.475986382280226</v>
      </c>
    </row>
    <row r="227" spans="2:6" x14ac:dyDescent="0.2">
      <c r="B227" s="1">
        <f ca="1">IFERROR(__xludf.DUMMYFUNCTION("""COMPUTED_VALUE"""),54.62)</f>
        <v>54.62</v>
      </c>
      <c r="C227" s="1">
        <f ca="1"/>
        <v>1</v>
      </c>
      <c r="E227" s="1">
        <f t="shared" ca="1" si="0"/>
        <v>1.9745959216758206E-2</v>
      </c>
      <c r="F227" s="1">
        <f t="shared" ca="1" si="1"/>
        <v>12.479446224991186</v>
      </c>
    </row>
    <row r="228" spans="2:6" x14ac:dyDescent="0.2">
      <c r="B228" s="1">
        <f ca="1">IFERROR(__xludf.DUMMYFUNCTION("""COMPUTED_VALUE"""),54.73)</f>
        <v>54.73</v>
      </c>
      <c r="C228" s="1">
        <f ca="1"/>
        <v>1</v>
      </c>
      <c r="E228" s="1">
        <f t="shared" ca="1" si="0"/>
        <v>1.9805869021639163E-2</v>
      </c>
      <c r="F228" s="1">
        <f t="shared" ca="1" si="1"/>
        <v>12.517309221675951</v>
      </c>
    </row>
    <row r="229" spans="2:6" x14ac:dyDescent="0.2">
      <c r="B229" s="1">
        <f ca="1">IFERROR(__xludf.DUMMYFUNCTION("""COMPUTED_VALUE"""),54.74)</f>
        <v>54.74</v>
      </c>
      <c r="C229" s="1">
        <f ca="1"/>
        <v>1</v>
      </c>
      <c r="E229" s="1">
        <f t="shared" ca="1" si="0"/>
        <v>1.9811287156502544E-2</v>
      </c>
      <c r="F229" s="1">
        <f t="shared" ca="1" si="1"/>
        <v>12.520733482909607</v>
      </c>
    </row>
    <row r="230" spans="2:6" x14ac:dyDescent="0.2">
      <c r="B230" s="1">
        <f ca="1">IFERROR(__xludf.DUMMYFUNCTION("""COMPUTED_VALUE"""),54.94)</f>
        <v>54.94</v>
      </c>
      <c r="C230" s="1">
        <f ca="1"/>
        <v>1</v>
      </c>
      <c r="E230" s="1">
        <f t="shared" ca="1" si="0"/>
        <v>1.9918651992204058E-2</v>
      </c>
      <c r="F230" s="1">
        <f t="shared" ca="1" si="1"/>
        <v>12.588588059072965</v>
      </c>
    </row>
    <row r="231" spans="2:6" x14ac:dyDescent="0.2">
      <c r="B231" s="1">
        <f ca="1">IFERROR(__xludf.DUMMYFUNCTION("""COMPUTED_VALUE"""),55)</f>
        <v>55</v>
      </c>
      <c r="C231" s="1">
        <f ca="1"/>
        <v>1</v>
      </c>
      <c r="E231" s="1">
        <f t="shared" ca="1" si="0"/>
        <v>1.9950487547059026E-2</v>
      </c>
      <c r="F231" s="1">
        <f t="shared" ca="1" si="1"/>
        <v>12.608708129741304</v>
      </c>
    </row>
    <row r="232" spans="2:6" x14ac:dyDescent="0.2">
      <c r="B232" s="1">
        <f ca="1">IFERROR(__xludf.DUMMYFUNCTION("""COMPUTED_VALUE"""),55.05)</f>
        <v>55.05</v>
      </c>
      <c r="C232" s="1">
        <f ca="1"/>
        <v>1</v>
      </c>
      <c r="E232" s="1">
        <f t="shared" ca="1" si="0"/>
        <v>1.9976884040987221E-2</v>
      </c>
      <c r="F232" s="1">
        <f t="shared" ca="1" si="1"/>
        <v>12.625390713903924</v>
      </c>
    </row>
    <row r="233" spans="2:6" x14ac:dyDescent="0.2">
      <c r="B233" s="1">
        <f ca="1">IFERROR(__xludf.DUMMYFUNCTION("""COMPUTED_VALUE"""),55.13)</f>
        <v>55.13</v>
      </c>
      <c r="C233" s="1">
        <f ca="1"/>
        <v>1</v>
      </c>
      <c r="E233" s="1">
        <f t="shared" ca="1" si="0"/>
        <v>2.0018865173965717E-2</v>
      </c>
      <c r="F233" s="1">
        <f t="shared" ca="1" si="1"/>
        <v>12.651922789946333</v>
      </c>
    </row>
    <row r="234" spans="2:6" x14ac:dyDescent="0.2">
      <c r="B234" s="1">
        <f ca="1">IFERROR(__xludf.DUMMYFUNCTION("""COMPUTED_VALUE"""),55.29)</f>
        <v>55.29</v>
      </c>
      <c r="C234" s="1">
        <f ca="1"/>
        <v>1</v>
      </c>
      <c r="E234" s="1">
        <f t="shared" ca="1" si="0"/>
        <v>2.0101883876086305E-2</v>
      </c>
      <c r="F234" s="1">
        <f t="shared" ca="1" si="1"/>
        <v>12.704390609686545</v>
      </c>
    </row>
    <row r="235" spans="2:6" x14ac:dyDescent="0.2">
      <c r="B235" s="1">
        <f ca="1">IFERROR(__xludf.DUMMYFUNCTION("""COMPUTED_VALUE"""),55.48)</f>
        <v>55.48</v>
      </c>
      <c r="C235" s="1">
        <f ca="1"/>
        <v>1</v>
      </c>
      <c r="E235" s="1">
        <f t="shared" ca="1" si="0"/>
        <v>2.0198813022689891E-2</v>
      </c>
      <c r="F235" s="1">
        <f t="shared" ca="1" si="1"/>
        <v>12.765649830340012</v>
      </c>
    </row>
    <row r="236" spans="2:6" x14ac:dyDescent="0.2">
      <c r="B236" s="1">
        <f ca="1">IFERROR(__xludf.DUMMYFUNCTION("""COMPUTED_VALUE"""),55.53)</f>
        <v>55.53</v>
      </c>
      <c r="C236" s="1">
        <f ca="1"/>
        <v>1</v>
      </c>
      <c r="E236" s="1">
        <f t="shared" ca="1" si="0"/>
        <v>2.022401836526139E-2</v>
      </c>
      <c r="F236" s="1">
        <f t="shared" ca="1" si="1"/>
        <v>12.781579606845199</v>
      </c>
    </row>
    <row r="237" spans="2:6" x14ac:dyDescent="0.2">
      <c r="B237" s="1">
        <f ca="1">IFERROR(__xludf.DUMMYFUNCTION("""COMPUTED_VALUE"""),55.56)</f>
        <v>55.56</v>
      </c>
      <c r="C237" s="1">
        <f ca="1"/>
        <v>1</v>
      </c>
      <c r="E237" s="1">
        <f t="shared" ca="1" si="0"/>
        <v>2.0239080626219239E-2</v>
      </c>
      <c r="F237" s="1">
        <f t="shared" ca="1" si="1"/>
        <v>12.791098955770559</v>
      </c>
    </row>
    <row r="238" spans="2:6" x14ac:dyDescent="0.2">
      <c r="B238" s="1">
        <f ca="1">IFERROR(__xludf.DUMMYFUNCTION("""COMPUTED_VALUE"""),55.68)</f>
        <v>55.68</v>
      </c>
      <c r="C238" s="1">
        <f ca="1"/>
        <v>1</v>
      </c>
      <c r="E238" s="1">
        <f t="shared" ca="1" si="0"/>
        <v>2.0298869945597705E-2</v>
      </c>
      <c r="F238" s="1">
        <f t="shared" ca="1" si="1"/>
        <v>12.82888580561775</v>
      </c>
    </row>
    <row r="239" spans="2:6" x14ac:dyDescent="0.2">
      <c r="B239" s="1">
        <f ca="1">IFERROR(__xludf.DUMMYFUNCTION("""COMPUTED_VALUE"""),55.7)</f>
        <v>55.7</v>
      </c>
      <c r="C239" s="1">
        <f ca="1"/>
        <v>1</v>
      </c>
      <c r="E239" s="1">
        <f t="shared" ca="1" si="0"/>
        <v>2.030876297201361E-2</v>
      </c>
      <c r="F239" s="1">
        <f t="shared" ca="1" si="1"/>
        <v>12.835138198312601</v>
      </c>
    </row>
    <row r="240" spans="2:6" x14ac:dyDescent="0.2">
      <c r="B240" s="1">
        <f ca="1">IFERROR(__xludf.DUMMYFUNCTION("""COMPUTED_VALUE"""),55.73)</f>
        <v>55.73</v>
      </c>
      <c r="C240" s="1">
        <f ca="1"/>
        <v>1</v>
      </c>
      <c r="E240" s="1">
        <f t="shared" ca="1" si="0"/>
        <v>2.0323563829789854E-2</v>
      </c>
      <c r="F240" s="1">
        <f t="shared" ca="1" si="1"/>
        <v>12.844492340427188</v>
      </c>
    </row>
    <row r="241" spans="2:6" x14ac:dyDescent="0.2">
      <c r="B241" s="1">
        <f ca="1">IFERROR(__xludf.DUMMYFUNCTION("""COMPUTED_VALUE"""),55.74)</f>
        <v>55.74</v>
      </c>
      <c r="C241" s="1">
        <f ca="1"/>
        <v>1</v>
      </c>
      <c r="E241" s="1">
        <f t="shared" ca="1" si="0"/>
        <v>2.0328487116513385E-2</v>
      </c>
      <c r="F241" s="1">
        <f t="shared" ca="1" si="1"/>
        <v>12.847603857636459</v>
      </c>
    </row>
    <row r="242" spans="2:6" x14ac:dyDescent="0.2">
      <c r="B242" s="1">
        <f ca="1">IFERROR(__xludf.DUMMYFUNCTION("""COMPUTED_VALUE"""),55.79)</f>
        <v>55.79</v>
      </c>
      <c r="C242" s="1">
        <f ca="1"/>
        <v>1</v>
      </c>
      <c r="E242" s="1">
        <f t="shared" ca="1" si="0"/>
        <v>2.035302586110898E-2</v>
      </c>
      <c r="F242" s="1">
        <f t="shared" ca="1" si="1"/>
        <v>12.863112344220875</v>
      </c>
    </row>
    <row r="243" spans="2:6" x14ac:dyDescent="0.2">
      <c r="B243" s="1">
        <f ca="1">IFERROR(__xludf.DUMMYFUNCTION("""COMPUTED_VALUE"""),55.84)</f>
        <v>55.84</v>
      </c>
      <c r="C243" s="1">
        <f ca="1"/>
        <v>2</v>
      </c>
      <c r="E243" s="1">
        <f t="shared" ca="1" si="0"/>
        <v>2.0377434727989495E-2</v>
      </c>
      <c r="F243" s="1">
        <f t="shared" ca="1" si="1"/>
        <v>12.87853874808936</v>
      </c>
    </row>
    <row r="244" spans="2:6" x14ac:dyDescent="0.2">
      <c r="B244" s="1">
        <f ca="1">IFERROR(__xludf.DUMMYFUNCTION("""COMPUTED_VALUE"""),55.86)</f>
        <v>55.86</v>
      </c>
      <c r="C244" s="1">
        <f ca="1"/>
        <v>1</v>
      </c>
      <c r="E244" s="1">
        <f t="shared" ca="1" si="0"/>
        <v>2.0387161788367636E-2</v>
      </c>
      <c r="F244" s="1">
        <f t="shared" ca="1" si="1"/>
        <v>12.884686250248347</v>
      </c>
    </row>
    <row r="245" spans="2:6" x14ac:dyDescent="0.2">
      <c r="B245" s="1">
        <f ca="1">IFERROR(__xludf.DUMMYFUNCTION("""COMPUTED_VALUE"""),55.96)</f>
        <v>55.96</v>
      </c>
      <c r="C245" s="1">
        <f ca="1"/>
        <v>1</v>
      </c>
      <c r="E245" s="1">
        <f t="shared" ca="1" si="0"/>
        <v>2.0435482892553893E-2</v>
      </c>
      <c r="F245" s="1">
        <f t="shared" ca="1" si="1"/>
        <v>12.915225188094061</v>
      </c>
    </row>
    <row r="246" spans="2:6" x14ac:dyDescent="0.2">
      <c r="B246" s="1">
        <f ca="1">IFERROR(__xludf.DUMMYFUNCTION("""COMPUTED_VALUE"""),56.32)</f>
        <v>56.32</v>
      </c>
      <c r="C246" s="1">
        <f ca="1"/>
        <v>1</v>
      </c>
      <c r="E246" s="1">
        <f t="shared" ca="1" si="0"/>
        <v>2.0605046846368765E-2</v>
      </c>
      <c r="F246" s="1">
        <f t="shared" ca="1" si="1"/>
        <v>13.02238960690506</v>
      </c>
    </row>
    <row r="247" spans="2:6" x14ac:dyDescent="0.2">
      <c r="B247" s="1">
        <f ca="1">IFERROR(__xludf.DUMMYFUNCTION("""COMPUTED_VALUE"""),56.37)</f>
        <v>56.37</v>
      </c>
      <c r="C247" s="1">
        <f ca="1"/>
        <v>1</v>
      </c>
      <c r="E247" s="1">
        <f t="shared" ca="1" si="0"/>
        <v>2.0628046412110773E-2</v>
      </c>
      <c r="F247" s="1">
        <f t="shared" ca="1" si="1"/>
        <v>13.036925332454009</v>
      </c>
    </row>
    <row r="248" spans="2:6" x14ac:dyDescent="0.2">
      <c r="B248" s="1">
        <f ca="1">IFERROR(__xludf.DUMMYFUNCTION("""COMPUTED_VALUE"""),56.5)</f>
        <v>56.5</v>
      </c>
      <c r="C248" s="1">
        <f ca="1"/>
        <v>1</v>
      </c>
      <c r="E248" s="1">
        <f t="shared" ca="1" si="0"/>
        <v>2.0687207688898354E-2</v>
      </c>
      <c r="F248" s="1">
        <f t="shared" ca="1" si="1"/>
        <v>13.074315259383759</v>
      </c>
    </row>
    <row r="249" spans="2:6" x14ac:dyDescent="0.2">
      <c r="B249" s="1">
        <f ca="1">IFERROR(__xludf.DUMMYFUNCTION("""COMPUTED_VALUE"""),56.77)</f>
        <v>56.77</v>
      </c>
      <c r="C249" s="1">
        <f ca="1"/>
        <v>1</v>
      </c>
      <c r="E249" s="1">
        <f t="shared" ca="1" si="0"/>
        <v>2.0807105724479625E-2</v>
      </c>
      <c r="F249" s="1">
        <f t="shared" ca="1" si="1"/>
        <v>13.150090817871122</v>
      </c>
    </row>
    <row r="250" spans="2:6" x14ac:dyDescent="0.2">
      <c r="B250" s="1">
        <f ca="1">IFERROR(__xludf.DUMMYFUNCTION("""COMPUTED_VALUE"""),56.79)</f>
        <v>56.79</v>
      </c>
      <c r="C250" s="1">
        <f ca="1"/>
        <v>1</v>
      </c>
      <c r="E250" s="1">
        <f t="shared" ca="1" si="0"/>
        <v>2.081582565559318E-2</v>
      </c>
      <c r="F250" s="1">
        <f t="shared" ca="1" si="1"/>
        <v>13.15560181433489</v>
      </c>
    </row>
    <row r="251" spans="2:6" x14ac:dyDescent="0.2">
      <c r="B251" s="1">
        <f ca="1">IFERROR(__xludf.DUMMYFUNCTION("""COMPUTED_VALUE"""),56.91)</f>
        <v>56.91</v>
      </c>
      <c r="C251" s="1">
        <f ca="1"/>
        <v>1</v>
      </c>
      <c r="E251" s="1">
        <f t="shared" ca="1" si="0"/>
        <v>2.0867673224267243E-2</v>
      </c>
      <c r="F251" s="1">
        <f t="shared" ca="1" si="1"/>
        <v>13.188369477736899</v>
      </c>
    </row>
    <row r="252" spans="2:6" x14ac:dyDescent="0.2">
      <c r="B252" s="1">
        <f ca="1">IFERROR(__xludf.DUMMYFUNCTION("""COMPUTED_VALUE"""),57)</f>
        <v>57</v>
      </c>
      <c r="C252" s="1">
        <f ca="1"/>
        <v>1</v>
      </c>
      <c r="E252" s="1">
        <f t="shared" ca="1" si="0"/>
        <v>2.0906025080584367E-2</v>
      </c>
      <c r="F252" s="1">
        <f t="shared" ca="1" si="1"/>
        <v>13.21260785092932</v>
      </c>
    </row>
    <row r="253" spans="2:6" x14ac:dyDescent="0.2">
      <c r="B253" s="1">
        <f ca="1">IFERROR(__xludf.DUMMYFUNCTION("""COMPUTED_VALUE"""),57.01)</f>
        <v>57.01</v>
      </c>
      <c r="C253" s="1">
        <f ca="1"/>
        <v>1</v>
      </c>
      <c r="E253" s="1">
        <f t="shared" ca="1" si="0"/>
        <v>2.091025801278763E-2</v>
      </c>
      <c r="F253" s="1">
        <f t="shared" ca="1" si="1"/>
        <v>13.215283064081781</v>
      </c>
    </row>
    <row r="254" spans="2:6" x14ac:dyDescent="0.2">
      <c r="B254" s="1">
        <f ca="1">IFERROR(__xludf.DUMMYFUNCTION("""COMPUTED_VALUE"""),57.05)</f>
        <v>57.05</v>
      </c>
      <c r="C254" s="1">
        <f ca="1"/>
        <v>1</v>
      </c>
      <c r="E254" s="1">
        <f t="shared" ca="1" si="0"/>
        <v>2.0927132793561665E-2</v>
      </c>
      <c r="F254" s="1">
        <f t="shared" ca="1" si="1"/>
        <v>13.225947925530972</v>
      </c>
    </row>
    <row r="255" spans="2:6" x14ac:dyDescent="0.2">
      <c r="B255" s="1">
        <f ca="1">IFERROR(__xludf.DUMMYFUNCTION("""COMPUTED_VALUE"""),57.07)</f>
        <v>57.07</v>
      </c>
      <c r="C255" s="1">
        <f ca="1"/>
        <v>1</v>
      </c>
      <c r="E255" s="1">
        <f t="shared" ca="1" si="0"/>
        <v>2.0935535962068982E-2</v>
      </c>
      <c r="F255" s="1">
        <f t="shared" ca="1" si="1"/>
        <v>13.231258728027596</v>
      </c>
    </row>
    <row r="256" spans="2:6" x14ac:dyDescent="0.2">
      <c r="B256" s="1">
        <f ca="1">IFERROR(__xludf.DUMMYFUNCTION("""COMPUTED_VALUE"""),57.21)</f>
        <v>57.21</v>
      </c>
      <c r="C256" s="1">
        <f ca="1"/>
        <v>1</v>
      </c>
      <c r="E256" s="1">
        <f t="shared" ca="1" si="0"/>
        <v>2.0993716521599246E-2</v>
      </c>
      <c r="F256" s="1">
        <f t="shared" ca="1" si="1"/>
        <v>13.268028841650723</v>
      </c>
    </row>
    <row r="257" spans="2:6" x14ac:dyDescent="0.2">
      <c r="B257" s="1">
        <f ca="1">IFERROR(__xludf.DUMMYFUNCTION("""COMPUTED_VALUE"""),57.31)</f>
        <v>57.31</v>
      </c>
      <c r="C257" s="1">
        <f ca="1"/>
        <v>1</v>
      </c>
      <c r="E257" s="1">
        <f t="shared" ca="1" si="0"/>
        <v>2.1034582734167157E-2</v>
      </c>
      <c r="F257" s="1">
        <f t="shared" ca="1" si="1"/>
        <v>13.293856287993643</v>
      </c>
    </row>
    <row r="258" spans="2:6" x14ac:dyDescent="0.2">
      <c r="B258" s="1">
        <f ca="1">IFERROR(__xludf.DUMMYFUNCTION("""COMPUTED_VALUE"""),57.39)</f>
        <v>57.39</v>
      </c>
      <c r="C258" s="1">
        <f ca="1"/>
        <v>1</v>
      </c>
      <c r="E258" s="1">
        <f t="shared" ca="1" si="0"/>
        <v>2.1066858071664547E-2</v>
      </c>
      <c r="F258" s="1">
        <f t="shared" ca="1" si="1"/>
        <v>13.314254301291994</v>
      </c>
    </row>
    <row r="259" spans="2:6" x14ac:dyDescent="0.2">
      <c r="B259" s="1">
        <f ca="1">IFERROR(__xludf.DUMMYFUNCTION("""COMPUTED_VALUE"""),57.5)</f>
        <v>57.5</v>
      </c>
      <c r="C259" s="1">
        <f ca="1"/>
        <v>1</v>
      </c>
      <c r="E259" s="1">
        <f t="shared" ref="E259:E513" ca="1" si="2">NORMDIST(B259,$E$2,$G$2,FALSE)</f>
        <v>2.1110626836517255E-2</v>
      </c>
      <c r="F259" s="1">
        <f t="shared" ref="F259:F513" ca="1" si="3">E259*632</f>
        <v>13.341916160678906</v>
      </c>
    </row>
    <row r="260" spans="2:6" x14ac:dyDescent="0.2">
      <c r="B260" s="1">
        <f ca="1">IFERROR(__xludf.DUMMYFUNCTION("""COMPUTED_VALUE"""),57.69)</f>
        <v>57.69</v>
      </c>
      <c r="C260" s="1">
        <f ca="1"/>
        <v>2</v>
      </c>
      <c r="E260" s="1">
        <f t="shared" ca="1" si="2"/>
        <v>2.1184551341342634E-2</v>
      </c>
      <c r="F260" s="1">
        <f t="shared" ca="1" si="3"/>
        <v>13.388636447728544</v>
      </c>
    </row>
    <row r="261" spans="2:6" x14ac:dyDescent="0.2">
      <c r="B261" s="1">
        <f ca="1">IFERROR(__xludf.DUMMYFUNCTION("""COMPUTED_VALUE"""),57.98)</f>
        <v>57.98</v>
      </c>
      <c r="C261" s="1">
        <f ca="1"/>
        <v>1</v>
      </c>
      <c r="E261" s="1">
        <f t="shared" ca="1" si="2"/>
        <v>2.1293242380498928E-2</v>
      </c>
      <c r="F261" s="1">
        <f t="shared" ca="1" si="3"/>
        <v>13.457329184475322</v>
      </c>
    </row>
    <row r="262" spans="2:6" x14ac:dyDescent="0.2">
      <c r="B262" s="1">
        <f ca="1">IFERROR(__xludf.DUMMYFUNCTION("""COMPUTED_VALUE"""),58.01)</f>
        <v>58.01</v>
      </c>
      <c r="C262" s="1">
        <f ca="1"/>
        <v>1</v>
      </c>
      <c r="E262" s="1">
        <f t="shared" ca="1" si="2"/>
        <v>2.130419789440061E-2</v>
      </c>
      <c r="F262" s="1">
        <f t="shared" ca="1" si="3"/>
        <v>13.464253069261185</v>
      </c>
    </row>
    <row r="263" spans="2:6" x14ac:dyDescent="0.2">
      <c r="B263" s="1">
        <f ca="1">IFERROR(__xludf.DUMMYFUNCTION("""COMPUTED_VALUE"""),58.11)</f>
        <v>58.11</v>
      </c>
      <c r="C263" s="1">
        <f ca="1"/>
        <v>1</v>
      </c>
      <c r="E263" s="1">
        <f t="shared" ca="1" si="2"/>
        <v>2.134032270487193E-2</v>
      </c>
      <c r="F263" s="1">
        <f t="shared" ca="1" si="3"/>
        <v>13.487083949479059</v>
      </c>
    </row>
    <row r="264" spans="2:6" x14ac:dyDescent="0.2">
      <c r="B264" s="1">
        <f ca="1">IFERROR(__xludf.DUMMYFUNCTION("""COMPUTED_VALUE"""),58.21)</f>
        <v>58.21</v>
      </c>
      <c r="C264" s="1">
        <f ca="1"/>
        <v>2</v>
      </c>
      <c r="E264" s="1">
        <f t="shared" ca="1" si="2"/>
        <v>2.1375839509330644E-2</v>
      </c>
      <c r="F264" s="1">
        <f t="shared" ca="1" si="3"/>
        <v>13.509530569896967</v>
      </c>
    </row>
    <row r="265" spans="2:6" x14ac:dyDescent="0.2">
      <c r="B265" s="1">
        <f ca="1">IFERROR(__xludf.DUMMYFUNCTION("""COMPUTED_VALUE"""),58.33)</f>
        <v>58.33</v>
      </c>
      <c r="C265" s="1">
        <f ca="1"/>
        <v>1</v>
      </c>
      <c r="E265" s="1">
        <f t="shared" ca="1" si="2"/>
        <v>2.1417652551729616E-2</v>
      </c>
      <c r="F265" s="1">
        <f t="shared" ca="1" si="3"/>
        <v>13.535956412693118</v>
      </c>
    </row>
    <row r="266" spans="2:6" x14ac:dyDescent="0.2">
      <c r="B266" s="1">
        <f ca="1">IFERROR(__xludf.DUMMYFUNCTION("""COMPUTED_VALUE"""),58.38)</f>
        <v>58.38</v>
      </c>
      <c r="C266" s="1">
        <f ca="1"/>
        <v>1</v>
      </c>
      <c r="E266" s="1">
        <f t="shared" ca="1" si="2"/>
        <v>2.143481356461038E-2</v>
      </c>
      <c r="F266" s="1">
        <f t="shared" ca="1" si="3"/>
        <v>13.546802172833759</v>
      </c>
    </row>
    <row r="267" spans="2:6" x14ac:dyDescent="0.2">
      <c r="B267" s="1">
        <f ca="1">IFERROR(__xludf.DUMMYFUNCTION("""COMPUTED_VALUE"""),58.39)</f>
        <v>58.39</v>
      </c>
      <c r="C267" s="1">
        <f ca="1"/>
        <v>1</v>
      </c>
      <c r="E267" s="1">
        <f t="shared" ca="1" si="2"/>
        <v>2.1438227280734135E-2</v>
      </c>
      <c r="F267" s="1">
        <f t="shared" ca="1" si="3"/>
        <v>13.548959641423973</v>
      </c>
    </row>
    <row r="268" spans="2:6" x14ac:dyDescent="0.2">
      <c r="B268" s="1">
        <f ca="1">IFERROR(__xludf.DUMMYFUNCTION("""COMPUTED_VALUE"""),58.41)</f>
        <v>58.41</v>
      </c>
      <c r="C268" s="1">
        <f ca="1"/>
        <v>1</v>
      </c>
      <c r="E268" s="1">
        <f t="shared" ca="1" si="2"/>
        <v>2.1445036201539074E-2</v>
      </c>
      <c r="F268" s="1">
        <f t="shared" ca="1" si="3"/>
        <v>13.553262879372696</v>
      </c>
    </row>
    <row r="269" spans="2:6" x14ac:dyDescent="0.2">
      <c r="B269" s="1">
        <f ca="1">IFERROR(__xludf.DUMMYFUNCTION("""COMPUTED_VALUE"""),58.42)</f>
        <v>58.42</v>
      </c>
      <c r="C269" s="1">
        <f ca="1"/>
        <v>3</v>
      </c>
      <c r="E269" s="1">
        <f t="shared" ca="1" si="2"/>
        <v>2.1448431399996547E-2</v>
      </c>
      <c r="F269" s="1">
        <f t="shared" ca="1" si="3"/>
        <v>13.555408644797817</v>
      </c>
    </row>
    <row r="270" spans="2:6" x14ac:dyDescent="0.2">
      <c r="B270" s="1">
        <f ca="1">IFERROR(__xludf.DUMMYFUNCTION("""COMPUTED_VALUE"""),58.52)</f>
        <v>58.52</v>
      </c>
      <c r="C270" s="1">
        <f ca="1"/>
        <v>1</v>
      </c>
      <c r="E270" s="1">
        <f t="shared" ca="1" si="2"/>
        <v>2.1482043042696072E-2</v>
      </c>
      <c r="F270" s="1">
        <f t="shared" ca="1" si="3"/>
        <v>13.576651202983918</v>
      </c>
    </row>
    <row r="271" spans="2:6" x14ac:dyDescent="0.2">
      <c r="B271" s="1">
        <f ca="1">IFERROR(__xludf.DUMMYFUNCTION("""COMPUTED_VALUE"""),58.53)</f>
        <v>58.53</v>
      </c>
      <c r="C271" s="1">
        <f ca="1"/>
        <v>1</v>
      </c>
      <c r="E271" s="1">
        <f t="shared" ca="1" si="2"/>
        <v>2.1485370105137278E-2</v>
      </c>
      <c r="F271" s="1">
        <f t="shared" ca="1" si="3"/>
        <v>13.57875390644676</v>
      </c>
    </row>
    <row r="272" spans="2:6" x14ac:dyDescent="0.2">
      <c r="B272" s="1">
        <f ca="1">IFERROR(__xludf.DUMMYFUNCTION("""COMPUTED_VALUE"""),58.57)</f>
        <v>58.57</v>
      </c>
      <c r="C272" s="1">
        <f ca="1"/>
        <v>1</v>
      </c>
      <c r="E272" s="1">
        <f t="shared" ca="1" si="2"/>
        <v>2.1498616198916239E-2</v>
      </c>
      <c r="F272" s="1">
        <f t="shared" ca="1" si="3"/>
        <v>13.587125437715063</v>
      </c>
    </row>
    <row r="273" spans="2:6" x14ac:dyDescent="0.2">
      <c r="B273" s="1">
        <f ca="1">IFERROR(__xludf.DUMMYFUNCTION("""COMPUTED_VALUE"""),58.6)</f>
        <v>58.6</v>
      </c>
      <c r="C273" s="1">
        <f ca="1"/>
        <v>2</v>
      </c>
      <c r="E273" s="1">
        <f t="shared" ca="1" si="2"/>
        <v>2.1508485420651011E-2</v>
      </c>
      <c r="F273" s="1">
        <f t="shared" ca="1" si="3"/>
        <v>13.59336278585144</v>
      </c>
    </row>
    <row r="274" spans="2:6" x14ac:dyDescent="0.2">
      <c r="B274" s="1">
        <f ca="1">IFERROR(__xludf.DUMMYFUNCTION("""COMPUTED_VALUE"""),58.64)</f>
        <v>58.64</v>
      </c>
      <c r="C274" s="1">
        <f ca="1"/>
        <v>1</v>
      </c>
      <c r="E274" s="1">
        <f t="shared" ca="1" si="2"/>
        <v>2.1521557096834381E-2</v>
      </c>
      <c r="F274" s="1">
        <f t="shared" ca="1" si="3"/>
        <v>13.60162408519933</v>
      </c>
    </row>
    <row r="275" spans="2:6" x14ac:dyDescent="0.2">
      <c r="B275" s="1">
        <f ca="1">IFERROR(__xludf.DUMMYFUNCTION("""COMPUTED_VALUE"""),58.68)</f>
        <v>58.68</v>
      </c>
      <c r="C275" s="1">
        <f ca="1"/>
        <v>1</v>
      </c>
      <c r="E275" s="1">
        <f t="shared" ca="1" si="2"/>
        <v>2.1534528841870154E-2</v>
      </c>
      <c r="F275" s="1">
        <f t="shared" ca="1" si="3"/>
        <v>13.609822228061937</v>
      </c>
    </row>
    <row r="276" spans="2:6" x14ac:dyDescent="0.2">
      <c r="B276" s="1">
        <f ca="1">IFERROR(__xludf.DUMMYFUNCTION("""COMPUTED_VALUE"""),58.72)</f>
        <v>58.72</v>
      </c>
      <c r="C276" s="1">
        <f ca="1"/>
        <v>2</v>
      </c>
      <c r="E276" s="1">
        <f t="shared" ca="1" si="2"/>
        <v>2.1547400465526334E-2</v>
      </c>
      <c r="F276" s="1">
        <f t="shared" ca="1" si="3"/>
        <v>13.617957094212644</v>
      </c>
    </row>
    <row r="277" spans="2:6" x14ac:dyDescent="0.2">
      <c r="B277" s="1">
        <f ca="1">IFERROR(__xludf.DUMMYFUNCTION("""COMPUTED_VALUE"""),58.77)</f>
        <v>58.77</v>
      </c>
      <c r="C277" s="1">
        <f ca="1"/>
        <v>1</v>
      </c>
      <c r="E277" s="1">
        <f t="shared" ca="1" si="2"/>
        <v>2.1563348911851743E-2</v>
      </c>
      <c r="F277" s="1">
        <f t="shared" ca="1" si="3"/>
        <v>13.628036512290301</v>
      </c>
    </row>
    <row r="278" spans="2:6" x14ac:dyDescent="0.2">
      <c r="B278" s="1">
        <f ca="1">IFERROR(__xludf.DUMMYFUNCTION("""COMPUTED_VALUE"""),58.81)</f>
        <v>58.81</v>
      </c>
      <c r="C278" s="1">
        <f ca="1"/>
        <v>1</v>
      </c>
      <c r="E278" s="1">
        <f t="shared" ca="1" si="2"/>
        <v>2.157599457408008E-2</v>
      </c>
      <c r="F278" s="1">
        <f t="shared" ca="1" si="3"/>
        <v>13.63602857081861</v>
      </c>
    </row>
    <row r="279" spans="2:6" x14ac:dyDescent="0.2">
      <c r="B279" s="1">
        <f ca="1">IFERROR(__xludf.DUMMYFUNCTION("""COMPUTED_VALUE"""),58.82)</f>
        <v>58.82</v>
      </c>
      <c r="C279" s="1">
        <f ca="1"/>
        <v>1</v>
      </c>
      <c r="E279" s="1">
        <f t="shared" ca="1" si="2"/>
        <v>2.1579140257796923E-2</v>
      </c>
      <c r="F279" s="1">
        <f t="shared" ca="1" si="3"/>
        <v>13.638016642927655</v>
      </c>
    </row>
    <row r="280" spans="2:6" x14ac:dyDescent="0.2">
      <c r="B280" s="1">
        <f ca="1">IFERROR(__xludf.DUMMYFUNCTION("""COMPUTED_VALUE"""),58.86)</f>
        <v>58.86</v>
      </c>
      <c r="C280" s="1">
        <f ca="1"/>
        <v>1</v>
      </c>
      <c r="E280" s="1">
        <f t="shared" ca="1" si="2"/>
        <v>2.1591659978670442E-2</v>
      </c>
      <c r="F280" s="1">
        <f t="shared" ca="1" si="3"/>
        <v>13.64592910651972</v>
      </c>
    </row>
    <row r="281" spans="2:6" x14ac:dyDescent="0.2">
      <c r="B281" s="1">
        <f ca="1">IFERROR(__xludf.DUMMYFUNCTION("""COMPUTED_VALUE"""),58.94)</f>
        <v>58.94</v>
      </c>
      <c r="C281" s="1">
        <f ca="1"/>
        <v>1</v>
      </c>
      <c r="E281" s="1">
        <f t="shared" ca="1" si="2"/>
        <v>2.1616396357458111E-2</v>
      </c>
      <c r="F281" s="1">
        <f t="shared" ca="1" si="3"/>
        <v>13.661562497913526</v>
      </c>
    </row>
    <row r="282" spans="2:6" x14ac:dyDescent="0.2">
      <c r="B282" s="1">
        <f ca="1">IFERROR(__xludf.DUMMYFUNCTION("""COMPUTED_VALUE"""),59)</f>
        <v>59</v>
      </c>
      <c r="C282" s="1">
        <f ca="1"/>
        <v>1</v>
      </c>
      <c r="E282" s="1">
        <f t="shared" ca="1" si="2"/>
        <v>2.1634682746251476E-2</v>
      </c>
      <c r="F282" s="1">
        <f t="shared" ca="1" si="3"/>
        <v>13.673119495630933</v>
      </c>
    </row>
    <row r="283" spans="2:6" x14ac:dyDescent="0.2">
      <c r="B283" s="1">
        <f ca="1">IFERROR(__xludf.DUMMYFUNCTION("""COMPUTED_VALUE"""),59.03)</f>
        <v>59.03</v>
      </c>
      <c r="C283" s="1">
        <f ca="1"/>
        <v>1</v>
      </c>
      <c r="E283" s="1">
        <f t="shared" ca="1" si="2"/>
        <v>2.1643740259412424E-2</v>
      </c>
      <c r="F283" s="1">
        <f t="shared" ca="1" si="3"/>
        <v>13.678843843948652</v>
      </c>
    </row>
    <row r="284" spans="2:6" x14ac:dyDescent="0.2">
      <c r="B284" s="1">
        <f ca="1">IFERROR(__xludf.DUMMYFUNCTION("""COMPUTED_VALUE"""),59.13)</f>
        <v>59.13</v>
      </c>
      <c r="C284" s="1">
        <f ca="1"/>
        <v>1</v>
      </c>
      <c r="E284" s="1">
        <f t="shared" ca="1" si="2"/>
        <v>2.1673518289764222E-2</v>
      </c>
      <c r="F284" s="1">
        <f t="shared" ca="1" si="3"/>
        <v>13.697663559130989</v>
      </c>
    </row>
    <row r="285" spans="2:6" x14ac:dyDescent="0.2">
      <c r="B285" s="1">
        <f ca="1">IFERROR(__xludf.DUMMYFUNCTION("""COMPUTED_VALUE"""),59.18)</f>
        <v>59.18</v>
      </c>
      <c r="C285" s="1">
        <f ca="1"/>
        <v>1</v>
      </c>
      <c r="E285" s="1">
        <f t="shared" ca="1" si="2"/>
        <v>2.168816802728234E-2</v>
      </c>
      <c r="F285" s="1">
        <f t="shared" ca="1" si="3"/>
        <v>13.706922193242439</v>
      </c>
    </row>
    <row r="286" spans="2:6" x14ac:dyDescent="0.2">
      <c r="B286" s="1">
        <f ca="1">IFERROR(__xludf.DUMMYFUNCTION("""COMPUTED_VALUE"""),59.24)</f>
        <v>59.24</v>
      </c>
      <c r="C286" s="1">
        <f ca="1"/>
        <v>1</v>
      </c>
      <c r="E286" s="1">
        <f t="shared" ca="1" si="2"/>
        <v>2.1705536523318768E-2</v>
      </c>
      <c r="F286" s="1">
        <f t="shared" ca="1" si="3"/>
        <v>13.717899082737461</v>
      </c>
    </row>
    <row r="287" spans="2:6" x14ac:dyDescent="0.2">
      <c r="B287" s="1">
        <f ca="1">IFERROR(__xludf.DUMMYFUNCTION("""COMPUTED_VALUE"""),59.41)</f>
        <v>59.41</v>
      </c>
      <c r="C287" s="1">
        <f ca="1"/>
        <v>1</v>
      </c>
      <c r="E287" s="1">
        <f t="shared" ca="1" si="2"/>
        <v>2.1753491291322563E-2</v>
      </c>
      <c r="F287" s="1">
        <f t="shared" ca="1" si="3"/>
        <v>13.748206496115859</v>
      </c>
    </row>
    <row r="288" spans="2:6" x14ac:dyDescent="0.2">
      <c r="B288" s="1">
        <f ca="1">IFERROR(__xludf.DUMMYFUNCTION("""COMPUTED_VALUE"""),59.44)</f>
        <v>59.44</v>
      </c>
      <c r="C288" s="1">
        <f ca="1"/>
        <v>2</v>
      </c>
      <c r="E288" s="1">
        <f t="shared" ca="1" si="2"/>
        <v>2.1761760487726631E-2</v>
      </c>
      <c r="F288" s="1">
        <f t="shared" ca="1" si="3"/>
        <v>13.753432628243232</v>
      </c>
    </row>
    <row r="289" spans="2:6" x14ac:dyDescent="0.2">
      <c r="B289" s="1">
        <f ca="1">IFERROR(__xludf.DUMMYFUNCTION("""COMPUTED_VALUE"""),59.61)</f>
        <v>59.61</v>
      </c>
      <c r="C289" s="1">
        <f ca="1"/>
        <v>1</v>
      </c>
      <c r="E289" s="1">
        <f t="shared" ca="1" si="2"/>
        <v>2.1807517943627352E-2</v>
      </c>
      <c r="F289" s="1">
        <f t="shared" ca="1" si="3"/>
        <v>13.782351340372486</v>
      </c>
    </row>
    <row r="290" spans="2:6" x14ac:dyDescent="0.2">
      <c r="B290" s="1">
        <f ca="1">IFERROR(__xludf.DUMMYFUNCTION("""COMPUTED_VALUE"""),59.86)</f>
        <v>59.86</v>
      </c>
      <c r="C290" s="1">
        <f ca="1"/>
        <v>1</v>
      </c>
      <c r="E290" s="1">
        <f t="shared" ca="1" si="2"/>
        <v>2.1871387839509232E-2</v>
      </c>
      <c r="F290" s="1">
        <f t="shared" ca="1" si="3"/>
        <v>13.822717114569835</v>
      </c>
    </row>
    <row r="291" spans="2:6" x14ac:dyDescent="0.2">
      <c r="B291" s="1">
        <f ca="1">IFERROR(__xludf.DUMMYFUNCTION("""COMPUTED_VALUE"""),60)</f>
        <v>60</v>
      </c>
      <c r="C291" s="1">
        <f ca="1"/>
        <v>2</v>
      </c>
      <c r="E291" s="1">
        <f t="shared" ca="1" si="2"/>
        <v>2.1905364259219989E-2</v>
      </c>
      <c r="F291" s="1">
        <f t="shared" ca="1" si="3"/>
        <v>13.844190211827033</v>
      </c>
    </row>
    <row r="292" spans="2:6" x14ac:dyDescent="0.2">
      <c r="B292" s="1">
        <f ca="1">IFERROR(__xludf.DUMMYFUNCTION("""COMPUTED_VALUE"""),60.07)</f>
        <v>60.07</v>
      </c>
      <c r="C292" s="1">
        <f ca="1"/>
        <v>1</v>
      </c>
      <c r="E292" s="1">
        <f t="shared" ca="1" si="2"/>
        <v>2.1921867786308284E-2</v>
      </c>
      <c r="F292" s="1">
        <f t="shared" ca="1" si="3"/>
        <v>13.854620440946835</v>
      </c>
    </row>
    <row r="293" spans="2:6" x14ac:dyDescent="0.2">
      <c r="B293" s="1">
        <f ca="1">IFERROR(__xludf.DUMMYFUNCTION("""COMPUTED_VALUE"""),60.26)</f>
        <v>60.26</v>
      </c>
      <c r="C293" s="1">
        <f ca="1"/>
        <v>1</v>
      </c>
      <c r="E293" s="1">
        <f t="shared" ca="1" si="2"/>
        <v>2.1965027098006441E-2</v>
      </c>
      <c r="F293" s="1">
        <f t="shared" ca="1" si="3"/>
        <v>13.881897125940071</v>
      </c>
    </row>
    <row r="294" spans="2:6" x14ac:dyDescent="0.2">
      <c r="B294" s="1">
        <f ca="1">IFERROR(__xludf.DUMMYFUNCTION("""COMPUTED_VALUE"""),60.29)</f>
        <v>60.29</v>
      </c>
      <c r="C294" s="1">
        <f ca="1"/>
        <v>1</v>
      </c>
      <c r="E294" s="1">
        <f t="shared" ca="1" si="2"/>
        <v>2.197162247970473E-2</v>
      </c>
      <c r="F294" s="1">
        <f t="shared" ca="1" si="3"/>
        <v>13.88606540717339</v>
      </c>
    </row>
    <row r="295" spans="2:6" x14ac:dyDescent="0.2">
      <c r="B295" s="1">
        <f ca="1">IFERROR(__xludf.DUMMYFUNCTION("""COMPUTED_VALUE"""),60.33)</f>
        <v>60.33</v>
      </c>
      <c r="C295" s="1">
        <f ca="1"/>
        <v>1</v>
      </c>
      <c r="E295" s="1">
        <f t="shared" ca="1" si="2"/>
        <v>2.1980323057697867E-2</v>
      </c>
      <c r="F295" s="1">
        <f t="shared" ca="1" si="3"/>
        <v>13.891564172465053</v>
      </c>
    </row>
    <row r="296" spans="2:6" x14ac:dyDescent="0.2">
      <c r="B296" s="1">
        <f ca="1">IFERROR(__xludf.DUMMYFUNCTION("""COMPUTED_VALUE"""),60.34)</f>
        <v>60.34</v>
      </c>
      <c r="C296" s="1">
        <f ca="1"/>
        <v>1</v>
      </c>
      <c r="E296" s="1">
        <f t="shared" ca="1" si="2"/>
        <v>2.1982481534363659E-2</v>
      </c>
      <c r="F296" s="1">
        <f t="shared" ca="1" si="3"/>
        <v>13.892928329717833</v>
      </c>
    </row>
    <row r="297" spans="2:6" x14ac:dyDescent="0.2">
      <c r="B297" s="1">
        <f ca="1">IFERROR(__xludf.DUMMYFUNCTION("""COMPUTED_VALUE"""),60.37)</f>
        <v>60.37</v>
      </c>
      <c r="C297" s="1">
        <f ca="1"/>
        <v>1</v>
      </c>
      <c r="E297" s="1">
        <f t="shared" ca="1" si="2"/>
        <v>2.1988916929433788E-2</v>
      </c>
      <c r="F297" s="1">
        <f t="shared" ca="1" si="3"/>
        <v>13.896995499402154</v>
      </c>
    </row>
    <row r="298" spans="2:6" x14ac:dyDescent="0.2">
      <c r="B298" s="1">
        <f ca="1">IFERROR(__xludf.DUMMYFUNCTION("""COMPUTED_VALUE"""),60.4)</f>
        <v>60.4</v>
      </c>
      <c r="C298" s="1">
        <f ca="1"/>
        <v>1</v>
      </c>
      <c r="E298" s="1">
        <f t="shared" ca="1" si="2"/>
        <v>2.199529223029402E-2</v>
      </c>
      <c r="F298" s="1">
        <f t="shared" ca="1" si="3"/>
        <v>13.901024689545821</v>
      </c>
    </row>
    <row r="299" spans="2:6" x14ac:dyDescent="0.2">
      <c r="B299" s="1">
        <f ca="1">IFERROR(__xludf.DUMMYFUNCTION("""COMPUTED_VALUE"""),60.42)</f>
        <v>60.42</v>
      </c>
      <c r="C299" s="1">
        <f ca="1"/>
        <v>1</v>
      </c>
      <c r="E299" s="1">
        <f t="shared" ca="1" si="2"/>
        <v>2.1999509018825952E-2</v>
      </c>
      <c r="F299" s="1">
        <f t="shared" ca="1" si="3"/>
        <v>13.903689699898001</v>
      </c>
    </row>
    <row r="300" spans="2:6" x14ac:dyDescent="0.2">
      <c r="B300" s="1">
        <f ca="1">IFERROR(__xludf.DUMMYFUNCTION("""COMPUTED_VALUE"""),60.43)</f>
        <v>60.43</v>
      </c>
      <c r="C300" s="1">
        <f ca="1"/>
        <v>1</v>
      </c>
      <c r="E300" s="1">
        <f t="shared" ca="1" si="2"/>
        <v>2.2001607383587422E-2</v>
      </c>
      <c r="F300" s="1">
        <f t="shared" ca="1" si="3"/>
        <v>13.905015866427251</v>
      </c>
    </row>
    <row r="301" spans="2:6" x14ac:dyDescent="0.2">
      <c r="B301" s="1">
        <f ca="1">IFERROR(__xludf.DUMMYFUNCTION("""COMPUTED_VALUE"""),60.47)</f>
        <v>60.47</v>
      </c>
      <c r="C301" s="1">
        <f ca="1"/>
        <v>1</v>
      </c>
      <c r="E301" s="1">
        <f t="shared" ca="1" si="2"/>
        <v>2.2009933933798496E-2</v>
      </c>
      <c r="F301" s="1">
        <f t="shared" ca="1" si="3"/>
        <v>13.910278246160649</v>
      </c>
    </row>
    <row r="302" spans="2:6" x14ac:dyDescent="0.2">
      <c r="B302" s="1">
        <f ca="1">IFERROR(__xludf.DUMMYFUNCTION("""COMPUTED_VALUE"""),60.56)</f>
        <v>60.56</v>
      </c>
      <c r="C302" s="1">
        <f ca="1"/>
        <v>1</v>
      </c>
      <c r="E302" s="1">
        <f t="shared" ca="1" si="2"/>
        <v>2.2028276729740084E-2</v>
      </c>
      <c r="F302" s="1">
        <f t="shared" ca="1" si="3"/>
        <v>13.921870893195733</v>
      </c>
    </row>
    <row r="303" spans="2:6" x14ac:dyDescent="0.2">
      <c r="B303" s="1">
        <f ca="1">IFERROR(__xludf.DUMMYFUNCTION("""COMPUTED_VALUE"""),60.68)</f>
        <v>60.68</v>
      </c>
      <c r="C303" s="1">
        <f ca="1"/>
        <v>1</v>
      </c>
      <c r="E303" s="1">
        <f t="shared" ca="1" si="2"/>
        <v>2.205188762935785E-2</v>
      </c>
      <c r="F303" s="1">
        <f t="shared" ca="1" si="3"/>
        <v>13.936792981754161</v>
      </c>
    </row>
    <row r="304" spans="2:6" x14ac:dyDescent="0.2">
      <c r="B304" s="1">
        <f ca="1">IFERROR(__xludf.DUMMYFUNCTION("""COMPUTED_VALUE"""),60.7)</f>
        <v>60.7</v>
      </c>
      <c r="C304" s="1">
        <f ca="1"/>
        <v>1</v>
      </c>
      <c r="E304" s="1">
        <f t="shared" ca="1" si="2"/>
        <v>2.2055728563504268E-2</v>
      </c>
      <c r="F304" s="1">
        <f t="shared" ca="1" si="3"/>
        <v>13.939220452134697</v>
      </c>
    </row>
    <row r="305" spans="2:6" x14ac:dyDescent="0.2">
      <c r="B305" s="1">
        <f ca="1">IFERROR(__xludf.DUMMYFUNCTION("""COMPUTED_VALUE"""),60.71)</f>
        <v>60.71</v>
      </c>
      <c r="C305" s="1">
        <f ca="1"/>
        <v>1</v>
      </c>
      <c r="E305" s="1">
        <f t="shared" ca="1" si="2"/>
        <v>2.2057638922481949E-2</v>
      </c>
      <c r="F305" s="1">
        <f t="shared" ca="1" si="3"/>
        <v>13.940427799008592</v>
      </c>
    </row>
    <row r="306" spans="2:6" x14ac:dyDescent="0.2">
      <c r="B306" s="1">
        <f ca="1">IFERROR(__xludf.DUMMYFUNCTION("""COMPUTED_VALUE"""),60.75)</f>
        <v>60.75</v>
      </c>
      <c r="C306" s="1">
        <f ca="1"/>
        <v>1</v>
      </c>
      <c r="E306" s="1">
        <f t="shared" ca="1" si="2"/>
        <v>2.2065212929627986E-2</v>
      </c>
      <c r="F306" s="1">
        <f t="shared" ca="1" si="3"/>
        <v>13.945214571524888</v>
      </c>
    </row>
    <row r="307" spans="2:6" x14ac:dyDescent="0.2">
      <c r="B307" s="1">
        <f ca="1">IFERROR(__xludf.DUMMYFUNCTION("""COMPUTED_VALUE"""),60.9)</f>
        <v>60.9</v>
      </c>
      <c r="C307" s="1">
        <f ca="1"/>
        <v>1</v>
      </c>
      <c r="E307" s="1">
        <f t="shared" ca="1" si="2"/>
        <v>2.2092652940800164E-2</v>
      </c>
      <c r="F307" s="1">
        <f t="shared" ca="1" si="3"/>
        <v>13.962556658585704</v>
      </c>
    </row>
    <row r="308" spans="2:6" x14ac:dyDescent="0.2">
      <c r="B308" s="1">
        <f ca="1">IFERROR(__xludf.DUMMYFUNCTION("""COMPUTED_VALUE"""),61.06)</f>
        <v>61.06</v>
      </c>
      <c r="C308" s="1">
        <f ca="1"/>
        <v>1</v>
      </c>
      <c r="E308" s="1">
        <f t="shared" ca="1" si="2"/>
        <v>2.2120242290102881E-2</v>
      </c>
      <c r="F308" s="1">
        <f t="shared" ca="1" si="3"/>
        <v>13.97999312734502</v>
      </c>
    </row>
    <row r="309" spans="2:6" x14ac:dyDescent="0.2">
      <c r="B309" s="1">
        <f ca="1">IFERROR(__xludf.DUMMYFUNCTION("""COMPUTED_VALUE"""),61.11)</f>
        <v>61.11</v>
      </c>
      <c r="C309" s="1">
        <f ca="1"/>
        <v>1</v>
      </c>
      <c r="E309" s="1">
        <f t="shared" ca="1" si="2"/>
        <v>2.2128507293900347E-2</v>
      </c>
      <c r="F309" s="1">
        <f t="shared" ca="1" si="3"/>
        <v>13.98521660974502</v>
      </c>
    </row>
    <row r="310" spans="2:6" x14ac:dyDescent="0.2">
      <c r="B310" s="1">
        <f ca="1">IFERROR(__xludf.DUMMYFUNCTION("""COMPUTED_VALUE"""),61.24)</f>
        <v>61.24</v>
      </c>
      <c r="C310" s="1">
        <f ca="1"/>
        <v>1</v>
      </c>
      <c r="E310" s="1">
        <f t="shared" ca="1" si="2"/>
        <v>2.2149199391262919E-2</v>
      </c>
      <c r="F310" s="1">
        <f t="shared" ca="1" si="3"/>
        <v>13.998294015278166</v>
      </c>
    </row>
    <row r="311" spans="2:6" x14ac:dyDescent="0.2">
      <c r="B311" s="1">
        <f ca="1">IFERROR(__xludf.DUMMYFUNCTION("""COMPUTED_VALUE"""),61.42)</f>
        <v>61.42</v>
      </c>
      <c r="C311" s="1">
        <f ca="1"/>
        <v>1</v>
      </c>
      <c r="E311" s="1">
        <f t="shared" ca="1" si="2"/>
        <v>2.2175944748643917E-2</v>
      </c>
      <c r="F311" s="1">
        <f t="shared" ca="1" si="3"/>
        <v>14.015197081142956</v>
      </c>
    </row>
    <row r="312" spans="2:6" x14ac:dyDescent="0.2">
      <c r="B312" s="1">
        <f ca="1">IFERROR(__xludf.DUMMYFUNCTION("""COMPUTED_VALUE"""),61.54)</f>
        <v>61.54</v>
      </c>
      <c r="C312" s="1">
        <f ca="1"/>
        <v>2</v>
      </c>
      <c r="E312" s="1">
        <f t="shared" ca="1" si="2"/>
        <v>2.2192542213056037E-2</v>
      </c>
      <c r="F312" s="1">
        <f t="shared" ca="1" si="3"/>
        <v>14.025686678651416</v>
      </c>
    </row>
    <row r="313" spans="2:6" x14ac:dyDescent="0.2">
      <c r="B313" s="1">
        <f ca="1">IFERROR(__xludf.DUMMYFUNCTION("""COMPUTED_VALUE"""),61.59)</f>
        <v>61.59</v>
      </c>
      <c r="C313" s="1">
        <f ca="1"/>
        <v>1</v>
      </c>
      <c r="E313" s="1">
        <f t="shared" ca="1" si="2"/>
        <v>2.2199166099915242E-2</v>
      </c>
      <c r="F313" s="1">
        <f t="shared" ca="1" si="3"/>
        <v>14.029872975146432</v>
      </c>
    </row>
    <row r="314" spans="2:6" x14ac:dyDescent="0.2">
      <c r="B314" s="1">
        <f ca="1">IFERROR(__xludf.DUMMYFUNCTION("""COMPUTED_VALUE"""),61.6)</f>
        <v>61.6</v>
      </c>
      <c r="C314" s="1">
        <f ca="1"/>
        <v>1</v>
      </c>
      <c r="E314" s="1">
        <f t="shared" ca="1" si="2"/>
        <v>2.2200470262425082E-2</v>
      </c>
      <c r="F314" s="1">
        <f t="shared" ca="1" si="3"/>
        <v>14.030697205852652</v>
      </c>
    </row>
    <row r="315" spans="2:6" x14ac:dyDescent="0.2">
      <c r="B315" s="1">
        <f ca="1">IFERROR(__xludf.DUMMYFUNCTION("""COMPUTED_VALUE"""),61.61)</f>
        <v>61.61</v>
      </c>
      <c r="C315" s="1">
        <f ca="1"/>
        <v>1</v>
      </c>
      <c r="E315" s="1">
        <f t="shared" ca="1" si="2"/>
        <v>2.2201767550451647E-2</v>
      </c>
      <c r="F315" s="1">
        <f t="shared" ca="1" si="3"/>
        <v>14.031517091885441</v>
      </c>
    </row>
    <row r="316" spans="2:6" x14ac:dyDescent="0.2">
      <c r="B316" s="1">
        <f ca="1">IFERROR(__xludf.DUMMYFUNCTION("""COMPUTED_VALUE"""),61.66)</f>
        <v>61.66</v>
      </c>
      <c r="C316" s="1">
        <f ca="1"/>
        <v>1</v>
      </c>
      <c r="E316" s="1">
        <f t="shared" ca="1" si="2"/>
        <v>2.2208150831066649E-2</v>
      </c>
      <c r="F316" s="1">
        <f t="shared" ca="1" si="3"/>
        <v>14.035551325234122</v>
      </c>
    </row>
    <row r="317" spans="2:6" x14ac:dyDescent="0.2">
      <c r="B317" s="1">
        <f ca="1">IFERROR(__xludf.DUMMYFUNCTION("""COMPUTED_VALUE"""),61.68)</f>
        <v>61.68</v>
      </c>
      <c r="C317" s="1">
        <f ca="1"/>
        <v>2</v>
      </c>
      <c r="E317" s="1">
        <f t="shared" ca="1" si="2"/>
        <v>2.2210655979929463E-2</v>
      </c>
      <c r="F317" s="1">
        <f t="shared" ca="1" si="3"/>
        <v>14.037134579315421</v>
      </c>
    </row>
    <row r="318" spans="2:6" x14ac:dyDescent="0.2">
      <c r="B318" s="1">
        <f ca="1">IFERROR(__xludf.DUMMYFUNCTION("""COMPUTED_VALUE"""),61.99)</f>
        <v>61.99</v>
      </c>
      <c r="C318" s="1">
        <f ca="1"/>
        <v>1</v>
      </c>
      <c r="E318" s="1">
        <f t="shared" ca="1" si="2"/>
        <v>2.2245959093348911E-2</v>
      </c>
      <c r="F318" s="1">
        <f t="shared" ca="1" si="3"/>
        <v>14.059446146996512</v>
      </c>
    </row>
    <row r="319" spans="2:6" x14ac:dyDescent="0.2">
      <c r="B319" s="1">
        <f ca="1">IFERROR(__xludf.DUMMYFUNCTION("""COMPUTED_VALUE"""),62.05)</f>
        <v>62.05</v>
      </c>
      <c r="C319" s="1">
        <f ca="1"/>
        <v>1</v>
      </c>
      <c r="E319" s="1">
        <f t="shared" ca="1" si="2"/>
        <v>2.2252025100508339E-2</v>
      </c>
      <c r="F319" s="1">
        <f t="shared" ca="1" si="3"/>
        <v>14.06327986352127</v>
      </c>
    </row>
    <row r="320" spans="2:6" x14ac:dyDescent="0.2">
      <c r="B320" s="1">
        <f ca="1">IFERROR(__xludf.DUMMYFUNCTION("""COMPUTED_VALUE"""),62.18)</f>
        <v>62.18</v>
      </c>
      <c r="C320" s="1">
        <f ca="1"/>
        <v>1</v>
      </c>
      <c r="E320" s="1">
        <f t="shared" ca="1" si="2"/>
        <v>2.2264312895184352E-2</v>
      </c>
      <c r="F320" s="1">
        <f t="shared" ca="1" si="3"/>
        <v>14.071045749756511</v>
      </c>
    </row>
    <row r="321" spans="2:6" x14ac:dyDescent="0.2">
      <c r="B321" s="1">
        <f ca="1">IFERROR(__xludf.DUMMYFUNCTION("""COMPUTED_VALUE"""),62.29)</f>
        <v>62.29</v>
      </c>
      <c r="C321" s="1">
        <f ca="1"/>
        <v>1</v>
      </c>
      <c r="E321" s="1">
        <f t="shared" ca="1" si="2"/>
        <v>2.2273795018761863E-2</v>
      </c>
      <c r="F321" s="1">
        <f t="shared" ca="1" si="3"/>
        <v>14.077038451857497</v>
      </c>
    </row>
    <row r="322" spans="2:6" x14ac:dyDescent="0.2">
      <c r="B322" s="1">
        <f ca="1">IFERROR(__xludf.DUMMYFUNCTION("""COMPUTED_VALUE"""),62.41)</f>
        <v>62.41</v>
      </c>
      <c r="C322" s="1">
        <f ca="1"/>
        <v>1</v>
      </c>
      <c r="E322" s="1">
        <f t="shared" ca="1" si="2"/>
        <v>2.2283180969250464E-2</v>
      </c>
      <c r="F322" s="1">
        <f t="shared" ca="1" si="3"/>
        <v>14.082970372566294</v>
      </c>
    </row>
    <row r="323" spans="2:6" x14ac:dyDescent="0.2">
      <c r="B323" s="1">
        <f ca="1">IFERROR(__xludf.DUMMYFUNCTION("""COMPUTED_VALUE"""),62.42)</f>
        <v>62.42</v>
      </c>
      <c r="C323" s="1">
        <f ca="1"/>
        <v>1</v>
      </c>
      <c r="E323" s="1">
        <f t="shared" ca="1" si="2"/>
        <v>2.2283917960924458E-2</v>
      </c>
      <c r="F323" s="1">
        <f t="shared" ca="1" si="3"/>
        <v>14.083436151304257</v>
      </c>
    </row>
    <row r="324" spans="2:6" x14ac:dyDescent="0.2">
      <c r="B324" s="1">
        <f ca="1">IFERROR(__xludf.DUMMYFUNCTION("""COMPUTED_VALUE"""),62.48)</f>
        <v>62.48</v>
      </c>
      <c r="C324" s="1">
        <f ca="1"/>
        <v>1</v>
      </c>
      <c r="E324" s="1">
        <f t="shared" ca="1" si="2"/>
        <v>2.2288193881065496E-2</v>
      </c>
      <c r="F324" s="1">
        <f t="shared" ca="1" si="3"/>
        <v>14.086138532833393</v>
      </c>
    </row>
    <row r="325" spans="2:6" x14ac:dyDescent="0.2">
      <c r="B325" s="1">
        <f ca="1">IFERROR(__xludf.DUMMYFUNCTION("""COMPUTED_VALUE"""),62.5)</f>
        <v>62.5</v>
      </c>
      <c r="C325" s="1">
        <f ca="1"/>
        <v>1</v>
      </c>
      <c r="E325" s="1">
        <f t="shared" ca="1" si="2"/>
        <v>2.2289563541331686E-2</v>
      </c>
      <c r="F325" s="1">
        <f t="shared" ca="1" si="3"/>
        <v>14.087004158121626</v>
      </c>
    </row>
    <row r="326" spans="2:6" x14ac:dyDescent="0.2">
      <c r="B326" s="1">
        <f ca="1">IFERROR(__xludf.DUMMYFUNCTION("""COMPUTED_VALUE"""),62.66)</f>
        <v>62.66</v>
      </c>
      <c r="C326" s="1">
        <f ca="1"/>
        <v>1</v>
      </c>
      <c r="E326" s="1">
        <f t="shared" ca="1" si="2"/>
        <v>2.2299518465919346E-2</v>
      </c>
      <c r="F326" s="1">
        <f t="shared" ca="1" si="3"/>
        <v>14.093295670461027</v>
      </c>
    </row>
    <row r="327" spans="2:6" x14ac:dyDescent="0.2">
      <c r="B327" s="1">
        <f ca="1">IFERROR(__xludf.DUMMYFUNCTION("""COMPUTED_VALUE"""),62.7)</f>
        <v>62.7</v>
      </c>
      <c r="C327" s="1">
        <f ca="1"/>
        <v>1</v>
      </c>
      <c r="E327" s="1">
        <f t="shared" ca="1" si="2"/>
        <v>2.2301728594093448E-2</v>
      </c>
      <c r="F327" s="1">
        <f t="shared" ca="1" si="3"/>
        <v>14.094692471467059</v>
      </c>
    </row>
    <row r="328" spans="2:6" x14ac:dyDescent="0.2">
      <c r="B328" s="1">
        <f ca="1">IFERROR(__xludf.DUMMYFUNCTION("""COMPUTED_VALUE"""),62.73)</f>
        <v>62.73</v>
      </c>
      <c r="C328" s="1">
        <f ca="1"/>
        <v>1</v>
      </c>
      <c r="E328" s="1">
        <f t="shared" ca="1" si="2"/>
        <v>2.2303313013485506E-2</v>
      </c>
      <c r="F328" s="1">
        <f t="shared" ca="1" si="3"/>
        <v>14.09569382452284</v>
      </c>
    </row>
    <row r="329" spans="2:6" x14ac:dyDescent="0.2">
      <c r="B329" s="1">
        <f ca="1">IFERROR(__xludf.DUMMYFUNCTION("""COMPUTED_VALUE"""),62.81)</f>
        <v>62.81</v>
      </c>
      <c r="C329" s="1">
        <f ca="1"/>
        <v>1</v>
      </c>
      <c r="E329" s="1">
        <f t="shared" ca="1" si="2"/>
        <v>2.2307231378853608E-2</v>
      </c>
      <c r="F329" s="1">
        <f t="shared" ca="1" si="3"/>
        <v>14.09817023143548</v>
      </c>
    </row>
    <row r="330" spans="2:6" x14ac:dyDescent="0.2">
      <c r="B330" s="1">
        <f ca="1">IFERROR(__xludf.DUMMYFUNCTION("""COMPUTED_VALUE"""),62.86)</f>
        <v>62.86</v>
      </c>
      <c r="C330" s="1">
        <f ca="1"/>
        <v>1</v>
      </c>
      <c r="E330" s="1">
        <f t="shared" ca="1" si="2"/>
        <v>2.230945369914681E-2</v>
      </c>
      <c r="F330" s="1">
        <f t="shared" ca="1" si="3"/>
        <v>14.099574737860785</v>
      </c>
    </row>
    <row r="331" spans="2:6" x14ac:dyDescent="0.2">
      <c r="B331" s="1">
        <f ca="1">IFERROR(__xludf.DUMMYFUNCTION("""COMPUTED_VALUE"""),63.03)</f>
        <v>63.03</v>
      </c>
      <c r="C331" s="1">
        <f ca="1"/>
        <v>1</v>
      </c>
      <c r="E331" s="1">
        <f t="shared" ca="1" si="2"/>
        <v>2.2315704679738459E-2</v>
      </c>
      <c r="F331" s="1">
        <f t="shared" ca="1" si="3"/>
        <v>14.103525357594705</v>
      </c>
    </row>
    <row r="332" spans="2:6" x14ac:dyDescent="0.2">
      <c r="B332" s="1">
        <f ca="1">IFERROR(__xludf.DUMMYFUNCTION("""COMPUTED_VALUE"""),63.04)</f>
        <v>63.04</v>
      </c>
      <c r="C332" s="1">
        <f ca="1"/>
        <v>1</v>
      </c>
      <c r="E332" s="1">
        <f t="shared" ca="1" si="2"/>
        <v>2.2316009557125253E-2</v>
      </c>
      <c r="F332" s="1">
        <f t="shared" ca="1" si="3"/>
        <v>14.103718040103161</v>
      </c>
    </row>
    <row r="333" spans="2:6" x14ac:dyDescent="0.2">
      <c r="B333" s="1">
        <f ca="1">IFERROR(__xludf.DUMMYFUNCTION("""COMPUTED_VALUE"""),63.08)</f>
        <v>63.08</v>
      </c>
      <c r="C333" s="1">
        <f ca="1"/>
        <v>1</v>
      </c>
      <c r="E333" s="1">
        <f t="shared" ca="1" si="2"/>
        <v>2.2317159235944135E-2</v>
      </c>
      <c r="F333" s="1">
        <f t="shared" ca="1" si="3"/>
        <v>14.104444637116693</v>
      </c>
    </row>
    <row r="334" spans="2:6" x14ac:dyDescent="0.2">
      <c r="B334" s="1">
        <f ca="1">IFERROR(__xludf.DUMMYFUNCTION("""COMPUTED_VALUE"""),63.39)</f>
        <v>63.39</v>
      </c>
      <c r="C334" s="1">
        <f ca="1"/>
        <v>1</v>
      </c>
      <c r="E334" s="1">
        <f t="shared" ca="1" si="2"/>
        <v>2.2322279492834895E-2</v>
      </c>
      <c r="F334" s="1">
        <f t="shared" ca="1" si="3"/>
        <v>14.107680639471653</v>
      </c>
    </row>
    <row r="335" spans="2:6" x14ac:dyDescent="0.2">
      <c r="B335" s="1">
        <f ca="1">IFERROR(__xludf.DUMMYFUNCTION("""COMPUTED_VALUE"""),63.4)</f>
        <v>63.4</v>
      </c>
      <c r="C335" s="1">
        <f ca="1"/>
        <v>2</v>
      </c>
      <c r="E335" s="1">
        <f t="shared" ca="1" si="2"/>
        <v>2.2322332860137479E-2</v>
      </c>
      <c r="F335" s="1">
        <f t="shared" ca="1" si="3"/>
        <v>14.107714367606887</v>
      </c>
    </row>
    <row r="336" spans="2:6" x14ac:dyDescent="0.2">
      <c r="B336" s="1">
        <f ca="1">IFERROR(__xludf.DUMMYFUNCTION("""COMPUTED_VALUE"""),63.46)</f>
        <v>63.46</v>
      </c>
      <c r="C336" s="1">
        <f ca="1"/>
        <v>1</v>
      </c>
      <c r="E336" s="1">
        <f t="shared" ca="1" si="2"/>
        <v>2.2322506299222843E-2</v>
      </c>
      <c r="F336" s="1">
        <f t="shared" ca="1" si="3"/>
        <v>14.107823981108837</v>
      </c>
    </row>
    <row r="337" spans="2:6" x14ac:dyDescent="0.2">
      <c r="B337" s="1">
        <f ca="1">IFERROR(__xludf.DUMMYFUNCTION("""COMPUTED_VALUE"""),63.64)</f>
        <v>63.64</v>
      </c>
      <c r="C337" s="1">
        <f ca="1"/>
        <v>2</v>
      </c>
      <c r="E337" s="1">
        <f t="shared" ca="1" si="2"/>
        <v>2.2321517037743415E-2</v>
      </c>
      <c r="F337" s="1">
        <f t="shared" ca="1" si="3"/>
        <v>14.107198767853838</v>
      </c>
    </row>
    <row r="338" spans="2:6" x14ac:dyDescent="0.2">
      <c r="B338" s="1">
        <f ca="1">IFERROR(__xludf.DUMMYFUNCTION("""COMPUTED_VALUE"""),63.86)</f>
        <v>63.86</v>
      </c>
      <c r="C338" s="1">
        <f ca="1"/>
        <v>1</v>
      </c>
      <c r="E338" s="1">
        <f t="shared" ca="1" si="2"/>
        <v>2.2317233397966051E-2</v>
      </c>
      <c r="F338" s="1">
        <f t="shared" ca="1" si="3"/>
        <v>14.104491507514544</v>
      </c>
    </row>
    <row r="339" spans="2:6" x14ac:dyDescent="0.2">
      <c r="B339" s="1">
        <f ca="1">IFERROR(__xludf.DUMMYFUNCTION("""COMPUTED_VALUE"""),63.87)</f>
        <v>63.87</v>
      </c>
      <c r="C339" s="1">
        <f ca="1"/>
        <v>1</v>
      </c>
      <c r="E339" s="1">
        <f t="shared" ca="1" si="2"/>
        <v>2.23169583540666E-2</v>
      </c>
      <c r="F339" s="1">
        <f t="shared" ca="1" si="3"/>
        <v>14.104317679770091</v>
      </c>
    </row>
    <row r="340" spans="2:6" x14ac:dyDescent="0.2">
      <c r="B340" s="1">
        <f ca="1">IFERROR(__xludf.DUMMYFUNCTION("""COMPUTED_VALUE"""),64.08)</f>
        <v>64.08</v>
      </c>
      <c r="C340" s="1">
        <f ca="1"/>
        <v>1</v>
      </c>
      <c r="E340" s="1">
        <f t="shared" ca="1" si="2"/>
        <v>2.2309569656213377E-2</v>
      </c>
      <c r="F340" s="1">
        <f t="shared" ca="1" si="3"/>
        <v>14.099648022726853</v>
      </c>
    </row>
    <row r="341" spans="2:6" x14ac:dyDescent="0.2">
      <c r="B341" s="1">
        <f ca="1">IFERROR(__xludf.DUMMYFUNCTION("""COMPUTED_VALUE"""),64.25)</f>
        <v>64.25</v>
      </c>
      <c r="C341" s="1">
        <f ca="1"/>
        <v>1</v>
      </c>
      <c r="E341" s="1">
        <f t="shared" ca="1" si="2"/>
        <v>2.2301334732984436E-2</v>
      </c>
      <c r="F341" s="1">
        <f t="shared" ca="1" si="3"/>
        <v>14.094443551246163</v>
      </c>
    </row>
    <row r="342" spans="2:6" x14ac:dyDescent="0.2">
      <c r="B342" s="1">
        <f ca="1">IFERROR(__xludf.DUMMYFUNCTION("""COMPUTED_VALUE"""),64.29)</f>
        <v>64.290000000000006</v>
      </c>
      <c r="C342" s="1">
        <f ca="1"/>
        <v>1</v>
      </c>
      <c r="E342" s="1">
        <f t="shared" ca="1" si="2"/>
        <v>2.2299104317730453E-2</v>
      </c>
      <c r="F342" s="1">
        <f t="shared" ca="1" si="3"/>
        <v>14.093033928805646</v>
      </c>
    </row>
    <row r="343" spans="2:6" x14ac:dyDescent="0.2">
      <c r="B343" s="1">
        <f ca="1">IFERROR(__xludf.DUMMYFUNCTION("""COMPUTED_VALUE"""),64.44)</f>
        <v>64.44</v>
      </c>
      <c r="C343" s="1">
        <f ca="1"/>
        <v>1</v>
      </c>
      <c r="E343" s="1">
        <f t="shared" ca="1" si="2"/>
        <v>2.2289747767964507E-2</v>
      </c>
      <c r="F343" s="1">
        <f t="shared" ca="1" si="3"/>
        <v>14.087120589353567</v>
      </c>
    </row>
    <row r="344" spans="2:6" x14ac:dyDescent="0.2">
      <c r="B344" s="1">
        <f ca="1">IFERROR(__xludf.DUMMYFUNCTION("""COMPUTED_VALUE"""),64.56)</f>
        <v>64.56</v>
      </c>
      <c r="C344" s="1">
        <f ca="1"/>
        <v>1</v>
      </c>
      <c r="E344" s="1">
        <f t="shared" ca="1" si="2"/>
        <v>2.2281135222590967E-2</v>
      </c>
      <c r="F344" s="1">
        <f t="shared" ca="1" si="3"/>
        <v>14.081677460677492</v>
      </c>
    </row>
    <row r="345" spans="2:6" x14ac:dyDescent="0.2">
      <c r="B345" s="1">
        <f ca="1">IFERROR(__xludf.DUMMYFUNCTION("""COMPUTED_VALUE"""),64.66)</f>
        <v>64.66</v>
      </c>
      <c r="C345" s="1">
        <f ca="1"/>
        <v>3</v>
      </c>
      <c r="E345" s="1">
        <f t="shared" ca="1" si="2"/>
        <v>2.2273193549537097E-2</v>
      </c>
      <c r="F345" s="1">
        <f t="shared" ca="1" si="3"/>
        <v>14.076658323307445</v>
      </c>
    </row>
    <row r="346" spans="2:6" x14ac:dyDescent="0.2">
      <c r="B346" s="1">
        <f ca="1">IFERROR(__xludf.DUMMYFUNCTION("""COMPUTED_VALUE"""),64.79)</f>
        <v>64.790000000000006</v>
      </c>
      <c r="C346" s="1">
        <f ca="1"/>
        <v>1</v>
      </c>
      <c r="E346" s="1">
        <f t="shared" ca="1" si="2"/>
        <v>2.2261831581091587E-2</v>
      </c>
      <c r="F346" s="1">
        <f t="shared" ca="1" si="3"/>
        <v>14.069477559249883</v>
      </c>
    </row>
    <row r="347" spans="2:6" x14ac:dyDescent="0.2">
      <c r="B347" s="1">
        <f ca="1">IFERROR(__xludf.DUMMYFUNCTION("""COMPUTED_VALUE"""),64.83)</f>
        <v>64.83</v>
      </c>
      <c r="C347" s="1">
        <f ca="1"/>
        <v>1</v>
      </c>
      <c r="E347" s="1">
        <f t="shared" ca="1" si="2"/>
        <v>2.2258099818688037E-2</v>
      </c>
      <c r="F347" s="1">
        <f t="shared" ca="1" si="3"/>
        <v>14.067119085410839</v>
      </c>
    </row>
    <row r="348" spans="2:6" x14ac:dyDescent="0.2">
      <c r="B348" s="1">
        <f ca="1">IFERROR(__xludf.DUMMYFUNCTION("""COMPUTED_VALUE"""),65)</f>
        <v>65</v>
      </c>
      <c r="C348" s="1">
        <f ca="1"/>
        <v>1</v>
      </c>
      <c r="E348" s="1">
        <f t="shared" ca="1" si="2"/>
        <v>2.2241003807326735E-2</v>
      </c>
      <c r="F348" s="1">
        <f t="shared" ca="1" si="3"/>
        <v>14.056314406230497</v>
      </c>
    </row>
    <row r="349" spans="2:6" x14ac:dyDescent="0.2">
      <c r="B349" s="1">
        <f ca="1">IFERROR(__xludf.DUMMYFUNCTION("""COMPUTED_VALUE"""),65.26)</f>
        <v>65.260000000000005</v>
      </c>
      <c r="C349" s="1">
        <f ca="1"/>
        <v>1</v>
      </c>
      <c r="E349" s="1">
        <f t="shared" ca="1" si="2"/>
        <v>2.2210994742211058E-2</v>
      </c>
      <c r="F349" s="1">
        <f t="shared" ca="1" si="3"/>
        <v>14.037348677077388</v>
      </c>
    </row>
    <row r="350" spans="2:6" x14ac:dyDescent="0.2">
      <c r="B350" s="1">
        <f ca="1">IFERROR(__xludf.DUMMYFUNCTION("""COMPUTED_VALUE"""),65.29)</f>
        <v>65.290000000000006</v>
      </c>
      <c r="C350" s="1">
        <f ca="1"/>
        <v>2</v>
      </c>
      <c r="E350" s="1">
        <f t="shared" ca="1" si="2"/>
        <v>2.2207232315011052E-2</v>
      </c>
      <c r="F350" s="1">
        <f t="shared" ca="1" si="3"/>
        <v>14.034970823086985</v>
      </c>
    </row>
    <row r="351" spans="2:6" x14ac:dyDescent="0.2">
      <c r="B351" s="1">
        <f ca="1">IFERROR(__xludf.DUMMYFUNCTION("""COMPUTED_VALUE"""),65.35)</f>
        <v>65.349999999999994</v>
      </c>
      <c r="C351" s="1">
        <f ca="1"/>
        <v>1</v>
      </c>
      <c r="E351" s="1">
        <f t="shared" ca="1" si="2"/>
        <v>2.2199521711015913E-2</v>
      </c>
      <c r="F351" s="1">
        <f t="shared" ca="1" si="3"/>
        <v>14.030097721362058</v>
      </c>
    </row>
    <row r="352" spans="2:6" x14ac:dyDescent="0.2">
      <c r="B352" s="1">
        <f ca="1">IFERROR(__xludf.DUMMYFUNCTION("""COMPUTED_VALUE"""),65.59)</f>
        <v>65.59</v>
      </c>
      <c r="C352" s="1">
        <f ca="1"/>
        <v>1</v>
      </c>
      <c r="E352" s="1">
        <f t="shared" ca="1" si="2"/>
        <v>2.2166207529247368E-2</v>
      </c>
      <c r="F352" s="1">
        <f t="shared" ca="1" si="3"/>
        <v>14.009043158484337</v>
      </c>
    </row>
    <row r="353" spans="2:6" x14ac:dyDescent="0.2">
      <c r="B353" s="1">
        <f ca="1">IFERROR(__xludf.DUMMYFUNCTION("""COMPUTED_VALUE"""),65.66)</f>
        <v>65.66</v>
      </c>
      <c r="C353" s="1">
        <f ca="1"/>
        <v>1</v>
      </c>
      <c r="E353" s="1">
        <f t="shared" ca="1" si="2"/>
        <v>2.215574766965955E-2</v>
      </c>
      <c r="F353" s="1">
        <f t="shared" ca="1" si="3"/>
        <v>14.002432527224835</v>
      </c>
    </row>
    <row r="354" spans="2:6" x14ac:dyDescent="0.2">
      <c r="B354" s="1">
        <f ca="1">IFERROR(__xludf.DUMMYFUNCTION("""COMPUTED_VALUE"""),65.71)</f>
        <v>65.709999999999994</v>
      </c>
      <c r="C354" s="1">
        <f ca="1"/>
        <v>1</v>
      </c>
      <c r="E354" s="1">
        <f t="shared" ca="1" si="2"/>
        <v>2.214807133384343E-2</v>
      </c>
      <c r="F354" s="1">
        <f t="shared" ca="1" si="3"/>
        <v>13.997581082989049</v>
      </c>
    </row>
    <row r="355" spans="2:6" x14ac:dyDescent="0.2">
      <c r="B355" s="1">
        <f ca="1">IFERROR(__xludf.DUMMYFUNCTION("""COMPUTED_VALUE"""),65.79)</f>
        <v>65.790000000000006</v>
      </c>
      <c r="C355" s="1">
        <f ca="1"/>
        <v>1</v>
      </c>
      <c r="E355" s="1">
        <f t="shared" ca="1" si="2"/>
        <v>2.2135434348023793E-2</v>
      </c>
      <c r="F355" s="1">
        <f t="shared" ca="1" si="3"/>
        <v>13.989594507951036</v>
      </c>
    </row>
    <row r="356" spans="2:6" x14ac:dyDescent="0.2">
      <c r="B356" s="1">
        <f ca="1">IFERROR(__xludf.DUMMYFUNCTION("""COMPUTED_VALUE"""),65.85)</f>
        <v>65.849999999999994</v>
      </c>
      <c r="C356" s="1">
        <f ca="1"/>
        <v>1</v>
      </c>
      <c r="E356" s="1">
        <f t="shared" ca="1" si="2"/>
        <v>2.212567039318147E-2</v>
      </c>
      <c r="F356" s="1">
        <f t="shared" ca="1" si="3"/>
        <v>13.983423688490689</v>
      </c>
    </row>
    <row r="357" spans="2:6" x14ac:dyDescent="0.2">
      <c r="B357" s="1">
        <f ca="1">IFERROR(__xludf.DUMMYFUNCTION("""COMPUTED_VALUE"""),66.09)</f>
        <v>66.09</v>
      </c>
      <c r="C357" s="1">
        <f ca="1"/>
        <v>1</v>
      </c>
      <c r="E357" s="1">
        <f t="shared" ca="1" si="2"/>
        <v>2.2084168342384948E-2</v>
      </c>
      <c r="F357" s="1">
        <f t="shared" ca="1" si="3"/>
        <v>13.957194392387287</v>
      </c>
    </row>
    <row r="358" spans="2:6" x14ac:dyDescent="0.2">
      <c r="B358" s="1">
        <f ca="1">IFERROR(__xludf.DUMMYFUNCTION("""COMPUTED_VALUE"""),66.11)</f>
        <v>66.11</v>
      </c>
      <c r="C358" s="1">
        <f ca="1"/>
        <v>1</v>
      </c>
      <c r="E358" s="1">
        <f t="shared" ca="1" si="2"/>
        <v>2.2080533611661426E-2</v>
      </c>
      <c r="F358" s="1">
        <f t="shared" ca="1" si="3"/>
        <v>13.954897242570022</v>
      </c>
    </row>
    <row r="359" spans="2:6" x14ac:dyDescent="0.2">
      <c r="B359" s="1">
        <f ca="1">IFERROR(__xludf.DUMMYFUNCTION("""COMPUTED_VALUE"""),66.15)</f>
        <v>66.150000000000006</v>
      </c>
      <c r="C359" s="1">
        <f ca="1"/>
        <v>1</v>
      </c>
      <c r="E359" s="1">
        <f t="shared" ca="1" si="2"/>
        <v>2.2073183014535577E-2</v>
      </c>
      <c r="F359" s="1">
        <f t="shared" ca="1" si="3"/>
        <v>13.950251665186485</v>
      </c>
    </row>
    <row r="360" spans="2:6" x14ac:dyDescent="0.2">
      <c r="B360" s="1">
        <f ca="1">IFERROR(__xludf.DUMMYFUNCTION("""COMPUTED_VALUE"""),66.18)</f>
        <v>66.180000000000007</v>
      </c>
      <c r="C360" s="1">
        <f ca="1"/>
        <v>1</v>
      </c>
      <c r="E360" s="1">
        <f t="shared" ca="1" si="2"/>
        <v>2.2067599126990103E-2</v>
      </c>
      <c r="F360" s="1">
        <f t="shared" ca="1" si="3"/>
        <v>13.946722648257746</v>
      </c>
    </row>
    <row r="361" spans="2:6" x14ac:dyDescent="0.2">
      <c r="B361" s="1">
        <f ca="1">IFERROR(__xludf.DUMMYFUNCTION("""COMPUTED_VALUE"""),66.28)</f>
        <v>66.28</v>
      </c>
      <c r="C361" s="1">
        <f ca="1"/>
        <v>1</v>
      </c>
      <c r="E361" s="1">
        <f t="shared" ca="1" si="2"/>
        <v>2.2048547660454686E-2</v>
      </c>
      <c r="F361" s="1">
        <f t="shared" ca="1" si="3"/>
        <v>13.934682121407361</v>
      </c>
    </row>
    <row r="362" spans="2:6" x14ac:dyDescent="0.2">
      <c r="B362" s="1">
        <f ca="1">IFERROR(__xludf.DUMMYFUNCTION("""COMPUTED_VALUE"""),66.36)</f>
        <v>66.36</v>
      </c>
      <c r="C362" s="1">
        <f ca="1"/>
        <v>1</v>
      </c>
      <c r="E362" s="1">
        <f t="shared" ca="1" si="2"/>
        <v>2.2032821653829162E-2</v>
      </c>
      <c r="F362" s="1">
        <f t="shared" ca="1" si="3"/>
        <v>13.92474328522003</v>
      </c>
    </row>
    <row r="363" spans="2:6" x14ac:dyDescent="0.2">
      <c r="B363" s="1">
        <f ca="1">IFERROR(__xludf.DUMMYFUNCTION("""COMPUTED_VALUE"""),66.47)</f>
        <v>66.47</v>
      </c>
      <c r="C363" s="1">
        <f ca="1"/>
        <v>1</v>
      </c>
      <c r="E363" s="1">
        <f t="shared" ca="1" si="2"/>
        <v>2.2010496563772408E-2</v>
      </c>
      <c r="F363" s="1">
        <f t="shared" ca="1" si="3"/>
        <v>13.910633828304162</v>
      </c>
    </row>
    <row r="364" spans="2:6" x14ac:dyDescent="0.2">
      <c r="B364" s="1">
        <f ca="1">IFERROR(__xludf.DUMMYFUNCTION("""COMPUTED_VALUE"""),67.19)</f>
        <v>67.19</v>
      </c>
      <c r="C364" s="1">
        <f ca="1"/>
        <v>1</v>
      </c>
      <c r="E364" s="1">
        <f t="shared" ca="1" si="2"/>
        <v>2.1844481066730672E-2</v>
      </c>
      <c r="F364" s="1">
        <f t="shared" ca="1" si="3"/>
        <v>13.805712034173785</v>
      </c>
    </row>
    <row r="365" spans="2:6" x14ac:dyDescent="0.2">
      <c r="B365" s="1">
        <f ca="1">IFERROR(__xludf.DUMMYFUNCTION("""COMPUTED_VALUE"""),67.23)</f>
        <v>67.23</v>
      </c>
      <c r="C365" s="1">
        <f ca="1"/>
        <v>1</v>
      </c>
      <c r="E365" s="1">
        <f t="shared" ca="1" si="2"/>
        <v>2.1834255684069673E-2</v>
      </c>
      <c r="F365" s="1">
        <f t="shared" ca="1" si="3"/>
        <v>13.799249592332034</v>
      </c>
    </row>
    <row r="366" spans="2:6" x14ac:dyDescent="0.2">
      <c r="B366" s="1">
        <f ca="1">IFERROR(__xludf.DUMMYFUNCTION("""COMPUTED_VALUE"""),67.31)</f>
        <v>67.31</v>
      </c>
      <c r="C366" s="1">
        <f ca="1"/>
        <v>1</v>
      </c>
      <c r="E366" s="1">
        <f t="shared" ca="1" si="2"/>
        <v>2.1813491455841185E-2</v>
      </c>
      <c r="F366" s="1">
        <f t="shared" ca="1" si="3"/>
        <v>13.786126600091629</v>
      </c>
    </row>
    <row r="367" spans="2:6" x14ac:dyDescent="0.2">
      <c r="B367" s="1">
        <f ca="1">IFERROR(__xludf.DUMMYFUNCTION("""COMPUTED_VALUE"""),67.52)</f>
        <v>67.52</v>
      </c>
      <c r="C367" s="1">
        <f ca="1"/>
        <v>1</v>
      </c>
      <c r="E367" s="1">
        <f t="shared" ca="1" si="2"/>
        <v>2.1757004952022825E-2</v>
      </c>
      <c r="F367" s="1">
        <f t="shared" ca="1" si="3"/>
        <v>13.750427129678425</v>
      </c>
    </row>
    <row r="368" spans="2:6" x14ac:dyDescent="0.2">
      <c r="B368" s="1">
        <f ca="1">IFERROR(__xludf.DUMMYFUNCTION("""COMPUTED_VALUE"""),67.9)</f>
        <v>67.900000000000006</v>
      </c>
      <c r="C368" s="1">
        <f ca="1"/>
        <v>1</v>
      </c>
      <c r="E368" s="1">
        <f t="shared" ca="1" si="2"/>
        <v>2.1647563830936974E-2</v>
      </c>
      <c r="F368" s="1">
        <f t="shared" ca="1" si="3"/>
        <v>13.681260341152168</v>
      </c>
    </row>
    <row r="369" spans="2:6" x14ac:dyDescent="0.2">
      <c r="B369" s="1">
        <f ca="1">IFERROR(__xludf.DUMMYFUNCTION("""COMPUTED_VALUE"""),68.15)</f>
        <v>68.150000000000006</v>
      </c>
      <c r="C369" s="1">
        <f ca="1"/>
        <v>1</v>
      </c>
      <c r="E369" s="1">
        <f t="shared" ca="1" si="2"/>
        <v>2.1570544475472891E-2</v>
      </c>
      <c r="F369" s="1">
        <f t="shared" ca="1" si="3"/>
        <v>13.632584108498866</v>
      </c>
    </row>
    <row r="370" spans="2:6" x14ac:dyDescent="0.2">
      <c r="B370" s="1">
        <f ca="1">IFERROR(__xludf.DUMMYFUNCTION("""COMPUTED_VALUE"""),68.32)</f>
        <v>68.319999999999993</v>
      </c>
      <c r="C370" s="1">
        <f ca="1"/>
        <v>1</v>
      </c>
      <c r="E370" s="1">
        <f t="shared" ca="1" si="2"/>
        <v>2.1515922878021038E-2</v>
      </c>
      <c r="F370" s="1">
        <f t="shared" ca="1" si="3"/>
        <v>13.598063258909296</v>
      </c>
    </row>
    <row r="371" spans="2:6" x14ac:dyDescent="0.2">
      <c r="B371" s="1">
        <f ca="1">IFERROR(__xludf.DUMMYFUNCTION("""COMPUTED_VALUE"""),68.33)</f>
        <v>68.33</v>
      </c>
      <c r="C371" s="1">
        <f ca="1"/>
        <v>1</v>
      </c>
      <c r="E371" s="1">
        <f t="shared" ca="1" si="2"/>
        <v>2.1512653535471819E-2</v>
      </c>
      <c r="F371" s="1">
        <f t="shared" ca="1" si="3"/>
        <v>13.59599703441819</v>
      </c>
    </row>
    <row r="372" spans="2:6" x14ac:dyDescent="0.2">
      <c r="B372" s="1">
        <f ca="1">IFERROR(__xludf.DUMMYFUNCTION("""COMPUTED_VALUE"""),68.59)</f>
        <v>68.59</v>
      </c>
      <c r="C372" s="1">
        <f ca="1"/>
        <v>1</v>
      </c>
      <c r="E372" s="1">
        <f t="shared" ca="1" si="2"/>
        <v>2.1425470122039287E-2</v>
      </c>
      <c r="F372" s="1">
        <f t="shared" ca="1" si="3"/>
        <v>13.540897117128829</v>
      </c>
    </row>
    <row r="373" spans="2:6" x14ac:dyDescent="0.2">
      <c r="B373" s="1">
        <f ca="1">IFERROR(__xludf.DUMMYFUNCTION("""COMPUTED_VALUE"""),68.79)</f>
        <v>68.790000000000006</v>
      </c>
      <c r="C373" s="1">
        <f ca="1"/>
        <v>1</v>
      </c>
      <c r="E373" s="1">
        <f t="shared" ca="1" si="2"/>
        <v>2.1355570603133357E-2</v>
      </c>
      <c r="F373" s="1">
        <f t="shared" ca="1" si="3"/>
        <v>13.496720621180282</v>
      </c>
    </row>
    <row r="374" spans="2:6" x14ac:dyDescent="0.2">
      <c r="B374" s="1">
        <f ca="1">IFERROR(__xludf.DUMMYFUNCTION("""COMPUTED_VALUE"""),68.89)</f>
        <v>68.89</v>
      </c>
      <c r="C374" s="1">
        <f ca="1"/>
        <v>1</v>
      </c>
      <c r="E374" s="1">
        <f t="shared" ca="1" si="2"/>
        <v>2.1319705142606973E-2</v>
      </c>
      <c r="F374" s="1">
        <f t="shared" ca="1" si="3"/>
        <v>13.474053650127606</v>
      </c>
    </row>
    <row r="375" spans="2:6" x14ac:dyDescent="0.2">
      <c r="B375" s="1">
        <f ca="1">IFERROR(__xludf.DUMMYFUNCTION("""COMPUTED_VALUE"""),69.23)</f>
        <v>69.23</v>
      </c>
      <c r="C375" s="1">
        <f ca="1"/>
        <v>2</v>
      </c>
      <c r="E375" s="1">
        <f t="shared" ca="1" si="2"/>
        <v>2.1193248703065111E-2</v>
      </c>
      <c r="F375" s="1">
        <f t="shared" ca="1" si="3"/>
        <v>13.39413318033715</v>
      </c>
    </row>
    <row r="376" spans="2:6" x14ac:dyDescent="0.2">
      <c r="B376" s="1">
        <f ca="1">IFERROR(__xludf.DUMMYFUNCTION("""COMPUTED_VALUE"""),69.3)</f>
        <v>69.3</v>
      </c>
      <c r="C376" s="1">
        <f ca="1"/>
        <v>1</v>
      </c>
      <c r="E376" s="1">
        <f t="shared" ca="1" si="2"/>
        <v>2.116635582491767E-2</v>
      </c>
      <c r="F376" s="1">
        <f t="shared" ca="1" si="3"/>
        <v>13.377136881347967</v>
      </c>
    </row>
    <row r="377" spans="2:6" x14ac:dyDescent="0.2">
      <c r="B377" s="1">
        <f ca="1">IFERROR(__xludf.DUMMYFUNCTION("""COMPUTED_VALUE"""),69.52)</f>
        <v>69.52</v>
      </c>
      <c r="C377" s="1">
        <f ca="1"/>
        <v>1</v>
      </c>
      <c r="E377" s="1">
        <f t="shared" ca="1" si="2"/>
        <v>2.1079951847830413E-2</v>
      </c>
      <c r="F377" s="1">
        <f t="shared" ca="1" si="3"/>
        <v>13.322529567828822</v>
      </c>
    </row>
    <row r="378" spans="2:6" x14ac:dyDescent="0.2">
      <c r="B378" s="1">
        <f ca="1">IFERROR(__xludf.DUMMYFUNCTION("""COMPUTED_VALUE"""),69.53)</f>
        <v>69.53</v>
      </c>
      <c r="C378" s="1">
        <f ca="1"/>
        <v>1</v>
      </c>
      <c r="E378" s="1">
        <f t="shared" ca="1" si="2"/>
        <v>2.1075956901518894E-2</v>
      </c>
      <c r="F378" s="1">
        <f t="shared" ca="1" si="3"/>
        <v>13.320004761759941</v>
      </c>
    </row>
    <row r="379" spans="2:6" x14ac:dyDescent="0.2">
      <c r="B379" s="1">
        <f ca="1">IFERROR(__xludf.DUMMYFUNCTION("""COMPUTED_VALUE"""),69.57)</f>
        <v>69.569999999999993</v>
      </c>
      <c r="C379" s="1">
        <f ca="1"/>
        <v>2</v>
      </c>
      <c r="E379" s="1">
        <f t="shared" ca="1" si="2"/>
        <v>2.1059918749711051E-2</v>
      </c>
      <c r="F379" s="1">
        <f t="shared" ca="1" si="3"/>
        <v>13.309868649817384</v>
      </c>
    </row>
    <row r="380" spans="2:6" x14ac:dyDescent="0.2">
      <c r="B380" s="1">
        <f ca="1">IFERROR(__xludf.DUMMYFUNCTION("""COMPUTED_VALUE"""),69.71)</f>
        <v>69.709999999999994</v>
      </c>
      <c r="C380" s="1">
        <f ca="1"/>
        <v>1</v>
      </c>
      <c r="E380" s="1">
        <f t="shared" ca="1" si="2"/>
        <v>2.1003052701468305E-2</v>
      </c>
      <c r="F380" s="1">
        <f t="shared" ca="1" si="3"/>
        <v>13.273929307327968</v>
      </c>
    </row>
    <row r="381" spans="2:6" x14ac:dyDescent="0.2">
      <c r="B381" s="1">
        <f ca="1">IFERROR(__xludf.DUMMYFUNCTION("""COMPUTED_VALUE"""),69.88)</f>
        <v>69.88</v>
      </c>
      <c r="C381" s="1">
        <f ca="1"/>
        <v>1</v>
      </c>
      <c r="E381" s="1">
        <f t="shared" ca="1" si="2"/>
        <v>2.09324804906235E-2</v>
      </c>
      <c r="F381" s="1">
        <f t="shared" ca="1" si="3"/>
        <v>13.229327670074053</v>
      </c>
    </row>
    <row r="382" spans="2:6" x14ac:dyDescent="0.2">
      <c r="B382" s="1">
        <f ca="1">IFERROR(__xludf.DUMMYFUNCTION("""COMPUTED_VALUE"""),69.9)</f>
        <v>69.900000000000006</v>
      </c>
      <c r="C382" s="1">
        <f ca="1"/>
        <v>1</v>
      </c>
      <c r="E382" s="1">
        <f t="shared" ca="1" si="2"/>
        <v>2.0924069012163777E-2</v>
      </c>
      <c r="F382" s="1">
        <f t="shared" ca="1" si="3"/>
        <v>13.224011615687507</v>
      </c>
    </row>
    <row r="383" spans="2:6" x14ac:dyDescent="0.2">
      <c r="B383" s="1">
        <f ca="1">IFERROR(__xludf.DUMMYFUNCTION("""COMPUTED_VALUE"""),70.07)</f>
        <v>70.069999999999993</v>
      </c>
      <c r="C383" s="1">
        <f ca="1"/>
        <v>1</v>
      </c>
      <c r="E383" s="1">
        <f t="shared" ca="1" si="2"/>
        <v>2.0851653415523138E-2</v>
      </c>
      <c r="F383" s="1">
        <f t="shared" ca="1" si="3"/>
        <v>13.178244958610623</v>
      </c>
    </row>
    <row r="384" spans="2:6" x14ac:dyDescent="0.2">
      <c r="B384" s="1">
        <f ca="1">IFERROR(__xludf.DUMMYFUNCTION("""COMPUTED_VALUE"""),70.08)</f>
        <v>70.08</v>
      </c>
      <c r="C384" s="1">
        <f ca="1"/>
        <v>1</v>
      </c>
      <c r="E384" s="1">
        <f t="shared" ca="1" si="2"/>
        <v>2.0847342744355395E-2</v>
      </c>
      <c r="F384" s="1">
        <f t="shared" ca="1" si="3"/>
        <v>13.17552061443261</v>
      </c>
    </row>
    <row r="385" spans="2:6" x14ac:dyDescent="0.2">
      <c r="B385" s="1">
        <f ca="1">IFERROR(__xludf.DUMMYFUNCTION("""COMPUTED_VALUE"""),70.18)</f>
        <v>70.180000000000007</v>
      </c>
      <c r="C385" s="1">
        <f ca="1"/>
        <v>1</v>
      </c>
      <c r="E385" s="1">
        <f t="shared" ca="1" si="2"/>
        <v>2.0803926772384528E-2</v>
      </c>
      <c r="F385" s="1">
        <f t="shared" ca="1" si="3"/>
        <v>13.148081720147022</v>
      </c>
    </row>
    <row r="386" spans="2:6" x14ac:dyDescent="0.2">
      <c r="B386" s="1">
        <f ca="1">IFERROR(__xludf.DUMMYFUNCTION("""COMPUTED_VALUE"""),70.22)</f>
        <v>70.22</v>
      </c>
      <c r="C386" s="1">
        <f ca="1"/>
        <v>1</v>
      </c>
      <c r="E386" s="1">
        <f t="shared" ca="1" si="2"/>
        <v>2.078640348694874E-2</v>
      </c>
      <c r="F386" s="1">
        <f t="shared" ca="1" si="3"/>
        <v>13.137007003751604</v>
      </c>
    </row>
    <row r="387" spans="2:6" x14ac:dyDescent="0.2">
      <c r="B387" s="1">
        <f ca="1">IFERROR(__xludf.DUMMYFUNCTION("""COMPUTED_VALUE"""),70.27)</f>
        <v>70.27</v>
      </c>
      <c r="C387" s="1">
        <f ca="1"/>
        <v>1</v>
      </c>
      <c r="E387" s="1">
        <f t="shared" ca="1" si="2"/>
        <v>2.076437386034476E-2</v>
      </c>
      <c r="F387" s="1">
        <f t="shared" ca="1" si="3"/>
        <v>13.123084279737888</v>
      </c>
    </row>
    <row r="388" spans="2:6" x14ac:dyDescent="0.2">
      <c r="B388" s="1">
        <f ca="1">IFERROR(__xludf.DUMMYFUNCTION("""COMPUTED_VALUE"""),70.43)</f>
        <v>70.430000000000007</v>
      </c>
      <c r="C388" s="1">
        <f ca="1"/>
        <v>1</v>
      </c>
      <c r="E388" s="1">
        <f t="shared" ca="1" si="2"/>
        <v>2.0692947375223571E-2</v>
      </c>
      <c r="F388" s="1">
        <f t="shared" ca="1" si="3"/>
        <v>13.077942741141296</v>
      </c>
    </row>
    <row r="389" spans="2:6" x14ac:dyDescent="0.2">
      <c r="B389" s="1">
        <f ca="1">IFERROR(__xludf.DUMMYFUNCTION("""COMPUTED_VALUE"""),70.83)</f>
        <v>70.83</v>
      </c>
      <c r="C389" s="1">
        <f ca="1"/>
        <v>1</v>
      </c>
      <c r="E389" s="1">
        <f t="shared" ca="1" si="2"/>
        <v>2.0508261587764455E-2</v>
      </c>
      <c r="F389" s="1">
        <f t="shared" ca="1" si="3"/>
        <v>12.961221323467136</v>
      </c>
    </row>
    <row r="390" spans="2:6" x14ac:dyDescent="0.2">
      <c r="B390" s="1">
        <f ca="1">IFERROR(__xludf.DUMMYFUNCTION("""COMPUTED_VALUE"""),71.26)</f>
        <v>71.260000000000005</v>
      </c>
      <c r="C390" s="1">
        <f ca="1"/>
        <v>1</v>
      </c>
      <c r="E390" s="1">
        <f t="shared" ca="1" si="2"/>
        <v>2.0300217359590575E-2</v>
      </c>
      <c r="F390" s="1">
        <f t="shared" ca="1" si="3"/>
        <v>12.829737371261244</v>
      </c>
    </row>
    <row r="391" spans="2:6" x14ac:dyDescent="0.2">
      <c r="B391" s="1">
        <f ca="1">IFERROR(__xludf.DUMMYFUNCTION("""COMPUTED_VALUE"""),71.32)</f>
        <v>71.319999999999993</v>
      </c>
      <c r="C391" s="1">
        <f ca="1"/>
        <v>1</v>
      </c>
      <c r="E391" s="1">
        <f t="shared" ca="1" si="2"/>
        <v>2.0270423266583806E-2</v>
      </c>
      <c r="F391" s="1">
        <f t="shared" ca="1" si="3"/>
        <v>12.810907504480966</v>
      </c>
    </row>
    <row r="392" spans="2:6" x14ac:dyDescent="0.2">
      <c r="B392" s="1">
        <f ca="1">IFERROR(__xludf.DUMMYFUNCTION("""COMPUTED_VALUE"""),71.43)</f>
        <v>71.430000000000007</v>
      </c>
      <c r="C392" s="1">
        <f ca="1"/>
        <v>1</v>
      </c>
      <c r="E392" s="1">
        <f t="shared" ca="1" si="2"/>
        <v>2.0215322501902763E-2</v>
      </c>
      <c r="F392" s="1">
        <f t="shared" ca="1" si="3"/>
        <v>12.776083821202546</v>
      </c>
    </row>
    <row r="393" spans="2:6" x14ac:dyDescent="0.2">
      <c r="B393" s="1">
        <f ca="1">IFERROR(__xludf.DUMMYFUNCTION("""COMPUTED_VALUE"""),72)</f>
        <v>72</v>
      </c>
      <c r="C393" s="1">
        <f ca="1"/>
        <v>1</v>
      </c>
      <c r="E393" s="1">
        <f t="shared" ca="1" si="2"/>
        <v>1.9920099770556768E-2</v>
      </c>
      <c r="F393" s="1">
        <f t="shared" ca="1" si="3"/>
        <v>12.589503054991876</v>
      </c>
    </row>
    <row r="394" spans="2:6" x14ac:dyDescent="0.2">
      <c r="B394" s="1">
        <f ca="1">IFERROR(__xludf.DUMMYFUNCTION("""COMPUTED_VALUE"""),72.84)</f>
        <v>72.84</v>
      </c>
      <c r="C394" s="1">
        <f ca="1"/>
        <v>1</v>
      </c>
      <c r="E394" s="1">
        <f t="shared" ca="1" si="2"/>
        <v>1.9456766645170723E-2</v>
      </c>
      <c r="F394" s="1">
        <f t="shared" ca="1" si="3"/>
        <v>12.296676519747896</v>
      </c>
    </row>
    <row r="395" spans="2:6" x14ac:dyDescent="0.2">
      <c r="B395" s="1">
        <f ca="1">IFERROR(__xludf.DUMMYFUNCTION("""COMPUTED_VALUE"""),73.12)</f>
        <v>73.12</v>
      </c>
      <c r="C395" s="1">
        <f ca="1"/>
        <v>1</v>
      </c>
      <c r="E395" s="1">
        <f t="shared" ca="1" si="2"/>
        <v>1.9295254864140635E-2</v>
      </c>
      <c r="F395" s="1">
        <f t="shared" ca="1" si="3"/>
        <v>12.194601074136882</v>
      </c>
    </row>
    <row r="396" spans="2:6" x14ac:dyDescent="0.2">
      <c r="B396" s="1">
        <f ca="1">IFERROR(__xludf.DUMMYFUNCTION("""COMPUTED_VALUE"""),73.28)</f>
        <v>73.28</v>
      </c>
      <c r="C396" s="1">
        <f ca="1"/>
        <v>1</v>
      </c>
      <c r="E396" s="1">
        <f t="shared" ca="1" si="2"/>
        <v>1.9201448841308751E-2</v>
      </c>
      <c r="F396" s="1">
        <f t="shared" ca="1" si="3"/>
        <v>12.135315667707131</v>
      </c>
    </row>
    <row r="397" spans="2:6" x14ac:dyDescent="0.2">
      <c r="B397" s="1">
        <f ca="1">IFERROR(__xludf.DUMMYFUNCTION("""COMPUTED_VALUE"""),73.86)</f>
        <v>73.86</v>
      </c>
      <c r="C397" s="1">
        <f ca="1"/>
        <v>1</v>
      </c>
      <c r="E397" s="1">
        <f t="shared" ca="1" si="2"/>
        <v>1.8852537731523289E-2</v>
      </c>
      <c r="F397" s="1">
        <f t="shared" ca="1" si="3"/>
        <v>11.914803846322719</v>
      </c>
    </row>
    <row r="398" spans="2:6" x14ac:dyDescent="0.2">
      <c r="B398" s="1">
        <f ca="1">IFERROR(__xludf.DUMMYFUNCTION("""COMPUTED_VALUE"""),74.07)</f>
        <v>74.069999999999993</v>
      </c>
      <c r="C398" s="1">
        <f ca="1"/>
        <v>1</v>
      </c>
      <c r="E398" s="1">
        <f t="shared" ca="1" si="2"/>
        <v>1.872291419363593E-2</v>
      </c>
      <c r="F398" s="1">
        <f t="shared" ca="1" si="3"/>
        <v>11.832881770377908</v>
      </c>
    </row>
    <row r="399" spans="2:6" x14ac:dyDescent="0.2">
      <c r="B399" s="1">
        <f ca="1">IFERROR(__xludf.DUMMYFUNCTION("""COMPUTED_VALUE"""),75)</f>
        <v>75</v>
      </c>
      <c r="C399" s="1">
        <f ca="1"/>
        <v>1</v>
      </c>
      <c r="E399" s="1">
        <f t="shared" ca="1" si="2"/>
        <v>1.8129382499587229E-2</v>
      </c>
      <c r="F399" s="1">
        <f t="shared" ca="1" si="3"/>
        <v>11.457769739739129</v>
      </c>
    </row>
    <row r="400" spans="2:6" x14ac:dyDescent="0.2">
      <c r="B400" s="1">
        <f ca="1">IFERROR(__xludf.DUMMYFUNCTION("""COMPUTED_VALUE"""),75.31)</f>
        <v>75.31</v>
      </c>
      <c r="C400" s="1">
        <f ca="1"/>
        <v>1</v>
      </c>
      <c r="E400" s="1">
        <f t="shared" ca="1" si="2"/>
        <v>1.7924959990220656E-2</v>
      </c>
      <c r="F400" s="1">
        <f t="shared" ca="1" si="3"/>
        <v>11.328574713819455</v>
      </c>
    </row>
    <row r="401" spans="2:6" x14ac:dyDescent="0.2">
      <c r="B401" s="1">
        <f ca="1">IFERROR(__xludf.DUMMYFUNCTION("""COMPUTED_VALUE"""),75.68)</f>
        <v>75.680000000000007</v>
      </c>
      <c r="C401" s="1">
        <f ca="1"/>
        <v>1</v>
      </c>
      <c r="E401" s="1">
        <f t="shared" ca="1" si="2"/>
        <v>1.7677023306070853E-2</v>
      </c>
      <c r="F401" s="1">
        <f t="shared" ca="1" si="3"/>
        <v>11.171878729436779</v>
      </c>
    </row>
    <row r="402" spans="2:6" x14ac:dyDescent="0.2">
      <c r="B402" s="1">
        <f ca="1">IFERROR(__xludf.DUMMYFUNCTION("""COMPUTED_VALUE"""),75.97)</f>
        <v>75.97</v>
      </c>
      <c r="C402" s="1">
        <f ca="1"/>
        <v>1</v>
      </c>
      <c r="E402" s="1">
        <f t="shared" ca="1" si="2"/>
        <v>1.7479856121316754E-2</v>
      </c>
      <c r="F402" s="1">
        <f t="shared" ca="1" si="3"/>
        <v>11.047269068672188</v>
      </c>
    </row>
    <row r="403" spans="2:6" x14ac:dyDescent="0.2">
      <c r="B403" s="1">
        <f ca="1">IFERROR(__xludf.DUMMYFUNCTION("""COMPUTED_VALUE"""),76)</f>
        <v>76</v>
      </c>
      <c r="C403" s="1">
        <f ca="1"/>
        <v>1</v>
      </c>
      <c r="E403" s="1">
        <f t="shared" ca="1" si="2"/>
        <v>1.7459323070129575E-2</v>
      </c>
      <c r="F403" s="1">
        <f t="shared" ca="1" si="3"/>
        <v>11.034292180321891</v>
      </c>
    </row>
    <row r="404" spans="2:6" x14ac:dyDescent="0.2">
      <c r="B404" s="1">
        <f ca="1">IFERROR(__xludf.DUMMYFUNCTION("""COMPUTED_VALUE"""),76.07)</f>
        <v>76.069999999999993</v>
      </c>
      <c r="C404" s="1">
        <f ca="1"/>
        <v>1</v>
      </c>
      <c r="E404" s="1">
        <f t="shared" ca="1" si="2"/>
        <v>1.7411315571200604E-2</v>
      </c>
      <c r="F404" s="1">
        <f t="shared" ca="1" si="3"/>
        <v>11.003951440998781</v>
      </c>
    </row>
    <row r="405" spans="2:6" x14ac:dyDescent="0.2">
      <c r="B405" s="1">
        <f ca="1">IFERROR(__xludf.DUMMYFUNCTION("""COMPUTED_VALUE"""),76.74)</f>
        <v>76.739999999999995</v>
      </c>
      <c r="C405" s="1">
        <f ca="1"/>
        <v>1</v>
      </c>
      <c r="E405" s="1">
        <f t="shared" ca="1" si="2"/>
        <v>1.6945284319528655E-2</v>
      </c>
      <c r="F405" s="1">
        <f t="shared" ca="1" si="3"/>
        <v>10.709419689942109</v>
      </c>
    </row>
    <row r="406" spans="2:6" x14ac:dyDescent="0.2">
      <c r="B406" s="1">
        <f ca="1">IFERROR(__xludf.DUMMYFUNCTION("""COMPUTED_VALUE"""),76.92)</f>
        <v>76.92</v>
      </c>
      <c r="C406" s="1">
        <f ca="1"/>
        <v>1</v>
      </c>
      <c r="E406" s="1">
        <f t="shared" ca="1" si="2"/>
        <v>1.6818193025721812E-2</v>
      </c>
      <c r="F406" s="1">
        <f t="shared" ca="1" si="3"/>
        <v>10.629097992256185</v>
      </c>
    </row>
    <row r="407" spans="2:6" x14ac:dyDescent="0.2">
      <c r="B407" s="1">
        <f ca="1">IFERROR(__xludf.DUMMYFUNCTION("""COMPUTED_VALUE"""),77.05)</f>
        <v>77.05</v>
      </c>
      <c r="C407" s="1">
        <f ca="1"/>
        <v>1</v>
      </c>
      <c r="E407" s="1">
        <f t="shared" ca="1" si="2"/>
        <v>1.6725942862429965E-2</v>
      </c>
      <c r="F407" s="1">
        <f t="shared" ca="1" si="3"/>
        <v>10.570795889055738</v>
      </c>
    </row>
    <row r="408" spans="2:6" x14ac:dyDescent="0.2">
      <c r="B408" s="1">
        <f ca="1">IFERROR(__xludf.DUMMYFUNCTION("""COMPUTED_VALUE"""),77.38)</f>
        <v>77.38</v>
      </c>
      <c r="C408" s="1">
        <f ca="1"/>
        <v>1</v>
      </c>
      <c r="E408" s="1">
        <f t="shared" ca="1" si="2"/>
        <v>1.6490116445133932E-2</v>
      </c>
      <c r="F408" s="1">
        <f t="shared" ca="1" si="3"/>
        <v>10.421753593324645</v>
      </c>
    </row>
    <row r="409" spans="2:6" x14ac:dyDescent="0.2">
      <c r="B409" s="1">
        <f ca="1">IFERROR(__xludf.DUMMYFUNCTION("""COMPUTED_VALUE"""),77.78)</f>
        <v>77.78</v>
      </c>
      <c r="C409" s="1">
        <f ca="1"/>
        <v>1</v>
      </c>
      <c r="E409" s="1">
        <f t="shared" ca="1" si="2"/>
        <v>1.6201312130419192E-2</v>
      </c>
      <c r="F409" s="1">
        <f t="shared" ca="1" si="3"/>
        <v>10.23922926642493</v>
      </c>
    </row>
    <row r="410" spans="2:6" x14ac:dyDescent="0.2">
      <c r="B410" s="1">
        <f ca="1">IFERROR(__xludf.DUMMYFUNCTION("""COMPUTED_VALUE"""),78.16)</f>
        <v>78.16</v>
      </c>
      <c r="C410" s="1">
        <f ca="1"/>
        <v>1</v>
      </c>
      <c r="E410" s="1">
        <f t="shared" ca="1" si="2"/>
        <v>1.5924243931110318E-2</v>
      </c>
      <c r="F410" s="1">
        <f t="shared" ca="1" si="3"/>
        <v>10.064122164461722</v>
      </c>
    </row>
    <row r="411" spans="2:6" x14ac:dyDescent="0.2">
      <c r="B411" s="1">
        <f ca="1">IFERROR(__xludf.DUMMYFUNCTION("""COMPUTED_VALUE"""),78.18)</f>
        <v>78.180000000000007</v>
      </c>
      <c r="C411" s="1">
        <f ca="1"/>
        <v>1</v>
      </c>
      <c r="E411" s="1">
        <f t="shared" ca="1" si="2"/>
        <v>1.5909594118992815E-2</v>
      </c>
      <c r="F411" s="1">
        <f t="shared" ca="1" si="3"/>
        <v>10.054863483203459</v>
      </c>
    </row>
    <row r="412" spans="2:6" x14ac:dyDescent="0.2">
      <c r="B412" s="1">
        <f ca="1">IFERROR(__xludf.DUMMYFUNCTION("""COMPUTED_VALUE"""),78.33)</f>
        <v>78.33</v>
      </c>
      <c r="C412" s="1">
        <f ca="1"/>
        <v>1</v>
      </c>
      <c r="E412" s="1">
        <f t="shared" ca="1" si="2"/>
        <v>1.5799518555745056E-2</v>
      </c>
      <c r="F412" s="1">
        <f t="shared" ca="1" si="3"/>
        <v>9.9852957272308753</v>
      </c>
    </row>
    <row r="413" spans="2:6" x14ac:dyDescent="0.2">
      <c r="B413" s="1">
        <f ca="1">IFERROR(__xludf.DUMMYFUNCTION("""COMPUTED_VALUE"""),78.79)</f>
        <v>78.790000000000006</v>
      </c>
      <c r="C413" s="1">
        <f ca="1"/>
        <v>1</v>
      </c>
      <c r="E413" s="1">
        <f t="shared" ca="1" si="2"/>
        <v>1.545988742250386E-2</v>
      </c>
      <c r="F413" s="1">
        <f t="shared" ca="1" si="3"/>
        <v>9.7706488510224396</v>
      </c>
    </row>
    <row r="414" spans="2:6" x14ac:dyDescent="0.2">
      <c r="B414" s="1">
        <f ca="1">IFERROR(__xludf.DUMMYFUNCTION("""COMPUTED_VALUE"""),79.17)</f>
        <v>79.17</v>
      </c>
      <c r="C414" s="1">
        <f ca="1"/>
        <v>1</v>
      </c>
      <c r="E414" s="1">
        <f t="shared" ca="1" si="2"/>
        <v>1.5177250356848412E-2</v>
      </c>
      <c r="F414" s="1">
        <f t="shared" ca="1" si="3"/>
        <v>9.5920222255281971</v>
      </c>
    </row>
    <row r="415" spans="2:6" x14ac:dyDescent="0.2">
      <c r="B415" s="1">
        <f ca="1">IFERROR(__xludf.DUMMYFUNCTION("""COMPUTED_VALUE"""),79.66)</f>
        <v>79.66</v>
      </c>
      <c r="C415" s="1">
        <f ca="1"/>
        <v>1</v>
      </c>
      <c r="E415" s="1">
        <f t="shared" ca="1" si="2"/>
        <v>1.4810524038087466E-2</v>
      </c>
      <c r="F415" s="1">
        <f t="shared" ca="1" si="3"/>
        <v>9.3602511920712779</v>
      </c>
    </row>
    <row r="416" spans="2:6" x14ac:dyDescent="0.2">
      <c r="B416" s="1">
        <f ca="1">IFERROR(__xludf.DUMMYFUNCTION("""COMPUTED_VALUE"""),79.67)</f>
        <v>79.67</v>
      </c>
      <c r="C416" s="1">
        <f ca="1"/>
        <v>1</v>
      </c>
      <c r="E416" s="1">
        <f t="shared" ca="1" si="2"/>
        <v>1.480301696320622E-2</v>
      </c>
      <c r="F416" s="1">
        <f t="shared" ca="1" si="3"/>
        <v>9.3555067207463303</v>
      </c>
    </row>
    <row r="417" spans="2:6" x14ac:dyDescent="0.2">
      <c r="B417" s="1">
        <f ca="1">IFERROR(__xludf.DUMMYFUNCTION("""COMPUTED_VALUE"""),80.33)</f>
        <v>80.33</v>
      </c>
      <c r="C417" s="1">
        <f ca="1"/>
        <v>2</v>
      </c>
      <c r="E417" s="1">
        <f t="shared" ca="1" si="2"/>
        <v>1.4305964998545986E-2</v>
      </c>
      <c r="F417" s="1">
        <f t="shared" ca="1" si="3"/>
        <v>9.0413698790810635</v>
      </c>
    </row>
    <row r="418" spans="2:6" x14ac:dyDescent="0.2">
      <c r="B418" s="1">
        <f ca="1">IFERROR(__xludf.DUMMYFUNCTION("""COMPUTED_VALUE"""),80.56)</f>
        <v>80.56</v>
      </c>
      <c r="C418" s="1">
        <f ca="1"/>
        <v>1</v>
      </c>
      <c r="E418" s="1">
        <f t="shared" ca="1" si="2"/>
        <v>1.4132171117449768E-2</v>
      </c>
      <c r="F418" s="1">
        <f t="shared" ca="1" si="3"/>
        <v>8.9315321462282533</v>
      </c>
    </row>
    <row r="419" spans="2:6" x14ac:dyDescent="0.2">
      <c r="B419" s="1">
        <f ca="1">IFERROR(__xludf.DUMMYFUNCTION("""COMPUTED_VALUE"""),80.65)</f>
        <v>80.650000000000006</v>
      </c>
      <c r="C419" s="1">
        <f ca="1"/>
        <v>5</v>
      </c>
      <c r="E419" s="1">
        <f t="shared" ca="1" si="2"/>
        <v>1.4064106873552369E-2</v>
      </c>
      <c r="F419" s="1">
        <f t="shared" ca="1" si="3"/>
        <v>8.8885155440850969</v>
      </c>
    </row>
    <row r="420" spans="2:6" x14ac:dyDescent="0.2">
      <c r="B420" s="1">
        <f ca="1">IFERROR(__xludf.DUMMYFUNCTION("""COMPUTED_VALUE"""),80.77)</f>
        <v>80.77</v>
      </c>
      <c r="C420" s="1">
        <f ca="1"/>
        <v>1</v>
      </c>
      <c r="E420" s="1">
        <f t="shared" ca="1" si="2"/>
        <v>1.3973312965363867E-2</v>
      </c>
      <c r="F420" s="1">
        <f t="shared" ca="1" si="3"/>
        <v>8.831133794109963</v>
      </c>
    </row>
    <row r="421" spans="2:6" x14ac:dyDescent="0.2">
      <c r="B421" s="1">
        <f ca="1">IFERROR(__xludf.DUMMYFUNCTION("""COMPUTED_VALUE"""),80.95)</f>
        <v>80.95</v>
      </c>
      <c r="C421" s="1">
        <f ca="1"/>
        <v>2</v>
      </c>
      <c r="E421" s="1">
        <f t="shared" ca="1" si="2"/>
        <v>1.3837050185840232E-2</v>
      </c>
      <c r="F421" s="1">
        <f t="shared" ca="1" si="3"/>
        <v>8.745015717451027</v>
      </c>
    </row>
    <row r="422" spans="2:6" x14ac:dyDescent="0.2">
      <c r="B422" s="1">
        <f ca="1">IFERROR(__xludf.DUMMYFUNCTION("""COMPUTED_VALUE"""),81.16)</f>
        <v>81.16</v>
      </c>
      <c r="C422" s="1">
        <f ca="1"/>
        <v>1</v>
      </c>
      <c r="E422" s="1">
        <f t="shared" ca="1" si="2"/>
        <v>1.3678001708664379E-2</v>
      </c>
      <c r="F422" s="1">
        <f t="shared" ca="1" si="3"/>
        <v>8.6444970798758884</v>
      </c>
    </row>
    <row r="423" spans="2:6" x14ac:dyDescent="0.2">
      <c r="B423" s="1">
        <f ca="1">IFERROR(__xludf.DUMMYFUNCTION("""COMPUTED_VALUE"""),81.25)</f>
        <v>81.25</v>
      </c>
      <c r="C423" s="1">
        <f ca="1"/>
        <v>1</v>
      </c>
      <c r="E423" s="1">
        <f t="shared" ca="1" si="2"/>
        <v>1.3609823692628573E-2</v>
      </c>
      <c r="F423" s="1">
        <f t="shared" ca="1" si="3"/>
        <v>8.6014085737412582</v>
      </c>
    </row>
    <row r="424" spans="2:6" x14ac:dyDescent="0.2">
      <c r="B424" s="1">
        <f ca="1">IFERROR(__xludf.DUMMYFUNCTION("""COMPUTED_VALUE"""),81.54)</f>
        <v>81.540000000000006</v>
      </c>
      <c r="C424" s="1">
        <f ca="1"/>
        <v>1</v>
      </c>
      <c r="E424" s="1">
        <f t="shared" ca="1" si="2"/>
        <v>1.3390132009834922E-2</v>
      </c>
      <c r="F424" s="1">
        <f t="shared" ca="1" si="3"/>
        <v>8.4625634302156705</v>
      </c>
    </row>
    <row r="425" spans="2:6" x14ac:dyDescent="0.2">
      <c r="B425" s="1">
        <f ca="1">IFERROR(__xludf.DUMMYFUNCTION("""COMPUTED_VALUE"""),82.09)</f>
        <v>82.09</v>
      </c>
      <c r="C425" s="1">
        <f ca="1"/>
        <v>1</v>
      </c>
      <c r="E425" s="1">
        <f t="shared" ca="1" si="2"/>
        <v>1.2973782617519391E-2</v>
      </c>
      <c r="F425" s="1">
        <f t="shared" ca="1" si="3"/>
        <v>8.1994306142722557</v>
      </c>
    </row>
    <row r="426" spans="2:6" x14ac:dyDescent="0.2">
      <c r="B426" s="1">
        <f ca="1">IFERROR(__xludf.DUMMYFUNCTION("""COMPUTED_VALUE"""),82.26)</f>
        <v>82.26</v>
      </c>
      <c r="C426" s="1">
        <f ca="1"/>
        <v>1</v>
      </c>
      <c r="E426" s="1">
        <f t="shared" ca="1" si="2"/>
        <v>1.2845269428250067E-2</v>
      </c>
      <c r="F426" s="1">
        <f t="shared" ca="1" si="3"/>
        <v>8.1182102786540415</v>
      </c>
    </row>
    <row r="427" spans="2:6" x14ac:dyDescent="0.2">
      <c r="B427" s="1">
        <f ca="1">IFERROR(__xludf.DUMMYFUNCTION("""COMPUTED_VALUE"""),82.46)</f>
        <v>82.46</v>
      </c>
      <c r="C427" s="1">
        <f ca="1"/>
        <v>1</v>
      </c>
      <c r="E427" s="1">
        <f t="shared" ca="1" si="2"/>
        <v>1.2694235666757371E-2</v>
      </c>
      <c r="F427" s="1">
        <f t="shared" ca="1" si="3"/>
        <v>8.022756941390659</v>
      </c>
    </row>
    <row r="428" spans="2:6" x14ac:dyDescent="0.2">
      <c r="B428" s="1">
        <f ca="1">IFERROR(__xludf.DUMMYFUNCTION("""COMPUTED_VALUE"""),82.5)</f>
        <v>82.5</v>
      </c>
      <c r="C428" s="1">
        <f ca="1"/>
        <v>1</v>
      </c>
      <c r="E428" s="1">
        <f t="shared" ca="1" si="2"/>
        <v>1.2664052368048845E-2</v>
      </c>
      <c r="F428" s="1">
        <f t="shared" ca="1" si="3"/>
        <v>8.0036810966068703</v>
      </c>
    </row>
    <row r="429" spans="2:6" x14ac:dyDescent="0.2">
      <c r="B429" s="1">
        <f ca="1">IFERROR(__xludf.DUMMYFUNCTION("""COMPUTED_VALUE"""),82.76)</f>
        <v>82.76</v>
      </c>
      <c r="C429" s="1">
        <f ca="1"/>
        <v>1</v>
      </c>
      <c r="E429" s="1">
        <f t="shared" ca="1" si="2"/>
        <v>1.2468080152374484E-2</v>
      </c>
      <c r="F429" s="1">
        <f t="shared" ca="1" si="3"/>
        <v>7.8798266563006738</v>
      </c>
    </row>
    <row r="430" spans="2:6" x14ac:dyDescent="0.2">
      <c r="B430" s="1">
        <f ca="1">IFERROR(__xludf.DUMMYFUNCTION("""COMPUTED_VALUE"""),82.81)</f>
        <v>82.81</v>
      </c>
      <c r="C430" s="1">
        <f ca="1"/>
        <v>1</v>
      </c>
      <c r="E430" s="1">
        <f t="shared" ca="1" si="2"/>
        <v>1.2430440700294249E-2</v>
      </c>
      <c r="F430" s="1">
        <f t="shared" ca="1" si="3"/>
        <v>7.8560385225859655</v>
      </c>
    </row>
    <row r="431" spans="2:6" x14ac:dyDescent="0.2">
      <c r="B431" s="1">
        <f ca="1">IFERROR(__xludf.DUMMYFUNCTION("""COMPUTED_VALUE"""),83.08)</f>
        <v>83.08</v>
      </c>
      <c r="C431" s="1">
        <f ca="1"/>
        <v>1</v>
      </c>
      <c r="E431" s="1">
        <f t="shared" ca="1" si="2"/>
        <v>1.2227488559864873E-2</v>
      </c>
      <c r="F431" s="1">
        <f t="shared" ca="1" si="3"/>
        <v>7.7277727698345995</v>
      </c>
    </row>
    <row r="432" spans="2:6" x14ac:dyDescent="0.2">
      <c r="B432" s="1">
        <f ca="1">IFERROR(__xludf.DUMMYFUNCTION("""COMPUTED_VALUE"""),83.33)</f>
        <v>83.33</v>
      </c>
      <c r="C432" s="1">
        <f ca="1"/>
        <v>2</v>
      </c>
      <c r="E432" s="1">
        <f t="shared" ca="1" si="2"/>
        <v>1.2040075136537116E-2</v>
      </c>
      <c r="F432" s="1">
        <f t="shared" ca="1" si="3"/>
        <v>7.6093274862914573</v>
      </c>
    </row>
    <row r="433" spans="2:6" x14ac:dyDescent="0.2">
      <c r="B433" s="1">
        <f ca="1">IFERROR(__xludf.DUMMYFUNCTION("""COMPUTED_VALUE"""),84.21)</f>
        <v>84.21</v>
      </c>
      <c r="C433" s="1">
        <f ca="1"/>
        <v>1</v>
      </c>
      <c r="E433" s="1">
        <f t="shared" ca="1" si="2"/>
        <v>1.138520208861963E-2</v>
      </c>
      <c r="F433" s="1">
        <f t="shared" ca="1" si="3"/>
        <v>7.1954477200076061</v>
      </c>
    </row>
    <row r="434" spans="2:6" x14ac:dyDescent="0.2">
      <c r="B434" s="1">
        <f ca="1">IFERROR(__xludf.DUMMYFUNCTION("""COMPUTED_VALUE"""),84.48)</f>
        <v>84.48</v>
      </c>
      <c r="C434" s="1">
        <f ca="1"/>
        <v>1</v>
      </c>
      <c r="E434" s="1">
        <f t="shared" ca="1" si="2"/>
        <v>1.1186069357757615E-2</v>
      </c>
      <c r="F434" s="1">
        <f t="shared" ca="1" si="3"/>
        <v>7.0695958341028131</v>
      </c>
    </row>
    <row r="435" spans="2:6" x14ac:dyDescent="0.2">
      <c r="B435" s="1">
        <f ca="1">IFERROR(__xludf.DUMMYFUNCTION("""COMPUTED_VALUE"""),85)</f>
        <v>85</v>
      </c>
      <c r="C435" s="1">
        <f ca="1"/>
        <v>3</v>
      </c>
      <c r="E435" s="1">
        <f t="shared" ca="1" si="2"/>
        <v>1.0805363859682159E-2</v>
      </c>
      <c r="F435" s="1">
        <f t="shared" ca="1" si="3"/>
        <v>6.8289899593191246</v>
      </c>
    </row>
    <row r="436" spans="2:6" x14ac:dyDescent="0.2">
      <c r="B436" s="1">
        <f ca="1">IFERROR(__xludf.DUMMYFUNCTION("""COMPUTED_VALUE"""),85.9)</f>
        <v>85.9</v>
      </c>
      <c r="C436" s="1">
        <f ca="1"/>
        <v>1</v>
      </c>
      <c r="E436" s="1">
        <f t="shared" ca="1" si="2"/>
        <v>1.0156475656090694E-2</v>
      </c>
      <c r="F436" s="1">
        <f t="shared" ca="1" si="3"/>
        <v>6.4188926146493186</v>
      </c>
    </row>
    <row r="437" spans="2:6" x14ac:dyDescent="0.2">
      <c r="B437" s="1">
        <f ca="1">IFERROR(__xludf.DUMMYFUNCTION("""COMPUTED_VALUE"""),85.96)</f>
        <v>85.96</v>
      </c>
      <c r="C437" s="1">
        <f ca="1"/>
        <v>1</v>
      </c>
      <c r="E437" s="1">
        <f t="shared" ca="1" si="2"/>
        <v>1.0113716623572407E-2</v>
      </c>
      <c r="F437" s="1">
        <f t="shared" ca="1" si="3"/>
        <v>6.3918689060977618</v>
      </c>
    </row>
    <row r="438" spans="2:6" x14ac:dyDescent="0.2">
      <c r="B438" s="1">
        <f ca="1">IFERROR(__xludf.DUMMYFUNCTION("""COMPUTED_VALUE"""),86)</f>
        <v>86</v>
      </c>
      <c r="C438" s="1">
        <f ca="1"/>
        <v>1</v>
      </c>
      <c r="E438" s="1">
        <f t="shared" ca="1" si="2"/>
        <v>1.0085247506470515E-2</v>
      </c>
      <c r="F438" s="1">
        <f t="shared" ca="1" si="3"/>
        <v>6.3738764240893655</v>
      </c>
    </row>
    <row r="439" spans="2:6" x14ac:dyDescent="0.2">
      <c r="B439" s="1">
        <f ca="1">IFERROR(__xludf.DUMMYFUNCTION("""COMPUTED_VALUE"""),86.05)</f>
        <v>86.05</v>
      </c>
      <c r="C439" s="1">
        <f ca="1"/>
        <v>1</v>
      </c>
      <c r="E439" s="1">
        <f t="shared" ca="1" si="2"/>
        <v>1.0049702982269254E-2</v>
      </c>
      <c r="F439" s="1">
        <f t="shared" ca="1" si="3"/>
        <v>6.3514122847941685</v>
      </c>
    </row>
    <row r="440" spans="2:6" x14ac:dyDescent="0.2">
      <c r="B440" s="1">
        <f ca="1">IFERROR(__xludf.DUMMYFUNCTION("""COMPUTED_VALUE"""),86.21)</f>
        <v>86.21</v>
      </c>
      <c r="C440" s="1">
        <f ca="1"/>
        <v>1</v>
      </c>
      <c r="E440" s="1">
        <f t="shared" ca="1" si="2"/>
        <v>9.9362775192658407E-3</v>
      </c>
      <c r="F440" s="1">
        <f t="shared" ca="1" si="3"/>
        <v>6.2797273921760111</v>
      </c>
    </row>
    <row r="441" spans="2:6" x14ac:dyDescent="0.2">
      <c r="B441" s="1">
        <f ca="1">IFERROR(__xludf.DUMMYFUNCTION("""COMPUTED_VALUE"""),86.25)</f>
        <v>86.25</v>
      </c>
      <c r="C441" s="1">
        <f ca="1"/>
        <v>3</v>
      </c>
      <c r="E441" s="1">
        <f t="shared" ca="1" si="2"/>
        <v>9.907997663744882E-3</v>
      </c>
      <c r="F441" s="1">
        <f t="shared" ca="1" si="3"/>
        <v>6.2618545234867655</v>
      </c>
    </row>
    <row r="442" spans="2:6" x14ac:dyDescent="0.2">
      <c r="B442" s="1">
        <f ca="1">IFERROR(__xludf.DUMMYFUNCTION("""COMPUTED_VALUE"""),86.27)</f>
        <v>86.27</v>
      </c>
      <c r="C442" s="1">
        <f ca="1"/>
        <v>1</v>
      </c>
      <c r="E442" s="1">
        <f t="shared" ca="1" si="2"/>
        <v>9.8938693473760893E-3</v>
      </c>
      <c r="F442" s="1">
        <f t="shared" ca="1" si="3"/>
        <v>6.2529254275416886</v>
      </c>
    </row>
    <row r="443" spans="2:6" x14ac:dyDescent="0.2">
      <c r="B443" s="1">
        <f ca="1">IFERROR(__xludf.DUMMYFUNCTION("""COMPUTED_VALUE"""),86.32)</f>
        <v>86.32</v>
      </c>
      <c r="C443" s="1">
        <f ca="1"/>
        <v>2</v>
      </c>
      <c r="E443" s="1">
        <f t="shared" ca="1" si="2"/>
        <v>9.8585826179531186E-3</v>
      </c>
      <c r="F443" s="1">
        <f t="shared" ca="1" si="3"/>
        <v>6.2306242145463706</v>
      </c>
    </row>
    <row r="444" spans="2:6" x14ac:dyDescent="0.2">
      <c r="B444" s="1">
        <f ca="1">IFERROR(__xludf.DUMMYFUNCTION("""COMPUTED_VALUE"""),86.36)</f>
        <v>86.36</v>
      </c>
      <c r="C444" s="1">
        <f ca="1"/>
        <v>1</v>
      </c>
      <c r="E444" s="1">
        <f t="shared" ca="1" si="2"/>
        <v>9.8303884686208893E-3</v>
      </c>
      <c r="F444" s="1">
        <f t="shared" ca="1" si="3"/>
        <v>6.2128055121684023</v>
      </c>
    </row>
    <row r="445" spans="2:6" x14ac:dyDescent="0.2">
      <c r="B445" s="1">
        <f ca="1">IFERROR(__xludf.DUMMYFUNCTION("""COMPUTED_VALUE"""),86.49)</f>
        <v>86.49</v>
      </c>
      <c r="C445" s="1">
        <f ca="1"/>
        <v>1</v>
      </c>
      <c r="E445" s="1">
        <f t="shared" ca="1" si="2"/>
        <v>9.7389762124095568E-3</v>
      </c>
      <c r="F445" s="1">
        <f t="shared" ca="1" si="3"/>
        <v>6.1550329662428398</v>
      </c>
    </row>
    <row r="446" spans="2:6" x14ac:dyDescent="0.2">
      <c r="B446" s="1">
        <f ca="1">IFERROR(__xludf.DUMMYFUNCTION("""COMPUTED_VALUE"""),86.54)</f>
        <v>86.54</v>
      </c>
      <c r="C446" s="1">
        <f ca="1"/>
        <v>1</v>
      </c>
      <c r="E446" s="1">
        <f t="shared" ca="1" si="2"/>
        <v>9.7039077083091851E-3</v>
      </c>
      <c r="F446" s="1">
        <f t="shared" ca="1" si="3"/>
        <v>6.1328696716514051</v>
      </c>
    </row>
    <row r="447" spans="2:6" x14ac:dyDescent="0.2">
      <c r="B447" s="1">
        <f ca="1">IFERROR(__xludf.DUMMYFUNCTION("""COMPUTED_VALUE"""),86.9)</f>
        <v>86.9</v>
      </c>
      <c r="C447" s="1">
        <f ca="1"/>
        <v>1</v>
      </c>
      <c r="E447" s="1">
        <f t="shared" ca="1" si="2"/>
        <v>9.4529301044728176E-3</v>
      </c>
      <c r="F447" s="1">
        <f t="shared" ca="1" si="3"/>
        <v>5.9742518260268209</v>
      </c>
    </row>
    <row r="448" spans="2:6" x14ac:dyDescent="0.2">
      <c r="B448" s="1">
        <f ca="1">IFERROR(__xludf.DUMMYFUNCTION("""COMPUTED_VALUE"""),86.96)</f>
        <v>86.96</v>
      </c>
      <c r="C448" s="1">
        <f ca="1"/>
        <v>1</v>
      </c>
      <c r="E448" s="1">
        <f t="shared" ca="1" si="2"/>
        <v>9.4113649020281017E-3</v>
      </c>
      <c r="F448" s="1">
        <f t="shared" ca="1" si="3"/>
        <v>5.9479826180817605</v>
      </c>
    </row>
    <row r="449" spans="2:6" x14ac:dyDescent="0.2">
      <c r="B449" s="1">
        <f ca="1">IFERROR(__xludf.DUMMYFUNCTION("""COMPUTED_VALUE"""),87.06)</f>
        <v>87.06</v>
      </c>
      <c r="C449" s="1">
        <f ca="1"/>
        <v>1</v>
      </c>
      <c r="E449" s="1">
        <f t="shared" ca="1" si="2"/>
        <v>9.34226131369594E-3</v>
      </c>
      <c r="F449" s="1">
        <f t="shared" ca="1" si="3"/>
        <v>5.904309150255834</v>
      </c>
    </row>
    <row r="450" spans="2:6" x14ac:dyDescent="0.2">
      <c r="B450" s="1">
        <f ca="1">IFERROR(__xludf.DUMMYFUNCTION("""COMPUTED_VALUE"""),87.1)</f>
        <v>87.1</v>
      </c>
      <c r="C450" s="1">
        <f ca="1"/>
        <v>1</v>
      </c>
      <c r="E450" s="1">
        <f t="shared" ca="1" si="2"/>
        <v>9.3146805019173502E-3</v>
      </c>
      <c r="F450" s="1">
        <f t="shared" ca="1" si="3"/>
        <v>5.8868780772117653</v>
      </c>
    </row>
    <row r="451" spans="2:6" x14ac:dyDescent="0.2">
      <c r="B451" s="1">
        <f ca="1">IFERROR(__xludf.DUMMYFUNCTION("""COMPUTED_VALUE"""),87.13)</f>
        <v>87.13</v>
      </c>
      <c r="C451" s="1">
        <f ca="1"/>
        <v>1</v>
      </c>
      <c r="E451" s="1">
        <f t="shared" ca="1" si="2"/>
        <v>9.2940177885342794E-3</v>
      </c>
      <c r="F451" s="1">
        <f t="shared" ca="1" si="3"/>
        <v>5.8738192423536644</v>
      </c>
    </row>
    <row r="452" spans="2:6" x14ac:dyDescent="0.2">
      <c r="B452" s="1">
        <f ca="1">IFERROR(__xludf.DUMMYFUNCTION("""COMPUTED_VALUE"""),87.23)</f>
        <v>87.23</v>
      </c>
      <c r="C452" s="1">
        <f ca="1"/>
        <v>6</v>
      </c>
      <c r="E452" s="1">
        <f t="shared" ca="1" si="2"/>
        <v>9.2252848014317008E-3</v>
      </c>
      <c r="F452" s="1">
        <f t="shared" ca="1" si="3"/>
        <v>5.8303799945048347</v>
      </c>
    </row>
    <row r="453" spans="2:6" x14ac:dyDescent="0.2">
      <c r="B453" s="1">
        <f ca="1">IFERROR(__xludf.DUMMYFUNCTION("""COMPUTED_VALUE"""),87.26)</f>
        <v>87.26</v>
      </c>
      <c r="C453" s="1">
        <f ca="1"/>
        <v>1</v>
      </c>
      <c r="E453" s="1">
        <f t="shared" ca="1" si="2"/>
        <v>9.2047080000986978E-3</v>
      </c>
      <c r="F453" s="1">
        <f t="shared" ca="1" si="3"/>
        <v>5.8173754560623774</v>
      </c>
    </row>
    <row r="454" spans="2:6" x14ac:dyDescent="0.2">
      <c r="B454" s="1">
        <f ca="1">IFERROR(__xludf.DUMMYFUNCTION("""COMPUTED_VALUE"""),87.5)</f>
        <v>87.5</v>
      </c>
      <c r="C454" s="1">
        <f ca="1"/>
        <v>6</v>
      </c>
      <c r="E454" s="1">
        <f t="shared" ca="1" si="2"/>
        <v>9.0408201283090159E-3</v>
      </c>
      <c r="F454" s="1">
        <f t="shared" ca="1" si="3"/>
        <v>5.7137983210912981</v>
      </c>
    </row>
    <row r="455" spans="2:6" x14ac:dyDescent="0.2">
      <c r="B455" s="1">
        <f ca="1">IFERROR(__xludf.DUMMYFUNCTION("""COMPUTED_VALUE"""),87.72)</f>
        <v>87.72</v>
      </c>
      <c r="C455" s="1">
        <f ca="1"/>
        <v>1</v>
      </c>
      <c r="E455" s="1">
        <f t="shared" ca="1" si="2"/>
        <v>8.8917454623310827E-3</v>
      </c>
      <c r="F455" s="1">
        <f t="shared" ca="1" si="3"/>
        <v>5.6195831321932443</v>
      </c>
    </row>
    <row r="456" spans="2:6" x14ac:dyDescent="0.2">
      <c r="B456" s="1">
        <f ca="1">IFERROR(__xludf.DUMMYFUNCTION("""COMPUTED_VALUE"""),87.76)</f>
        <v>87.76</v>
      </c>
      <c r="C456" s="1">
        <f ca="1"/>
        <v>1</v>
      </c>
      <c r="E456" s="1">
        <f t="shared" ca="1" si="2"/>
        <v>8.8647619433565982E-3</v>
      </c>
      <c r="F456" s="1">
        <f t="shared" ca="1" si="3"/>
        <v>5.6025295482013702</v>
      </c>
    </row>
    <row r="457" spans="2:6" x14ac:dyDescent="0.2">
      <c r="B457" s="1">
        <f ca="1">IFERROR(__xludf.DUMMYFUNCTION("""COMPUTED_VALUE"""),87.88)</f>
        <v>87.88</v>
      </c>
      <c r="C457" s="1">
        <f ca="1"/>
        <v>1</v>
      </c>
      <c r="E457" s="1">
        <f t="shared" ca="1" si="2"/>
        <v>8.7840376891022576E-3</v>
      </c>
      <c r="F457" s="1">
        <f t="shared" ca="1" si="3"/>
        <v>5.5515118195126272</v>
      </c>
    </row>
    <row r="458" spans="2:6" x14ac:dyDescent="0.2">
      <c r="B458" s="1">
        <f ca="1">IFERROR(__xludf.DUMMYFUNCTION("""COMPUTED_VALUE"""),88)</f>
        <v>88</v>
      </c>
      <c r="C458" s="1">
        <f ca="1"/>
        <v>2</v>
      </c>
      <c r="E458" s="1">
        <f t="shared" ca="1" si="2"/>
        <v>8.7036561157768852E-3</v>
      </c>
      <c r="F458" s="1">
        <f t="shared" ca="1" si="3"/>
        <v>5.5007106651709918</v>
      </c>
    </row>
    <row r="459" spans="2:6" x14ac:dyDescent="0.2">
      <c r="B459" s="1">
        <f ca="1">IFERROR(__xludf.DUMMYFUNCTION("""COMPUTED_VALUE"""),88.08)</f>
        <v>88.08</v>
      </c>
      <c r="C459" s="1">
        <f ca="1"/>
        <v>1</v>
      </c>
      <c r="E459" s="1">
        <f t="shared" ca="1" si="2"/>
        <v>8.6502607962005221E-3</v>
      </c>
      <c r="F459" s="1">
        <f t="shared" ca="1" si="3"/>
        <v>5.4669648231987296</v>
      </c>
    </row>
    <row r="460" spans="2:6" x14ac:dyDescent="0.2">
      <c r="B460" s="1">
        <f ca="1">IFERROR(__xludf.DUMMYFUNCTION("""COMPUTED_VALUE"""),88.14)</f>
        <v>88.14</v>
      </c>
      <c r="C460" s="1">
        <f ca="1"/>
        <v>2</v>
      </c>
      <c r="E460" s="1">
        <f t="shared" ca="1" si="2"/>
        <v>8.6103161610446028E-3</v>
      </c>
      <c r="F460" s="1">
        <f t="shared" ca="1" si="3"/>
        <v>5.441719813780189</v>
      </c>
    </row>
    <row r="461" spans="2:6" x14ac:dyDescent="0.2">
      <c r="B461" s="1">
        <f ca="1">IFERROR(__xludf.DUMMYFUNCTION("""COMPUTED_VALUE"""),88.19)</f>
        <v>88.19</v>
      </c>
      <c r="C461" s="1">
        <f ca="1"/>
        <v>1</v>
      </c>
      <c r="E461" s="1">
        <f t="shared" ca="1" si="2"/>
        <v>8.5770960551723938E-3</v>
      </c>
      <c r="F461" s="1">
        <f t="shared" ca="1" si="3"/>
        <v>5.4207247068689526</v>
      </c>
    </row>
    <row r="462" spans="2:6" x14ac:dyDescent="0.2">
      <c r="B462" s="1">
        <f ca="1">IFERROR(__xludf.DUMMYFUNCTION("""COMPUTED_VALUE"""),88.35)</f>
        <v>88.35</v>
      </c>
      <c r="C462" s="1">
        <f ca="1"/>
        <v>1</v>
      </c>
      <c r="E462" s="1">
        <f t="shared" ca="1" si="2"/>
        <v>8.4712049915370256E-3</v>
      </c>
      <c r="F462" s="1">
        <f t="shared" ca="1" si="3"/>
        <v>5.3538015546514002</v>
      </c>
    </row>
    <row r="463" spans="2:6" x14ac:dyDescent="0.2">
      <c r="B463" s="1">
        <f ca="1">IFERROR(__xludf.DUMMYFUNCTION("""COMPUTED_VALUE"""),88.46)</f>
        <v>88.46</v>
      </c>
      <c r="C463" s="1">
        <f ca="1"/>
        <v>6</v>
      </c>
      <c r="E463" s="1">
        <f t="shared" ca="1" si="2"/>
        <v>8.3987737084140618E-3</v>
      </c>
      <c r="F463" s="1">
        <f t="shared" ca="1" si="3"/>
        <v>5.3080249837176874</v>
      </c>
    </row>
    <row r="464" spans="2:6" x14ac:dyDescent="0.2">
      <c r="B464" s="1">
        <f ca="1">IFERROR(__xludf.DUMMYFUNCTION("""COMPUTED_VALUE"""),88.62)</f>
        <v>88.62</v>
      </c>
      <c r="C464" s="1">
        <f ca="1"/>
        <v>1</v>
      </c>
      <c r="E464" s="1">
        <f t="shared" ca="1" si="2"/>
        <v>8.2939623094285663E-3</v>
      </c>
      <c r="F464" s="1">
        <f t="shared" ca="1" si="3"/>
        <v>5.241784179558854</v>
      </c>
    </row>
    <row r="465" spans="2:6" x14ac:dyDescent="0.2">
      <c r="B465" s="1">
        <f ca="1">IFERROR(__xludf.DUMMYFUNCTION("""COMPUTED_VALUE"""),88.64)</f>
        <v>88.64</v>
      </c>
      <c r="C465" s="1">
        <f ca="1"/>
        <v>3</v>
      </c>
      <c r="E465" s="1">
        <f t="shared" ca="1" si="2"/>
        <v>8.2809065208014968E-3</v>
      </c>
      <c r="F465" s="1">
        <f t="shared" ca="1" si="3"/>
        <v>5.233532921146546</v>
      </c>
    </row>
    <row r="466" spans="2:6" x14ac:dyDescent="0.2">
      <c r="B466" s="1">
        <f ca="1">IFERROR(__xludf.DUMMYFUNCTION("""COMPUTED_VALUE"""),88.68)</f>
        <v>88.68</v>
      </c>
      <c r="C466" s="1">
        <f ca="1"/>
        <v>5</v>
      </c>
      <c r="E466" s="1">
        <f t="shared" ca="1" si="2"/>
        <v>8.2548255519205079E-3</v>
      </c>
      <c r="F466" s="1">
        <f t="shared" ca="1" si="3"/>
        <v>5.2170497488137606</v>
      </c>
    </row>
    <row r="467" spans="2:6" x14ac:dyDescent="0.2">
      <c r="B467" s="1">
        <f ca="1">IFERROR(__xludf.DUMMYFUNCTION("""COMPUTED_VALUE"""),88.71)</f>
        <v>88.71</v>
      </c>
      <c r="C467" s="1">
        <f ca="1"/>
        <v>1</v>
      </c>
      <c r="E467" s="1">
        <f t="shared" ca="1" si="2"/>
        <v>8.2352916727309114E-3</v>
      </c>
      <c r="F467" s="1">
        <f t="shared" ca="1" si="3"/>
        <v>5.2047043371659356</v>
      </c>
    </row>
    <row r="468" spans="2:6" x14ac:dyDescent="0.2">
      <c r="B468" s="1">
        <f ca="1">IFERROR(__xludf.DUMMYFUNCTION("""COMPUTED_VALUE"""),88.75)</f>
        <v>88.75</v>
      </c>
      <c r="C468" s="1">
        <f ca="1"/>
        <v>1</v>
      </c>
      <c r="E468" s="1">
        <f t="shared" ca="1" si="2"/>
        <v>8.2092824025957346E-3</v>
      </c>
      <c r="F468" s="1">
        <f t="shared" ca="1" si="3"/>
        <v>5.1882664784405046</v>
      </c>
    </row>
    <row r="469" spans="2:6" x14ac:dyDescent="0.2">
      <c r="B469" s="1">
        <f ca="1">IFERROR(__xludf.DUMMYFUNCTION("""COMPUTED_VALUE"""),88.89)</f>
        <v>88.89</v>
      </c>
      <c r="C469" s="1">
        <f ca="1"/>
        <v>5</v>
      </c>
      <c r="E469" s="1">
        <f t="shared" ca="1" si="2"/>
        <v>8.1185748664909848E-3</v>
      </c>
      <c r="F469" s="1">
        <f t="shared" ca="1" si="3"/>
        <v>5.1309393156223022</v>
      </c>
    </row>
    <row r="470" spans="2:6" x14ac:dyDescent="0.2">
      <c r="B470" s="1">
        <f ca="1">IFERROR(__xludf.DUMMYFUNCTION("""COMPUTED_VALUE"""),88.99)</f>
        <v>88.99</v>
      </c>
      <c r="C470" s="1">
        <f ca="1"/>
        <v>1</v>
      </c>
      <c r="E470" s="1">
        <f t="shared" ca="1" si="2"/>
        <v>8.0540954452738966E-3</v>
      </c>
      <c r="F470" s="1">
        <f t="shared" ca="1" si="3"/>
        <v>5.0901883214131027</v>
      </c>
    </row>
    <row r="471" spans="2:6" x14ac:dyDescent="0.2">
      <c r="B471" s="1">
        <f ca="1">IFERROR(__xludf.DUMMYFUNCTION("""COMPUTED_VALUE"""),89.04)</f>
        <v>89.04</v>
      </c>
      <c r="C471" s="1">
        <f ca="1"/>
        <v>1</v>
      </c>
      <c r="E471" s="1">
        <f t="shared" ca="1" si="2"/>
        <v>8.0219538459219315E-3</v>
      </c>
      <c r="F471" s="1">
        <f t="shared" ca="1" si="3"/>
        <v>5.0698748306226609</v>
      </c>
    </row>
    <row r="472" spans="2:6" x14ac:dyDescent="0.2">
      <c r="B472" s="1">
        <f ca="1">IFERROR(__xludf.DUMMYFUNCTION("""COMPUTED_VALUE"""),89.06)</f>
        <v>89.06</v>
      </c>
      <c r="C472" s="1">
        <f ca="1"/>
        <v>1</v>
      </c>
      <c r="E472" s="1">
        <f t="shared" ca="1" si="2"/>
        <v>8.00911559701558E-3</v>
      </c>
      <c r="F472" s="1">
        <f t="shared" ca="1" si="3"/>
        <v>5.0617610573138467</v>
      </c>
    </row>
    <row r="473" spans="2:6" x14ac:dyDescent="0.2">
      <c r="B473" s="1">
        <f ca="1">IFERROR(__xludf.DUMMYFUNCTION("""COMPUTED_VALUE"""),89.09)</f>
        <v>89.09</v>
      </c>
      <c r="C473" s="1">
        <f ca="1"/>
        <v>1</v>
      </c>
      <c r="E473" s="1">
        <f t="shared" ca="1" si="2"/>
        <v>7.9898779759820775E-3</v>
      </c>
      <c r="F473" s="1">
        <f t="shared" ca="1" si="3"/>
        <v>5.0496028808206734</v>
      </c>
    </row>
    <row r="474" spans="2:6" x14ac:dyDescent="0.2">
      <c r="B474" s="1">
        <f ca="1">IFERROR(__xludf.DUMMYFUNCTION("""COMPUTED_VALUE"""),89.13)</f>
        <v>89.13</v>
      </c>
      <c r="C474" s="1">
        <f ca="1"/>
        <v>1</v>
      </c>
      <c r="E474" s="1">
        <f t="shared" ca="1" si="2"/>
        <v>7.9642647654300895E-3</v>
      </c>
      <c r="F474" s="1">
        <f t="shared" ca="1" si="3"/>
        <v>5.0334153317518169</v>
      </c>
    </row>
    <row r="475" spans="2:6" x14ac:dyDescent="0.2">
      <c r="B475" s="1">
        <f ca="1">IFERROR(__xludf.DUMMYFUNCTION("""COMPUTED_VALUE"""),89.29)</f>
        <v>89.29</v>
      </c>
      <c r="C475" s="1">
        <f ca="1"/>
        <v>1</v>
      </c>
      <c r="E475" s="1">
        <f t="shared" ca="1" si="2"/>
        <v>7.8622365189109419E-3</v>
      </c>
      <c r="F475" s="1">
        <f t="shared" ca="1" si="3"/>
        <v>4.9689334799517155</v>
      </c>
    </row>
    <row r="476" spans="2:6" x14ac:dyDescent="0.2">
      <c r="B476" s="1">
        <f ca="1">IFERROR(__xludf.DUMMYFUNCTION("""COMPUTED_VALUE"""),89.47)</f>
        <v>89.47</v>
      </c>
      <c r="C476" s="1">
        <f ca="1"/>
        <v>2</v>
      </c>
      <c r="E476" s="1">
        <f t="shared" ca="1" si="2"/>
        <v>7.7482738915325292E-3</v>
      </c>
      <c r="F476" s="1">
        <f t="shared" ca="1" si="3"/>
        <v>4.8969090994485587</v>
      </c>
    </row>
    <row r="477" spans="2:6" x14ac:dyDescent="0.2">
      <c r="B477" s="1">
        <f ca="1">IFERROR(__xludf.DUMMYFUNCTION("""COMPUTED_VALUE"""),89.58)</f>
        <v>89.58</v>
      </c>
      <c r="C477" s="1">
        <f ca="1"/>
        <v>1</v>
      </c>
      <c r="E477" s="1">
        <f t="shared" ca="1" si="2"/>
        <v>7.6790613114315117E-3</v>
      </c>
      <c r="F477" s="1">
        <f t="shared" ca="1" si="3"/>
        <v>4.853166748824715</v>
      </c>
    </row>
    <row r="478" spans="2:6" x14ac:dyDescent="0.2">
      <c r="B478" s="1">
        <f ca="1">IFERROR(__xludf.DUMMYFUNCTION("""COMPUTED_VALUE"""),89.66)</f>
        <v>89.66</v>
      </c>
      <c r="C478" s="1">
        <f ca="1"/>
        <v>1</v>
      </c>
      <c r="E478" s="1">
        <f t="shared" ca="1" si="2"/>
        <v>7.6289319989596002E-3</v>
      </c>
      <c r="F478" s="1">
        <f t="shared" ca="1" si="3"/>
        <v>4.8214850233424675</v>
      </c>
    </row>
    <row r="479" spans="2:6" x14ac:dyDescent="0.2">
      <c r="B479" s="1">
        <f ca="1">IFERROR(__xludf.DUMMYFUNCTION("""COMPUTED_VALUE"""),89.69)</f>
        <v>89.69</v>
      </c>
      <c r="C479" s="1">
        <f ca="1"/>
        <v>1</v>
      </c>
      <c r="E479" s="1">
        <f t="shared" ca="1" si="2"/>
        <v>7.6101786762595306E-3</v>
      </c>
      <c r="F479" s="1">
        <f t="shared" ca="1" si="3"/>
        <v>4.8096329233960233</v>
      </c>
    </row>
    <row r="480" spans="2:6" x14ac:dyDescent="0.2">
      <c r="B480" s="1">
        <f ca="1">IFERROR(__xludf.DUMMYFUNCTION("""COMPUTED_VALUE"""),89.7)</f>
        <v>89.7</v>
      </c>
      <c r="C480" s="1">
        <f ca="1"/>
        <v>1</v>
      </c>
      <c r="E480" s="1">
        <f t="shared" ca="1" si="2"/>
        <v>7.6039330571485673E-3</v>
      </c>
      <c r="F480" s="1">
        <f t="shared" ca="1" si="3"/>
        <v>4.805685692117895</v>
      </c>
    </row>
    <row r="481" spans="2:6" x14ac:dyDescent="0.2">
      <c r="B481" s="1">
        <f ca="1">IFERROR(__xludf.DUMMYFUNCTION("""COMPUTED_VALUE"""),89.71)</f>
        <v>89.71</v>
      </c>
      <c r="C481" s="1">
        <f ca="1"/>
        <v>2</v>
      </c>
      <c r="E481" s="1">
        <f t="shared" ca="1" si="2"/>
        <v>7.597690185029044E-3</v>
      </c>
      <c r="F481" s="1">
        <f t="shared" ca="1" si="3"/>
        <v>4.801740196938356</v>
      </c>
    </row>
    <row r="482" spans="2:6" x14ac:dyDescent="0.2">
      <c r="B482" s="1">
        <f ca="1">IFERROR(__xludf.DUMMYFUNCTION("""COMPUTED_VALUE"""),89.8)</f>
        <v>89.8</v>
      </c>
      <c r="C482" s="1">
        <f ca="1"/>
        <v>3</v>
      </c>
      <c r="E482" s="1">
        <f t="shared" ca="1" si="2"/>
        <v>7.5416282218870841E-3</v>
      </c>
      <c r="F482" s="1">
        <f t="shared" ca="1" si="3"/>
        <v>4.766309036232637</v>
      </c>
    </row>
    <row r="483" spans="2:6" x14ac:dyDescent="0.2">
      <c r="B483" s="1">
        <f ca="1">IFERROR(__xludf.DUMMYFUNCTION("""COMPUTED_VALUE"""),89.81)</f>
        <v>89.81</v>
      </c>
      <c r="C483" s="1">
        <f ca="1"/>
        <v>1</v>
      </c>
      <c r="E483" s="1">
        <f t="shared" ca="1" si="2"/>
        <v>7.5354129099053212E-3</v>
      </c>
      <c r="F483" s="1">
        <f t="shared" ca="1" si="3"/>
        <v>4.7623809590601631</v>
      </c>
    </row>
    <row r="484" spans="2:6" x14ac:dyDescent="0.2">
      <c r="B484" s="1">
        <f ca="1">IFERROR(__xludf.DUMMYFUNCTION("""COMPUTED_VALUE"""),90)</f>
        <v>90</v>
      </c>
      <c r="C484" s="1">
        <f ca="1"/>
        <v>5</v>
      </c>
      <c r="E484" s="1">
        <f t="shared" ca="1" si="2"/>
        <v>7.417849137928997E-3</v>
      </c>
      <c r="F484" s="1">
        <f t="shared" ca="1" si="3"/>
        <v>4.6880806551711265</v>
      </c>
    </row>
    <row r="485" spans="2:6" x14ac:dyDescent="0.2">
      <c r="B485" s="1">
        <f ca="1">IFERROR(__xludf.DUMMYFUNCTION("""COMPUTED_VALUE"""),90.2)</f>
        <v>90.2</v>
      </c>
      <c r="C485" s="1">
        <f ca="1"/>
        <v>1</v>
      </c>
      <c r="E485" s="1">
        <f t="shared" ca="1" si="2"/>
        <v>7.2951879422872906E-3</v>
      </c>
      <c r="F485" s="1">
        <f t="shared" ca="1" si="3"/>
        <v>4.6105587795255678</v>
      </c>
    </row>
    <row r="486" spans="2:6" x14ac:dyDescent="0.2">
      <c r="B486" s="1">
        <f ca="1">IFERROR(__xludf.DUMMYFUNCTION("""COMPUTED_VALUE"""),90.24)</f>
        <v>90.24</v>
      </c>
      <c r="C486" s="1">
        <f ca="1"/>
        <v>1</v>
      </c>
      <c r="E486" s="1">
        <f t="shared" ca="1" si="2"/>
        <v>7.2707909150831022E-3</v>
      </c>
      <c r="F486" s="1">
        <f t="shared" ca="1" si="3"/>
        <v>4.5951398583325203</v>
      </c>
    </row>
    <row r="487" spans="2:6" x14ac:dyDescent="0.2">
      <c r="B487" s="1">
        <f ca="1">IFERROR(__xludf.DUMMYFUNCTION("""COMPUTED_VALUE"""),90.38)</f>
        <v>90.38</v>
      </c>
      <c r="C487" s="1">
        <f ca="1"/>
        <v>2</v>
      </c>
      <c r="E487" s="1">
        <f t="shared" ca="1" si="2"/>
        <v>7.1857585764173639E-3</v>
      </c>
      <c r="F487" s="1">
        <f t="shared" ca="1" si="3"/>
        <v>4.5413994202957744</v>
      </c>
    </row>
    <row r="488" spans="2:6" x14ac:dyDescent="0.2">
      <c r="B488" s="1">
        <f ca="1">IFERROR(__xludf.DUMMYFUNCTION("""COMPUTED_VALUE"""),90.57)</f>
        <v>90.57</v>
      </c>
      <c r="C488" s="1">
        <f ca="1"/>
        <v>4</v>
      </c>
      <c r="E488" s="1">
        <f t="shared" ca="1" si="2"/>
        <v>7.0712518540529826E-3</v>
      </c>
      <c r="F488" s="1">
        <f t="shared" ca="1" si="3"/>
        <v>4.4690311717614852</v>
      </c>
    </row>
    <row r="489" spans="2:6" x14ac:dyDescent="0.2">
      <c r="B489" s="1">
        <f ca="1">IFERROR(__xludf.DUMMYFUNCTION("""COMPUTED_VALUE"""),90.63)</f>
        <v>90.63</v>
      </c>
      <c r="C489" s="1">
        <f ca="1"/>
        <v>1</v>
      </c>
      <c r="E489" s="1">
        <f t="shared" ca="1" si="2"/>
        <v>7.0353071124508448E-3</v>
      </c>
      <c r="F489" s="1">
        <f t="shared" ca="1" si="3"/>
        <v>4.4463140950689342</v>
      </c>
    </row>
    <row r="490" spans="2:6" x14ac:dyDescent="0.2">
      <c r="B490" s="1">
        <f ca="1">IFERROR(__xludf.DUMMYFUNCTION("""COMPUTED_VALUE"""),90.7)</f>
        <v>90.7</v>
      </c>
      <c r="C490" s="1">
        <f ca="1"/>
        <v>1</v>
      </c>
      <c r="E490" s="1">
        <f t="shared" ca="1" si="2"/>
        <v>6.9935028203003896E-3</v>
      </c>
      <c r="F490" s="1">
        <f t="shared" ca="1" si="3"/>
        <v>4.4198937824298463</v>
      </c>
    </row>
    <row r="491" spans="2:6" x14ac:dyDescent="0.2">
      <c r="B491" s="1">
        <f ca="1">IFERROR(__xludf.DUMMYFUNCTION("""COMPUTED_VALUE"""),90.74)</f>
        <v>90.74</v>
      </c>
      <c r="C491" s="1">
        <f ca="1"/>
        <v>3</v>
      </c>
      <c r="E491" s="1">
        <f t="shared" ca="1" si="2"/>
        <v>6.9696782697732766E-3</v>
      </c>
      <c r="F491" s="1">
        <f t="shared" ca="1" si="3"/>
        <v>4.4048366664967107</v>
      </c>
    </row>
    <row r="492" spans="2:6" x14ac:dyDescent="0.2">
      <c r="B492" s="1">
        <f ca="1">IFERROR(__xludf.DUMMYFUNCTION("""COMPUTED_VALUE"""),90.77)</f>
        <v>90.77</v>
      </c>
      <c r="C492" s="1">
        <f ca="1"/>
        <v>1</v>
      </c>
      <c r="E492" s="1">
        <f t="shared" ca="1" si="2"/>
        <v>6.9518402811554652E-3</v>
      </c>
      <c r="F492" s="1">
        <f t="shared" ca="1" si="3"/>
        <v>4.3935630576902538</v>
      </c>
    </row>
    <row r="493" spans="2:6" x14ac:dyDescent="0.2">
      <c r="B493" s="1">
        <f ca="1">IFERROR(__xludf.DUMMYFUNCTION("""COMPUTED_VALUE"""),90.78)</f>
        <v>90.78</v>
      </c>
      <c r="C493" s="1">
        <f ca="1"/>
        <v>1</v>
      </c>
      <c r="E493" s="1">
        <f t="shared" ca="1" si="2"/>
        <v>6.9459000867112446E-3</v>
      </c>
      <c r="F493" s="1">
        <f t="shared" ca="1" si="3"/>
        <v>4.3898088548015064</v>
      </c>
    </row>
    <row r="494" spans="2:6" x14ac:dyDescent="0.2">
      <c r="B494" s="1">
        <f ca="1">IFERROR(__xludf.DUMMYFUNCTION("""COMPUTED_VALUE"""),90.8)</f>
        <v>90.8</v>
      </c>
      <c r="C494" s="1">
        <f ca="1"/>
        <v>1</v>
      </c>
      <c r="E494" s="1">
        <f t="shared" ca="1" si="2"/>
        <v>6.9340284079024749E-3</v>
      </c>
      <c r="F494" s="1">
        <f t="shared" ca="1" si="3"/>
        <v>4.3823059537943641</v>
      </c>
    </row>
    <row r="495" spans="2:6" x14ac:dyDescent="0.2">
      <c r="B495" s="1">
        <f ca="1">IFERROR(__xludf.DUMMYFUNCTION("""COMPUTED_VALUE"""),90.91)</f>
        <v>90.91</v>
      </c>
      <c r="C495" s="1">
        <f ca="1"/>
        <v>3</v>
      </c>
      <c r="E495" s="1">
        <f t="shared" ca="1" si="2"/>
        <v>6.8689421729091786E-3</v>
      </c>
      <c r="F495" s="1">
        <f t="shared" ca="1" si="3"/>
        <v>4.3411714532786005</v>
      </c>
    </row>
    <row r="496" spans="2:6" x14ac:dyDescent="0.2">
      <c r="B496" s="1">
        <f ca="1">IFERROR(__xludf.DUMMYFUNCTION("""COMPUTED_VALUE"""),91.01)</f>
        <v>91.01</v>
      </c>
      <c r="C496" s="1">
        <f ca="1"/>
        <v>1</v>
      </c>
      <c r="E496" s="1">
        <f t="shared" ca="1" si="2"/>
        <v>6.8100792873044512E-3</v>
      </c>
      <c r="F496" s="1">
        <f t="shared" ca="1" si="3"/>
        <v>4.3039701095764133</v>
      </c>
    </row>
    <row r="497" spans="2:6" x14ac:dyDescent="0.2">
      <c r="B497" s="1">
        <f ca="1">IFERROR(__xludf.DUMMYFUNCTION("""COMPUTED_VALUE"""),91.03)</f>
        <v>91.03</v>
      </c>
      <c r="C497" s="1">
        <f ca="1"/>
        <v>1</v>
      </c>
      <c r="E497" s="1">
        <f t="shared" ca="1" si="2"/>
        <v>6.7983418378021899E-3</v>
      </c>
      <c r="F497" s="1">
        <f t="shared" ca="1" si="3"/>
        <v>4.2965520414909841</v>
      </c>
    </row>
    <row r="498" spans="2:6" x14ac:dyDescent="0.2">
      <c r="B498" s="1">
        <f ca="1">IFERROR(__xludf.DUMMYFUNCTION("""COMPUTED_VALUE"""),91.07)</f>
        <v>91.07</v>
      </c>
      <c r="C498" s="1">
        <f ca="1"/>
        <v>1</v>
      </c>
      <c r="E498" s="1">
        <f t="shared" ca="1" si="2"/>
        <v>6.7749021401428003E-3</v>
      </c>
      <c r="F498" s="1">
        <f t="shared" ca="1" si="3"/>
        <v>4.2817381525702496</v>
      </c>
    </row>
    <row r="499" spans="2:6" x14ac:dyDescent="0.2">
      <c r="B499" s="1">
        <f ca="1">IFERROR(__xludf.DUMMYFUNCTION("""COMPUTED_VALUE"""),91.23)</f>
        <v>91.23</v>
      </c>
      <c r="C499" s="1">
        <f ca="1"/>
        <v>3</v>
      </c>
      <c r="E499" s="1">
        <f t="shared" ca="1" si="2"/>
        <v>6.6816140173490603E-3</v>
      </c>
      <c r="F499" s="1">
        <f t="shared" ca="1" si="3"/>
        <v>4.2227800589646058</v>
      </c>
    </row>
    <row r="500" spans="2:6" x14ac:dyDescent="0.2">
      <c r="B500" s="1">
        <f ca="1">IFERROR(__xludf.DUMMYFUNCTION("""COMPUTED_VALUE"""),91.28)</f>
        <v>91.28</v>
      </c>
      <c r="C500" s="1">
        <f ca="1"/>
        <v>1</v>
      </c>
      <c r="E500" s="1">
        <f t="shared" ca="1" si="2"/>
        <v>6.6526163967774287E-3</v>
      </c>
      <c r="F500" s="1">
        <f t="shared" ca="1" si="3"/>
        <v>4.2044535627633346</v>
      </c>
    </row>
    <row r="501" spans="2:6" x14ac:dyDescent="0.2">
      <c r="B501" s="1">
        <f ca="1">IFERROR(__xludf.DUMMYFUNCTION("""COMPUTED_VALUE"""),91.3)</f>
        <v>91.3</v>
      </c>
      <c r="C501" s="1">
        <f ca="1"/>
        <v>1</v>
      </c>
      <c r="E501" s="1">
        <f t="shared" ca="1" si="2"/>
        <v>6.6410380617803319E-3</v>
      </c>
      <c r="F501" s="1">
        <f t="shared" ca="1" si="3"/>
        <v>4.1971360550451697</v>
      </c>
    </row>
    <row r="502" spans="2:6" x14ac:dyDescent="0.2">
      <c r="B502" s="1">
        <f ca="1">IFERROR(__xludf.DUMMYFUNCTION("""COMPUTED_VALUE"""),91.38)</f>
        <v>91.38</v>
      </c>
      <c r="C502" s="1">
        <f ca="1"/>
        <v>1</v>
      </c>
      <c r="E502" s="1">
        <f t="shared" ca="1" si="2"/>
        <v>6.5948432917587018E-3</v>
      </c>
      <c r="F502" s="1">
        <f t="shared" ca="1" si="3"/>
        <v>4.1679409603914994</v>
      </c>
    </row>
    <row r="503" spans="2:6" x14ac:dyDescent="0.2">
      <c r="B503" s="1">
        <f ca="1">IFERROR(__xludf.DUMMYFUNCTION("""COMPUTED_VALUE"""),91.43)</f>
        <v>91.43</v>
      </c>
      <c r="C503" s="1">
        <f ca="1"/>
        <v>1</v>
      </c>
      <c r="E503" s="1">
        <f t="shared" ca="1" si="2"/>
        <v>6.5660680651213809E-3</v>
      </c>
      <c r="F503" s="1">
        <f t="shared" ca="1" si="3"/>
        <v>4.1497550171567124</v>
      </c>
    </row>
    <row r="504" spans="2:6" x14ac:dyDescent="0.2">
      <c r="B504" s="1">
        <f ca="1">IFERROR(__xludf.DUMMYFUNCTION("""COMPUTED_VALUE"""),91.49)</f>
        <v>91.49</v>
      </c>
      <c r="C504" s="1">
        <f ca="1"/>
        <v>5</v>
      </c>
      <c r="E504" s="1">
        <f t="shared" ca="1" si="2"/>
        <v>6.5316359926170728E-3</v>
      </c>
      <c r="F504" s="1">
        <f t="shared" ca="1" si="3"/>
        <v>4.1279939473339899</v>
      </c>
    </row>
    <row r="505" spans="2:6" x14ac:dyDescent="0.2">
      <c r="B505" s="1">
        <f ca="1">IFERROR(__xludf.DUMMYFUNCTION("""COMPUTED_VALUE"""),91.53)</f>
        <v>91.53</v>
      </c>
      <c r="C505" s="1">
        <f ca="1"/>
        <v>1</v>
      </c>
      <c r="E505" s="1">
        <f t="shared" ca="1" si="2"/>
        <v>6.5087408908799122E-3</v>
      </c>
      <c r="F505" s="1">
        <f t="shared" ca="1" si="3"/>
        <v>4.1135242430361041</v>
      </c>
    </row>
    <row r="506" spans="2:6" x14ac:dyDescent="0.2">
      <c r="B506" s="1">
        <f ca="1">IFERROR(__xludf.DUMMYFUNCTION("""COMPUTED_VALUE"""),91.67)</f>
        <v>91.67</v>
      </c>
      <c r="C506" s="1">
        <f ca="1"/>
        <v>4</v>
      </c>
      <c r="E506" s="1">
        <f t="shared" ca="1" si="2"/>
        <v>6.4289845639771675E-3</v>
      </c>
      <c r="F506" s="1">
        <f t="shared" ca="1" si="3"/>
        <v>4.0631182444335696</v>
      </c>
    </row>
    <row r="507" spans="2:6" x14ac:dyDescent="0.2">
      <c r="B507" s="1">
        <f ca="1">IFERROR(__xludf.DUMMYFUNCTION("""COMPUTED_VALUE"""),91.73)</f>
        <v>91.73</v>
      </c>
      <c r="C507" s="1">
        <f ca="1"/>
        <v>1</v>
      </c>
      <c r="E507" s="1">
        <f t="shared" ca="1" si="2"/>
        <v>6.3949830273438632E-3</v>
      </c>
      <c r="F507" s="1">
        <f t="shared" ca="1" si="3"/>
        <v>4.0416292732813215</v>
      </c>
    </row>
    <row r="508" spans="2:6" x14ac:dyDescent="0.2">
      <c r="B508" s="1">
        <f ca="1">IFERROR(__xludf.DUMMYFUNCTION("""COMPUTED_VALUE"""),91.78)</f>
        <v>91.78</v>
      </c>
      <c r="C508" s="1">
        <f ca="1"/>
        <v>3</v>
      </c>
      <c r="E508" s="1">
        <f t="shared" ca="1" si="2"/>
        <v>6.3667310044717195E-3</v>
      </c>
      <c r="F508" s="1">
        <f t="shared" ca="1" si="3"/>
        <v>4.0237739948261266</v>
      </c>
    </row>
    <row r="509" spans="2:6" x14ac:dyDescent="0.2">
      <c r="B509" s="1">
        <f ca="1">IFERROR(__xludf.DUMMYFUNCTION("""COMPUTED_VALUE"""),91.8)</f>
        <v>91.8</v>
      </c>
      <c r="C509" s="1">
        <f ca="1"/>
        <v>2</v>
      </c>
      <c r="E509" s="1">
        <f t="shared" ca="1" si="2"/>
        <v>6.3554512451777095E-3</v>
      </c>
      <c r="F509" s="1">
        <f t="shared" ca="1" si="3"/>
        <v>4.0166451869523128</v>
      </c>
    </row>
    <row r="510" spans="2:6" x14ac:dyDescent="0.2">
      <c r="B510" s="1">
        <f ca="1">IFERROR(__xludf.DUMMYFUNCTION("""COMPUTED_VALUE"""),91.89)</f>
        <v>91.89</v>
      </c>
      <c r="C510" s="1">
        <f ca="1"/>
        <v>2</v>
      </c>
      <c r="E510" s="1">
        <f t="shared" ca="1" si="2"/>
        <v>6.304841408005254E-3</v>
      </c>
      <c r="F510" s="1">
        <f t="shared" ca="1" si="3"/>
        <v>3.9846597698593205</v>
      </c>
    </row>
    <row r="511" spans="2:6" x14ac:dyDescent="0.2">
      <c r="B511" s="1">
        <f ca="1">IFERROR(__xludf.DUMMYFUNCTION("""COMPUTED_VALUE"""),91.97)</f>
        <v>91.97</v>
      </c>
      <c r="C511" s="1">
        <f ca="1"/>
        <v>1</v>
      </c>
      <c r="E511" s="1">
        <f t="shared" ca="1" si="2"/>
        <v>6.2600600435845262E-3</v>
      </c>
      <c r="F511" s="1">
        <f t="shared" ca="1" si="3"/>
        <v>3.9563579475454205</v>
      </c>
    </row>
    <row r="512" spans="2:6" x14ac:dyDescent="0.2">
      <c r="B512" s="1">
        <f ca="1">IFERROR(__xludf.DUMMYFUNCTION("""COMPUTED_VALUE"""),92)</f>
        <v>92</v>
      </c>
      <c r="C512" s="1">
        <f ca="1"/>
        <v>1</v>
      </c>
      <c r="E512" s="1">
        <f t="shared" ca="1" si="2"/>
        <v>6.2433169028954134E-3</v>
      </c>
      <c r="F512" s="1">
        <f t="shared" ca="1" si="3"/>
        <v>3.9457762826299012</v>
      </c>
    </row>
    <row r="513" spans="2:6" x14ac:dyDescent="0.2">
      <c r="B513" s="1">
        <f ca="1">IFERROR(__xludf.DUMMYFUNCTION("""COMPUTED_VALUE"""),92.06)</f>
        <v>92.06</v>
      </c>
      <c r="C513" s="1">
        <f ca="1"/>
        <v>1</v>
      </c>
      <c r="E513" s="1">
        <f t="shared" ca="1" si="2"/>
        <v>6.2099123503411811E-3</v>
      </c>
      <c r="F513" s="1">
        <f t="shared" ca="1" si="3"/>
        <v>3.9246646054156265</v>
      </c>
    </row>
    <row r="514" spans="2:6" x14ac:dyDescent="0.2">
      <c r="B514" s="1">
        <f ca="1">IFERROR(__xludf.DUMMYFUNCTION("""COMPUTED_VALUE"""),92.16)</f>
        <v>92.16</v>
      </c>
      <c r="C514" s="1">
        <f ca="1"/>
        <v>1</v>
      </c>
      <c r="E514" s="1">
        <f t="shared" ref="E514:E521" ca="1" si="4">NORMDIST(B514,$E$2,$G$2,FALSE)</f>
        <v>6.1544806467384791E-3</v>
      </c>
      <c r="F514" s="1">
        <f t="shared" ref="F514:F521" ca="1" si="5">E514*632</f>
        <v>3.889631768738719</v>
      </c>
    </row>
    <row r="515" spans="2:6" x14ac:dyDescent="0.2">
      <c r="B515" s="1">
        <f ca="1">IFERROR(__xludf.DUMMYFUNCTION("""COMPUTED_VALUE"""),92.19)</f>
        <v>92.19</v>
      </c>
      <c r="C515" s="1">
        <f ca="1"/>
        <v>1</v>
      </c>
      <c r="E515" s="1">
        <f t="shared" ca="1" si="4"/>
        <v>6.1379103503307955E-3</v>
      </c>
      <c r="F515" s="1">
        <f t="shared" ca="1" si="5"/>
        <v>3.8791593414090628</v>
      </c>
    </row>
    <row r="516" spans="2:6" x14ac:dyDescent="0.2">
      <c r="B516" s="1">
        <f ca="1">IFERROR(__xludf.DUMMYFUNCTION("""COMPUTED_VALUE"""),92.31)</f>
        <v>92.31</v>
      </c>
      <c r="C516" s="1">
        <f ca="1"/>
        <v>1</v>
      </c>
      <c r="E516" s="1">
        <f t="shared" ca="1" si="4"/>
        <v>6.0719030072397652E-3</v>
      </c>
      <c r="F516" s="1">
        <f t="shared" ca="1" si="5"/>
        <v>3.8374427005755316</v>
      </c>
    </row>
    <row r="517" spans="2:6" x14ac:dyDescent="0.2">
      <c r="B517" s="1">
        <f ca="1">IFERROR(__xludf.DUMMYFUNCTION("""COMPUTED_VALUE"""),92.42)</f>
        <v>92.42</v>
      </c>
      <c r="C517" s="1">
        <f ca="1"/>
        <v>1</v>
      </c>
      <c r="E517" s="1">
        <f t="shared" ca="1" si="4"/>
        <v>6.0117819377552882E-3</v>
      </c>
      <c r="F517" s="1">
        <f t="shared" ca="1" si="5"/>
        <v>3.7994461846613423</v>
      </c>
    </row>
    <row r="518" spans="2:6" x14ac:dyDescent="0.2">
      <c r="B518" s="1">
        <f ca="1">IFERROR(__xludf.DUMMYFUNCTION("""COMPUTED_VALUE"""),92.54)</f>
        <v>92.54</v>
      </c>
      <c r="C518" s="1">
        <f ca="1"/>
        <v>1</v>
      </c>
      <c r="E518" s="1">
        <f t="shared" ca="1" si="4"/>
        <v>5.9466171024209072E-3</v>
      </c>
      <c r="F518" s="1">
        <f t="shared" ca="1" si="5"/>
        <v>3.7582620087300134</v>
      </c>
    </row>
    <row r="519" spans="2:6" x14ac:dyDescent="0.2">
      <c r="B519" s="1">
        <f ca="1">IFERROR(__xludf.DUMMYFUNCTION("""COMPUTED_VALUE"""),92.59)</f>
        <v>92.59</v>
      </c>
      <c r="C519" s="1">
        <f ca="1"/>
        <v>2</v>
      </c>
      <c r="E519" s="1">
        <f t="shared" ca="1" si="4"/>
        <v>5.9195952339991652E-3</v>
      </c>
      <c r="F519" s="1">
        <f t="shared" ca="1" si="5"/>
        <v>3.7411841878874723</v>
      </c>
    </row>
    <row r="520" spans="2:6" x14ac:dyDescent="0.2">
      <c r="B520" s="1">
        <f ca="1">IFERROR(__xludf.DUMMYFUNCTION("""COMPUTED_VALUE"""),92.98)</f>
        <v>92.98</v>
      </c>
      <c r="C520" s="1">
        <f ca="1"/>
        <v>1</v>
      </c>
      <c r="E520" s="1">
        <f t="shared" ca="1" si="4"/>
        <v>5.711461199711298E-3</v>
      </c>
      <c r="F520" s="1">
        <f t="shared" ca="1" si="5"/>
        <v>3.6096434782175404</v>
      </c>
    </row>
    <row r="521" spans="2:6" x14ac:dyDescent="0.2">
      <c r="B521" s="1">
        <f ca="1">IFERROR(__xludf.DUMMYFUNCTION("""COMPUTED_VALUE"""),93.44)</f>
        <v>93.44</v>
      </c>
      <c r="C521" s="1">
        <f ca="1"/>
        <v>1</v>
      </c>
      <c r="E521" s="1">
        <f t="shared" ca="1" si="4"/>
        <v>5.4720056245004516E-3</v>
      </c>
      <c r="F521" s="1">
        <f t="shared" ca="1" si="5"/>
        <v>3.4583075546842856</v>
      </c>
    </row>
    <row r="522" spans="2:6" x14ac:dyDescent="0.2">
      <c r="C522" s="1">
        <f ca="1"/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1:J654"/>
  <sheetViews>
    <sheetView workbookViewId="0"/>
  </sheetViews>
  <sheetFormatPr defaultColWidth="12.5703125" defaultRowHeight="15.75" customHeight="1" x14ac:dyDescent="0.2"/>
  <cols>
    <col min="9" max="9" width="19.7109375" customWidth="1"/>
  </cols>
  <sheetData>
    <row r="1" spans="2:10" x14ac:dyDescent="0.2">
      <c r="B1" s="2" t="s">
        <v>654</v>
      </c>
      <c r="C1" s="2" t="s">
        <v>2</v>
      </c>
      <c r="D1" s="2" t="s">
        <v>3</v>
      </c>
      <c r="E1" s="2" t="s">
        <v>655</v>
      </c>
      <c r="F1" s="2" t="s">
        <v>656</v>
      </c>
      <c r="G1" s="2" t="s">
        <v>657</v>
      </c>
      <c r="I1" s="2" t="s">
        <v>658</v>
      </c>
    </row>
    <row r="2" spans="2:10" x14ac:dyDescent="0.2">
      <c r="B2" s="1">
        <f>data!B2</f>
        <v>4</v>
      </c>
      <c r="C2" s="1">
        <f>data!C2</f>
        <v>68</v>
      </c>
      <c r="D2" s="1">
        <f>data!D2</f>
        <v>65.66</v>
      </c>
      <c r="E2" s="1">
        <f t="shared" ref="E2:E256" si="0">_xlfn.RANK.AVG(B2,$B$2:$B$633,0)</f>
        <v>422.5</v>
      </c>
      <c r="F2" s="1">
        <f t="shared" ref="F2:F256" si="1">_xlfn.RANK.AVG(C2,$C$2:$C$633,0)</f>
        <v>327</v>
      </c>
      <c r="G2" s="1">
        <f t="shared" ref="G2:G256" si="2">_xlfn.RANK.AVG(D2,$D$2:$D$633,0)</f>
        <v>240</v>
      </c>
      <c r="I2" s="1" t="s">
        <v>659</v>
      </c>
      <c r="J2" s="1">
        <f>CORREL(E2:E633,F2:F633)</f>
        <v>0.68803739235936345</v>
      </c>
    </row>
    <row r="3" spans="2:10" x14ac:dyDescent="0.2">
      <c r="B3" s="1">
        <f>data!B3</f>
        <v>6</v>
      </c>
      <c r="C3" s="1">
        <f>data!C3</f>
        <v>77</v>
      </c>
      <c r="D3" s="1">
        <f>data!D3</f>
        <v>58.6</v>
      </c>
      <c r="E3" s="1">
        <f t="shared" si="0"/>
        <v>284.5</v>
      </c>
      <c r="F3" s="1">
        <f t="shared" si="1"/>
        <v>305</v>
      </c>
      <c r="G3" s="1">
        <f t="shared" si="2"/>
        <v>330.5</v>
      </c>
      <c r="I3" s="1" t="s">
        <v>660</v>
      </c>
      <c r="J3" s="1">
        <f>CORREL(E2:E633,G2:G633)</f>
        <v>-0.53351808516127108</v>
      </c>
    </row>
    <row r="4" spans="2:10" x14ac:dyDescent="0.2">
      <c r="B4" s="1">
        <f>data!B4</f>
        <v>5</v>
      </c>
      <c r="C4" s="1">
        <f>data!C4</f>
        <v>7</v>
      </c>
      <c r="D4" s="1">
        <f>data!D4</f>
        <v>87.72</v>
      </c>
      <c r="E4" s="1">
        <f t="shared" si="0"/>
        <v>345</v>
      </c>
      <c r="F4" s="1">
        <f t="shared" si="1"/>
        <v>524.5</v>
      </c>
      <c r="G4" s="1">
        <f t="shared" si="2"/>
        <v>114</v>
      </c>
      <c r="I4" s="1" t="s">
        <v>661</v>
      </c>
      <c r="J4" s="1">
        <f>CORREL(F2:F633,G2:G633)</f>
        <v>-0.90332459933570863</v>
      </c>
    </row>
    <row r="5" spans="2:10" x14ac:dyDescent="0.2">
      <c r="B5" s="1">
        <f>data!B5</f>
        <v>4</v>
      </c>
      <c r="C5" s="1">
        <f>data!C5</f>
        <v>10</v>
      </c>
      <c r="D5" s="1">
        <f>data!D5</f>
        <v>83.33</v>
      </c>
      <c r="E5" s="1">
        <f t="shared" si="0"/>
        <v>422.5</v>
      </c>
      <c r="F5" s="1">
        <f t="shared" si="1"/>
        <v>504.5</v>
      </c>
      <c r="G5" s="1">
        <f t="shared" si="2"/>
        <v>152.5</v>
      </c>
    </row>
    <row r="6" spans="2:10" x14ac:dyDescent="0.2">
      <c r="B6" s="1">
        <f>data!B6</f>
        <v>12</v>
      </c>
      <c r="C6" s="1">
        <f>data!C6</f>
        <v>198</v>
      </c>
      <c r="D6" s="1">
        <f>data!D6</f>
        <v>49.23</v>
      </c>
      <c r="E6" s="1">
        <f t="shared" si="0"/>
        <v>74.5</v>
      </c>
      <c r="F6" s="1">
        <f t="shared" si="1"/>
        <v>138.5</v>
      </c>
      <c r="G6" s="1">
        <f t="shared" si="2"/>
        <v>476</v>
      </c>
    </row>
    <row r="7" spans="2:10" x14ac:dyDescent="0.2">
      <c r="B7" s="1">
        <f>data!B7</f>
        <v>12</v>
      </c>
      <c r="C7" s="1">
        <f>data!C7</f>
        <v>238</v>
      </c>
      <c r="D7" s="1">
        <f>data!D7</f>
        <v>50.42</v>
      </c>
      <c r="E7" s="1">
        <f t="shared" si="0"/>
        <v>74.5</v>
      </c>
      <c r="F7" s="1">
        <f t="shared" si="1"/>
        <v>103</v>
      </c>
      <c r="G7" s="1">
        <f t="shared" si="2"/>
        <v>452</v>
      </c>
    </row>
    <row r="8" spans="2:10" x14ac:dyDescent="0.2">
      <c r="B8" s="1">
        <f>data!B8</f>
        <v>8</v>
      </c>
      <c r="C8" s="1">
        <f>data!C8</f>
        <v>123</v>
      </c>
      <c r="D8" s="1">
        <f>data!D8</f>
        <v>50</v>
      </c>
      <c r="E8" s="1">
        <f t="shared" si="0"/>
        <v>187.5</v>
      </c>
      <c r="F8" s="1">
        <f t="shared" si="1"/>
        <v>226.5</v>
      </c>
      <c r="G8" s="1">
        <f t="shared" si="2"/>
        <v>461.5</v>
      </c>
    </row>
    <row r="9" spans="2:10" x14ac:dyDescent="0.2">
      <c r="B9" s="1">
        <f>data!B9</f>
        <v>11</v>
      </c>
      <c r="C9" s="1">
        <f>data!C9</f>
        <v>137</v>
      </c>
      <c r="D9" s="1">
        <f>data!D9</f>
        <v>56.37</v>
      </c>
      <c r="E9" s="1">
        <f t="shared" si="0"/>
        <v>98</v>
      </c>
      <c r="F9" s="1">
        <f t="shared" si="1"/>
        <v>207.5</v>
      </c>
      <c r="G9" s="1">
        <f t="shared" si="2"/>
        <v>361</v>
      </c>
    </row>
    <row r="10" spans="2:10" x14ac:dyDescent="0.2">
      <c r="B10" s="1">
        <f>data!B10</f>
        <v>4</v>
      </c>
      <c r="C10" s="1">
        <f>data!C10</f>
        <v>11</v>
      </c>
      <c r="D10" s="1">
        <f>data!D10</f>
        <v>82.81</v>
      </c>
      <c r="E10" s="1">
        <f t="shared" si="0"/>
        <v>422.5</v>
      </c>
      <c r="F10" s="1">
        <f t="shared" si="1"/>
        <v>496</v>
      </c>
      <c r="G10" s="1">
        <f t="shared" si="2"/>
        <v>155</v>
      </c>
    </row>
    <row r="11" spans="2:10" x14ac:dyDescent="0.2">
      <c r="B11" s="1">
        <f>data!B11</f>
        <v>5</v>
      </c>
      <c r="C11" s="1">
        <f>data!C11</f>
        <v>7</v>
      </c>
      <c r="D11" s="1">
        <f>data!D11</f>
        <v>89.06</v>
      </c>
      <c r="E11" s="1">
        <f t="shared" si="0"/>
        <v>345</v>
      </c>
      <c r="F11" s="1">
        <f t="shared" si="1"/>
        <v>524.5</v>
      </c>
      <c r="G11" s="1">
        <f t="shared" si="2"/>
        <v>80</v>
      </c>
    </row>
    <row r="12" spans="2:10" x14ac:dyDescent="0.2">
      <c r="B12" s="1">
        <f>data!B12</f>
        <v>10</v>
      </c>
      <c r="C12" s="1">
        <f>data!C12</f>
        <v>176</v>
      </c>
      <c r="D12" s="1">
        <f>data!D12</f>
        <v>48.54</v>
      </c>
      <c r="E12" s="1">
        <f t="shared" si="0"/>
        <v>123.5</v>
      </c>
      <c r="F12" s="1">
        <f t="shared" si="1"/>
        <v>163.5</v>
      </c>
      <c r="G12" s="1">
        <f t="shared" si="2"/>
        <v>488.5</v>
      </c>
    </row>
    <row r="13" spans="2:10" x14ac:dyDescent="0.2">
      <c r="B13" s="1">
        <f>data!B13</f>
        <v>10</v>
      </c>
      <c r="C13" s="1">
        <f>data!C13</f>
        <v>159</v>
      </c>
      <c r="D13" s="1">
        <f>data!D13</f>
        <v>52.54</v>
      </c>
      <c r="E13" s="1">
        <f t="shared" si="0"/>
        <v>123.5</v>
      </c>
      <c r="F13" s="1">
        <f t="shared" si="1"/>
        <v>177.5</v>
      </c>
      <c r="G13" s="1">
        <f t="shared" si="2"/>
        <v>423</v>
      </c>
    </row>
    <row r="14" spans="2:10" x14ac:dyDescent="0.2">
      <c r="B14" s="1">
        <f>data!B14</f>
        <v>12</v>
      </c>
      <c r="C14" s="1">
        <f>data!C14</f>
        <v>143</v>
      </c>
      <c r="D14" s="1">
        <f>data!D14</f>
        <v>47.04</v>
      </c>
      <c r="E14" s="1">
        <f t="shared" si="0"/>
        <v>74.5</v>
      </c>
      <c r="F14" s="1">
        <f t="shared" si="1"/>
        <v>200</v>
      </c>
      <c r="G14" s="1">
        <f t="shared" si="2"/>
        <v>512.5</v>
      </c>
    </row>
    <row r="15" spans="2:10" x14ac:dyDescent="0.2">
      <c r="B15" s="1">
        <f>data!B15</f>
        <v>12</v>
      </c>
      <c r="C15" s="1">
        <f>data!C15</f>
        <v>134</v>
      </c>
      <c r="D15" s="1">
        <f>data!D15</f>
        <v>50.74</v>
      </c>
      <c r="E15" s="1">
        <f t="shared" si="0"/>
        <v>74.5</v>
      </c>
      <c r="F15" s="1">
        <f t="shared" si="1"/>
        <v>211</v>
      </c>
      <c r="G15" s="1">
        <f t="shared" si="2"/>
        <v>449</v>
      </c>
    </row>
    <row r="16" spans="2:10" x14ac:dyDescent="0.2">
      <c r="B16" s="1">
        <f>data!B16</f>
        <v>13</v>
      </c>
      <c r="C16" s="1">
        <f>data!C16</f>
        <v>180</v>
      </c>
      <c r="D16" s="1">
        <f>data!D16</f>
        <v>45.62</v>
      </c>
      <c r="E16" s="1">
        <f t="shared" si="0"/>
        <v>56</v>
      </c>
      <c r="F16" s="1">
        <f t="shared" si="1"/>
        <v>158</v>
      </c>
      <c r="G16" s="1">
        <f t="shared" si="2"/>
        <v>535</v>
      </c>
    </row>
    <row r="17" spans="2:7" x14ac:dyDescent="0.2">
      <c r="B17" s="1">
        <f>data!B17</f>
        <v>12</v>
      </c>
      <c r="C17" s="1">
        <f>data!C17</f>
        <v>252</v>
      </c>
      <c r="D17" s="1">
        <f>data!D17</f>
        <v>48.99</v>
      </c>
      <c r="E17" s="1">
        <f t="shared" si="0"/>
        <v>74.5</v>
      </c>
      <c r="F17" s="1">
        <f t="shared" si="1"/>
        <v>95</v>
      </c>
      <c r="G17" s="1">
        <f t="shared" si="2"/>
        <v>477.5</v>
      </c>
    </row>
    <row r="18" spans="2:7" x14ac:dyDescent="0.2">
      <c r="B18" s="1">
        <f>data!B18</f>
        <v>13</v>
      </c>
      <c r="C18" s="1">
        <f>data!C18</f>
        <v>171</v>
      </c>
      <c r="D18" s="1">
        <f>data!D18</f>
        <v>46.73</v>
      </c>
      <c r="E18" s="1">
        <f t="shared" si="0"/>
        <v>56</v>
      </c>
      <c r="F18" s="1">
        <f t="shared" si="1"/>
        <v>168</v>
      </c>
      <c r="G18" s="1">
        <f t="shared" si="2"/>
        <v>517</v>
      </c>
    </row>
    <row r="19" spans="2:7" x14ac:dyDescent="0.2">
      <c r="B19" s="1">
        <f>data!B19</f>
        <v>11</v>
      </c>
      <c r="C19" s="1">
        <f>data!C19</f>
        <v>152</v>
      </c>
      <c r="D19" s="1">
        <f>data!D19</f>
        <v>44.12</v>
      </c>
      <c r="E19" s="1">
        <f t="shared" si="0"/>
        <v>98</v>
      </c>
      <c r="F19" s="1">
        <f t="shared" si="1"/>
        <v>190.5</v>
      </c>
      <c r="G19" s="1">
        <f t="shared" si="2"/>
        <v>552</v>
      </c>
    </row>
    <row r="20" spans="2:7" x14ac:dyDescent="0.2">
      <c r="B20" s="1">
        <f>data!B20</f>
        <v>14</v>
      </c>
      <c r="C20" s="1">
        <f>data!C20</f>
        <v>282</v>
      </c>
      <c r="D20" s="1">
        <f>data!D20</f>
        <v>51.63</v>
      </c>
      <c r="E20" s="1">
        <f t="shared" si="0"/>
        <v>46</v>
      </c>
      <c r="F20" s="1">
        <f t="shared" si="1"/>
        <v>81</v>
      </c>
      <c r="G20" s="1">
        <f t="shared" si="2"/>
        <v>433</v>
      </c>
    </row>
    <row r="21" spans="2:7" x14ac:dyDescent="0.2">
      <c r="B21" s="1">
        <f>data!B21</f>
        <v>15</v>
      </c>
      <c r="C21" s="1">
        <f>data!C21</f>
        <v>212</v>
      </c>
      <c r="D21" s="1">
        <f>data!D21</f>
        <v>40.950000000000003</v>
      </c>
      <c r="E21" s="1">
        <f t="shared" si="0"/>
        <v>37.5</v>
      </c>
      <c r="F21" s="1">
        <f t="shared" si="1"/>
        <v>127</v>
      </c>
      <c r="G21" s="1">
        <f t="shared" si="2"/>
        <v>578</v>
      </c>
    </row>
    <row r="22" spans="2:7" x14ac:dyDescent="0.2">
      <c r="B22" s="1">
        <f>data!B22</f>
        <v>2</v>
      </c>
      <c r="C22" s="1">
        <f>data!C22</f>
        <v>6</v>
      </c>
      <c r="D22" s="1">
        <f>data!D22</f>
        <v>87.5</v>
      </c>
      <c r="E22" s="1">
        <f t="shared" si="0"/>
        <v>585.5</v>
      </c>
      <c r="F22" s="1">
        <f t="shared" si="1"/>
        <v>552</v>
      </c>
      <c r="G22" s="1">
        <f t="shared" si="2"/>
        <v>117.5</v>
      </c>
    </row>
    <row r="23" spans="2:7" x14ac:dyDescent="0.2">
      <c r="B23" s="1">
        <f>data!B23</f>
        <v>2</v>
      </c>
      <c r="C23" s="1">
        <f>data!C23</f>
        <v>5</v>
      </c>
      <c r="D23" s="1">
        <f>data!D23</f>
        <v>86.49</v>
      </c>
      <c r="E23" s="1">
        <f t="shared" si="0"/>
        <v>585.5</v>
      </c>
      <c r="F23" s="1">
        <f t="shared" si="1"/>
        <v>595</v>
      </c>
      <c r="G23" s="1">
        <f t="shared" si="2"/>
        <v>134</v>
      </c>
    </row>
    <row r="24" spans="2:7" x14ac:dyDescent="0.2">
      <c r="B24" s="1">
        <f>data!B24</f>
        <v>2</v>
      </c>
      <c r="C24" s="1">
        <f>data!C24</f>
        <v>6</v>
      </c>
      <c r="D24" s="1">
        <f>data!D24</f>
        <v>87.23</v>
      </c>
      <c r="E24" s="1">
        <f t="shared" si="0"/>
        <v>585.5</v>
      </c>
      <c r="F24" s="1">
        <f t="shared" si="1"/>
        <v>552</v>
      </c>
      <c r="G24" s="1">
        <f t="shared" si="2"/>
        <v>124.5</v>
      </c>
    </row>
    <row r="25" spans="2:7" x14ac:dyDescent="0.2">
      <c r="B25" s="1">
        <f>data!B25</f>
        <v>2</v>
      </c>
      <c r="C25" s="1">
        <f>data!C25</f>
        <v>5</v>
      </c>
      <c r="D25" s="1">
        <f>data!D25</f>
        <v>90.57</v>
      </c>
      <c r="E25" s="1">
        <f t="shared" si="0"/>
        <v>585.5</v>
      </c>
      <c r="F25" s="1">
        <f t="shared" si="1"/>
        <v>595</v>
      </c>
      <c r="G25" s="1">
        <f t="shared" si="2"/>
        <v>53.5</v>
      </c>
    </row>
    <row r="26" spans="2:7" x14ac:dyDescent="0.2">
      <c r="B26" s="1">
        <f>data!B26</f>
        <v>2</v>
      </c>
      <c r="C26" s="1">
        <f>data!C26</f>
        <v>80</v>
      </c>
      <c r="D26" s="1">
        <f>data!D26</f>
        <v>37.5</v>
      </c>
      <c r="E26" s="1">
        <f t="shared" si="0"/>
        <v>585.5</v>
      </c>
      <c r="F26" s="1">
        <f t="shared" si="1"/>
        <v>294</v>
      </c>
      <c r="G26" s="1">
        <f t="shared" si="2"/>
        <v>608.5</v>
      </c>
    </row>
    <row r="27" spans="2:7" x14ac:dyDescent="0.2">
      <c r="B27" s="1">
        <f>data!B27</f>
        <v>3</v>
      </c>
      <c r="C27" s="1">
        <f>data!C27</f>
        <v>95</v>
      </c>
      <c r="D27" s="1">
        <f>data!D27</f>
        <v>37.5</v>
      </c>
      <c r="E27" s="1">
        <f t="shared" si="0"/>
        <v>502</v>
      </c>
      <c r="F27" s="1">
        <f t="shared" si="1"/>
        <v>269.5</v>
      </c>
      <c r="G27" s="1">
        <f t="shared" si="2"/>
        <v>608.5</v>
      </c>
    </row>
    <row r="28" spans="2:7" x14ac:dyDescent="0.2">
      <c r="B28" s="1">
        <f>data!B28</f>
        <v>2</v>
      </c>
      <c r="C28" s="1">
        <f>data!C28</f>
        <v>42</v>
      </c>
      <c r="D28" s="1">
        <f>data!D28</f>
        <v>60.75</v>
      </c>
      <c r="E28" s="1">
        <f t="shared" si="0"/>
        <v>585.5</v>
      </c>
      <c r="F28" s="1">
        <f t="shared" si="1"/>
        <v>402.5</v>
      </c>
      <c r="G28" s="1">
        <f t="shared" si="2"/>
        <v>294</v>
      </c>
    </row>
    <row r="29" spans="2:7" x14ac:dyDescent="0.2">
      <c r="B29" s="1">
        <f>data!B29</f>
        <v>5</v>
      </c>
      <c r="C29" s="1">
        <f>data!C29</f>
        <v>245</v>
      </c>
      <c r="D29" s="1">
        <f>data!D29</f>
        <v>49.28</v>
      </c>
      <c r="E29" s="1">
        <f t="shared" si="0"/>
        <v>345</v>
      </c>
      <c r="F29" s="1">
        <f t="shared" si="1"/>
        <v>97</v>
      </c>
      <c r="G29" s="1">
        <f t="shared" si="2"/>
        <v>473.5</v>
      </c>
    </row>
    <row r="30" spans="2:7" x14ac:dyDescent="0.2">
      <c r="B30" s="1">
        <f>data!B30</f>
        <v>2</v>
      </c>
      <c r="C30" s="1">
        <f>data!C30</f>
        <v>12</v>
      </c>
      <c r="D30" s="1">
        <f>data!D30</f>
        <v>82.09</v>
      </c>
      <c r="E30" s="1">
        <f t="shared" si="0"/>
        <v>585.5</v>
      </c>
      <c r="F30" s="1">
        <f t="shared" si="1"/>
        <v>481.5</v>
      </c>
      <c r="G30" s="1">
        <f t="shared" si="2"/>
        <v>160</v>
      </c>
    </row>
    <row r="31" spans="2:7" x14ac:dyDescent="0.2">
      <c r="B31" s="1">
        <f>data!B31</f>
        <v>2</v>
      </c>
      <c r="C31" s="1">
        <f>data!C31</f>
        <v>5</v>
      </c>
      <c r="D31" s="1">
        <f>data!D31</f>
        <v>88.64</v>
      </c>
      <c r="E31" s="1">
        <f t="shared" si="0"/>
        <v>585.5</v>
      </c>
      <c r="F31" s="1">
        <f t="shared" si="1"/>
        <v>595</v>
      </c>
      <c r="G31" s="1">
        <f t="shared" si="2"/>
        <v>96</v>
      </c>
    </row>
    <row r="32" spans="2:7" x14ac:dyDescent="0.2">
      <c r="B32" s="1">
        <f>data!B32</f>
        <v>2</v>
      </c>
      <c r="C32" s="1">
        <f>data!C32</f>
        <v>5</v>
      </c>
      <c r="D32" s="1">
        <f>data!D32</f>
        <v>88.64</v>
      </c>
      <c r="E32" s="1">
        <f t="shared" si="0"/>
        <v>585.5</v>
      </c>
      <c r="F32" s="1">
        <f t="shared" si="1"/>
        <v>595</v>
      </c>
      <c r="G32" s="1">
        <f t="shared" si="2"/>
        <v>96</v>
      </c>
    </row>
    <row r="33" spans="2:7" x14ac:dyDescent="0.2">
      <c r="B33" s="1">
        <f>data!B33</f>
        <v>2</v>
      </c>
      <c r="C33" s="1">
        <f>data!C33</f>
        <v>5</v>
      </c>
      <c r="D33" s="1">
        <f>data!D33</f>
        <v>88.64</v>
      </c>
      <c r="E33" s="1">
        <f t="shared" si="0"/>
        <v>585.5</v>
      </c>
      <c r="F33" s="1">
        <f t="shared" si="1"/>
        <v>595</v>
      </c>
      <c r="G33" s="1">
        <f t="shared" si="2"/>
        <v>96</v>
      </c>
    </row>
    <row r="34" spans="2:7" x14ac:dyDescent="0.2">
      <c r="B34" s="1">
        <f>data!B34</f>
        <v>2</v>
      </c>
      <c r="C34" s="1">
        <f>data!C34</f>
        <v>6</v>
      </c>
      <c r="D34" s="1">
        <f>data!D34</f>
        <v>87.5</v>
      </c>
      <c r="E34" s="1">
        <f t="shared" si="0"/>
        <v>585.5</v>
      </c>
      <c r="F34" s="1">
        <f t="shared" si="1"/>
        <v>552</v>
      </c>
      <c r="G34" s="1">
        <f t="shared" si="2"/>
        <v>117.5</v>
      </c>
    </row>
    <row r="35" spans="2:7" x14ac:dyDescent="0.2">
      <c r="B35" s="1">
        <f>data!B35</f>
        <v>3</v>
      </c>
      <c r="C35" s="1">
        <f>data!C35</f>
        <v>6</v>
      </c>
      <c r="D35" s="1">
        <f>data!D35</f>
        <v>88.68</v>
      </c>
      <c r="E35" s="1">
        <f t="shared" si="0"/>
        <v>502</v>
      </c>
      <c r="F35" s="1">
        <f t="shared" si="1"/>
        <v>552</v>
      </c>
      <c r="G35" s="1">
        <f t="shared" si="2"/>
        <v>92</v>
      </c>
    </row>
    <row r="36" spans="2:7" x14ac:dyDescent="0.2">
      <c r="B36" s="1">
        <f>data!B36</f>
        <v>15</v>
      </c>
      <c r="C36" s="1">
        <f>data!C36</f>
        <v>789</v>
      </c>
      <c r="D36" s="1">
        <f>data!D36</f>
        <v>48.63</v>
      </c>
      <c r="E36" s="1">
        <f t="shared" si="0"/>
        <v>37.5</v>
      </c>
      <c r="F36" s="1">
        <f t="shared" si="1"/>
        <v>13</v>
      </c>
      <c r="G36" s="1">
        <f t="shared" si="2"/>
        <v>487</v>
      </c>
    </row>
    <row r="37" spans="2:7" x14ac:dyDescent="0.2">
      <c r="B37" s="1">
        <f>data!B37</f>
        <v>8</v>
      </c>
      <c r="C37" s="1">
        <f>data!C37</f>
        <v>49</v>
      </c>
      <c r="D37" s="1">
        <f>data!D37</f>
        <v>61.42</v>
      </c>
      <c r="E37" s="1">
        <f t="shared" si="0"/>
        <v>187.5</v>
      </c>
      <c r="F37" s="1">
        <f t="shared" si="1"/>
        <v>380.5</v>
      </c>
      <c r="G37" s="1">
        <f t="shared" si="2"/>
        <v>289</v>
      </c>
    </row>
    <row r="38" spans="2:7" x14ac:dyDescent="0.2">
      <c r="B38" s="1">
        <f>data!B38</f>
        <v>5</v>
      </c>
      <c r="C38" s="1">
        <f>data!C38</f>
        <v>6</v>
      </c>
      <c r="D38" s="1">
        <f>data!D38</f>
        <v>87.23</v>
      </c>
      <c r="E38" s="1">
        <f t="shared" si="0"/>
        <v>345</v>
      </c>
      <c r="F38" s="1">
        <f t="shared" si="1"/>
        <v>552</v>
      </c>
      <c r="G38" s="1">
        <f t="shared" si="2"/>
        <v>124.5</v>
      </c>
    </row>
    <row r="39" spans="2:7" x14ac:dyDescent="0.2">
      <c r="B39" s="1">
        <f>data!B39</f>
        <v>9</v>
      </c>
      <c r="C39" s="1">
        <f>data!C39</f>
        <v>26</v>
      </c>
      <c r="D39" s="1">
        <f>data!D39</f>
        <v>67.900000000000006</v>
      </c>
      <c r="E39" s="1">
        <f t="shared" si="0"/>
        <v>151.5</v>
      </c>
      <c r="F39" s="1">
        <f t="shared" si="1"/>
        <v>443</v>
      </c>
      <c r="G39" s="1">
        <f t="shared" si="2"/>
        <v>225</v>
      </c>
    </row>
    <row r="40" spans="2:7" x14ac:dyDescent="0.2">
      <c r="B40" s="1">
        <f>data!B40</f>
        <v>7</v>
      </c>
      <c r="C40" s="1">
        <f>data!C40</f>
        <v>189</v>
      </c>
      <c r="D40" s="1">
        <f>data!D40</f>
        <v>44.74</v>
      </c>
      <c r="E40" s="1">
        <f t="shared" si="0"/>
        <v>234.5</v>
      </c>
      <c r="F40" s="1">
        <f t="shared" si="1"/>
        <v>148</v>
      </c>
      <c r="G40" s="1">
        <f t="shared" si="2"/>
        <v>542</v>
      </c>
    </row>
    <row r="41" spans="2:7" x14ac:dyDescent="0.2">
      <c r="B41" s="1">
        <f>data!B41</f>
        <v>7</v>
      </c>
      <c r="C41" s="1">
        <f>data!C41</f>
        <v>66</v>
      </c>
      <c r="D41" s="1">
        <f>data!D41</f>
        <v>62.29</v>
      </c>
      <c r="E41" s="1">
        <f t="shared" si="0"/>
        <v>234.5</v>
      </c>
      <c r="F41" s="1">
        <f t="shared" si="1"/>
        <v>329.5</v>
      </c>
      <c r="G41" s="1">
        <f t="shared" si="2"/>
        <v>277</v>
      </c>
    </row>
    <row r="42" spans="2:7" x14ac:dyDescent="0.2">
      <c r="B42" s="1">
        <f>data!B42</f>
        <v>6</v>
      </c>
      <c r="C42" s="1">
        <f>data!C42</f>
        <v>6</v>
      </c>
      <c r="D42" s="1">
        <f>data!D42</f>
        <v>87.5</v>
      </c>
      <c r="E42" s="1">
        <f t="shared" si="0"/>
        <v>284.5</v>
      </c>
      <c r="F42" s="1">
        <f t="shared" si="1"/>
        <v>552</v>
      </c>
      <c r="G42" s="1">
        <f t="shared" si="2"/>
        <v>117.5</v>
      </c>
    </row>
    <row r="43" spans="2:7" x14ac:dyDescent="0.2">
      <c r="B43" s="1">
        <f>data!B43</f>
        <v>16</v>
      </c>
      <c r="C43" s="1">
        <f>data!C43</f>
        <v>726</v>
      </c>
      <c r="D43" s="1">
        <f>data!D43</f>
        <v>43.98</v>
      </c>
      <c r="E43" s="1">
        <f t="shared" si="0"/>
        <v>29</v>
      </c>
      <c r="F43" s="1">
        <f t="shared" si="1"/>
        <v>17</v>
      </c>
      <c r="G43" s="1">
        <f t="shared" si="2"/>
        <v>553</v>
      </c>
    </row>
    <row r="44" spans="2:7" x14ac:dyDescent="0.2">
      <c r="B44" s="1">
        <f>data!B44</f>
        <v>8</v>
      </c>
      <c r="C44" s="1">
        <f>data!C44</f>
        <v>99</v>
      </c>
      <c r="D44" s="1">
        <f>data!D44</f>
        <v>56.77</v>
      </c>
      <c r="E44" s="1">
        <f t="shared" si="0"/>
        <v>187.5</v>
      </c>
      <c r="F44" s="1">
        <f t="shared" si="1"/>
        <v>261</v>
      </c>
      <c r="G44" s="1">
        <f t="shared" si="2"/>
        <v>359</v>
      </c>
    </row>
    <row r="45" spans="2:7" x14ac:dyDescent="0.2">
      <c r="B45" s="1">
        <f>data!B45</f>
        <v>8</v>
      </c>
      <c r="C45" s="1">
        <f>data!C45</f>
        <v>217</v>
      </c>
      <c r="D45" s="1">
        <f>data!D45</f>
        <v>40.71</v>
      </c>
      <c r="E45" s="1">
        <f t="shared" si="0"/>
        <v>187.5</v>
      </c>
      <c r="F45" s="1">
        <f t="shared" si="1"/>
        <v>120</v>
      </c>
      <c r="G45" s="1">
        <f t="shared" si="2"/>
        <v>581</v>
      </c>
    </row>
    <row r="46" spans="2:7" x14ac:dyDescent="0.2">
      <c r="B46" s="1">
        <f>data!B46</f>
        <v>7</v>
      </c>
      <c r="C46" s="1">
        <f>data!C46</f>
        <v>5</v>
      </c>
      <c r="D46" s="1">
        <f>data!D46</f>
        <v>88.89</v>
      </c>
      <c r="E46" s="1">
        <f t="shared" si="0"/>
        <v>234.5</v>
      </c>
      <c r="F46" s="1">
        <f t="shared" si="1"/>
        <v>595</v>
      </c>
      <c r="G46" s="1">
        <f t="shared" si="2"/>
        <v>85</v>
      </c>
    </row>
    <row r="47" spans="2:7" x14ac:dyDescent="0.2">
      <c r="B47" s="1">
        <f>data!B47</f>
        <v>6</v>
      </c>
      <c r="C47" s="1">
        <f>data!C47</f>
        <v>55</v>
      </c>
      <c r="D47" s="1">
        <f>data!D47</f>
        <v>58.33</v>
      </c>
      <c r="E47" s="1">
        <f t="shared" si="0"/>
        <v>284.5</v>
      </c>
      <c r="F47" s="1">
        <f t="shared" si="1"/>
        <v>366.5</v>
      </c>
      <c r="G47" s="1">
        <f t="shared" si="2"/>
        <v>341</v>
      </c>
    </row>
    <row r="48" spans="2:7" x14ac:dyDescent="0.2">
      <c r="B48" s="1">
        <f>data!B48</f>
        <v>5</v>
      </c>
      <c r="C48" s="1">
        <f>data!C48</f>
        <v>48</v>
      </c>
      <c r="D48" s="1">
        <f>data!D48</f>
        <v>65.709999999999994</v>
      </c>
      <c r="E48" s="1">
        <f t="shared" si="0"/>
        <v>345</v>
      </c>
      <c r="F48" s="1">
        <f t="shared" si="1"/>
        <v>385.5</v>
      </c>
      <c r="G48" s="1">
        <f t="shared" si="2"/>
        <v>239</v>
      </c>
    </row>
    <row r="49" spans="2:7" x14ac:dyDescent="0.2">
      <c r="B49" s="1">
        <f>data!B49</f>
        <v>11</v>
      </c>
      <c r="C49" s="1">
        <f>data!C49</f>
        <v>653</v>
      </c>
      <c r="D49" s="1">
        <f>data!D49</f>
        <v>37.69</v>
      </c>
      <c r="E49" s="1">
        <f t="shared" si="0"/>
        <v>98</v>
      </c>
      <c r="F49" s="1">
        <f t="shared" si="1"/>
        <v>23</v>
      </c>
      <c r="G49" s="1">
        <f t="shared" si="2"/>
        <v>606</v>
      </c>
    </row>
    <row r="50" spans="2:7" x14ac:dyDescent="0.2">
      <c r="B50" s="1">
        <f>data!B50</f>
        <v>17</v>
      </c>
      <c r="C50" s="1">
        <f>data!C50</f>
        <v>1063</v>
      </c>
      <c r="D50" s="1">
        <f>data!D50</f>
        <v>36.35</v>
      </c>
      <c r="E50" s="1">
        <f t="shared" si="0"/>
        <v>23</v>
      </c>
      <c r="F50" s="1">
        <f t="shared" si="1"/>
        <v>7</v>
      </c>
      <c r="G50" s="1">
        <f t="shared" si="2"/>
        <v>615</v>
      </c>
    </row>
    <row r="51" spans="2:7" x14ac:dyDescent="0.2">
      <c r="B51" s="1">
        <f>data!B51</f>
        <v>8</v>
      </c>
      <c r="C51" s="1">
        <f>data!C51</f>
        <v>42</v>
      </c>
      <c r="D51" s="1">
        <f>data!D51</f>
        <v>65</v>
      </c>
      <c r="E51" s="1">
        <f t="shared" si="0"/>
        <v>187.5</v>
      </c>
      <c r="F51" s="1">
        <f t="shared" si="1"/>
        <v>402.5</v>
      </c>
      <c r="G51" s="1">
        <f t="shared" si="2"/>
        <v>246</v>
      </c>
    </row>
    <row r="52" spans="2:7" x14ac:dyDescent="0.2">
      <c r="B52" s="1">
        <f>data!B52</f>
        <v>5</v>
      </c>
      <c r="C52" s="1">
        <f>data!C52</f>
        <v>6</v>
      </c>
      <c r="D52" s="1">
        <f>data!D52</f>
        <v>88.68</v>
      </c>
      <c r="E52" s="1">
        <f t="shared" si="0"/>
        <v>345</v>
      </c>
      <c r="F52" s="1">
        <f t="shared" si="1"/>
        <v>552</v>
      </c>
      <c r="G52" s="1">
        <f t="shared" si="2"/>
        <v>92</v>
      </c>
    </row>
    <row r="53" spans="2:7" x14ac:dyDescent="0.2">
      <c r="B53" s="1">
        <f>data!B53</f>
        <v>9</v>
      </c>
      <c r="C53" s="1">
        <f>data!C53</f>
        <v>140</v>
      </c>
      <c r="D53" s="1">
        <f>data!D53</f>
        <v>55.84</v>
      </c>
      <c r="E53" s="1">
        <f t="shared" si="0"/>
        <v>151.5</v>
      </c>
      <c r="F53" s="1">
        <f t="shared" si="1"/>
        <v>205</v>
      </c>
      <c r="G53" s="1">
        <f t="shared" si="2"/>
        <v>365.5</v>
      </c>
    </row>
    <row r="54" spans="2:7" x14ac:dyDescent="0.2">
      <c r="B54" s="1">
        <f>data!B54</f>
        <v>4</v>
      </c>
      <c r="C54" s="1">
        <f>data!C54</f>
        <v>18</v>
      </c>
      <c r="D54" s="1">
        <f>data!D54</f>
        <v>75.680000000000007</v>
      </c>
      <c r="E54" s="1">
        <f t="shared" si="0"/>
        <v>422.5</v>
      </c>
      <c r="F54" s="1">
        <f t="shared" si="1"/>
        <v>455.5</v>
      </c>
      <c r="G54" s="1">
        <f t="shared" si="2"/>
        <v>190</v>
      </c>
    </row>
    <row r="55" spans="2:7" x14ac:dyDescent="0.2">
      <c r="B55" s="1">
        <f>data!B55</f>
        <v>8</v>
      </c>
      <c r="C55" s="1">
        <f>data!C55</f>
        <v>106</v>
      </c>
      <c r="D55" s="1">
        <f>data!D55</f>
        <v>53.91</v>
      </c>
      <c r="E55" s="1">
        <f t="shared" si="0"/>
        <v>187.5</v>
      </c>
      <c r="F55" s="1">
        <f t="shared" si="1"/>
        <v>252.5</v>
      </c>
      <c r="G55" s="1">
        <f t="shared" si="2"/>
        <v>396</v>
      </c>
    </row>
    <row r="56" spans="2:7" x14ac:dyDescent="0.2">
      <c r="B56" s="1">
        <f>data!B56</f>
        <v>7</v>
      </c>
      <c r="C56" s="1">
        <f>data!C56</f>
        <v>561</v>
      </c>
      <c r="D56" s="1">
        <f>data!D56</f>
        <v>41.01</v>
      </c>
      <c r="E56" s="1">
        <f t="shared" si="0"/>
        <v>234.5</v>
      </c>
      <c r="F56" s="1">
        <f t="shared" si="1"/>
        <v>30</v>
      </c>
      <c r="G56" s="1">
        <f t="shared" si="2"/>
        <v>577</v>
      </c>
    </row>
    <row r="57" spans="2:7" x14ac:dyDescent="0.2">
      <c r="B57" s="1">
        <f>data!B57</f>
        <v>12</v>
      </c>
      <c r="C57" s="1">
        <f>data!C57</f>
        <v>565</v>
      </c>
      <c r="D57" s="1">
        <f>data!D57</f>
        <v>41.45</v>
      </c>
      <c r="E57" s="1">
        <f t="shared" si="0"/>
        <v>74.5</v>
      </c>
      <c r="F57" s="1">
        <f t="shared" si="1"/>
        <v>29</v>
      </c>
      <c r="G57" s="1">
        <f t="shared" si="2"/>
        <v>572</v>
      </c>
    </row>
    <row r="58" spans="2:7" x14ac:dyDescent="0.2">
      <c r="B58" s="1">
        <f>data!B58</f>
        <v>4</v>
      </c>
      <c r="C58" s="1">
        <f>data!C58</f>
        <v>14</v>
      </c>
      <c r="D58" s="1">
        <f>data!D58</f>
        <v>80.56</v>
      </c>
      <c r="E58" s="1">
        <f t="shared" si="0"/>
        <v>422.5</v>
      </c>
      <c r="F58" s="1">
        <f t="shared" si="1"/>
        <v>464</v>
      </c>
      <c r="G58" s="1">
        <f t="shared" si="2"/>
        <v>172</v>
      </c>
    </row>
    <row r="59" spans="2:7" x14ac:dyDescent="0.2">
      <c r="B59" s="1">
        <f>data!B59</f>
        <v>9</v>
      </c>
      <c r="C59" s="1">
        <f>data!C59</f>
        <v>133</v>
      </c>
      <c r="D59" s="1">
        <f>data!D59</f>
        <v>45.04</v>
      </c>
      <c r="E59" s="1">
        <f t="shared" si="0"/>
        <v>151.5</v>
      </c>
      <c r="F59" s="1">
        <f t="shared" si="1"/>
        <v>212</v>
      </c>
      <c r="G59" s="1">
        <f t="shared" si="2"/>
        <v>538</v>
      </c>
    </row>
    <row r="60" spans="2:7" x14ac:dyDescent="0.2">
      <c r="B60" s="1">
        <f>data!B60</f>
        <v>6</v>
      </c>
      <c r="C60" s="1">
        <f>data!C60</f>
        <v>215</v>
      </c>
      <c r="D60" s="1">
        <f>data!D60</f>
        <v>45.98</v>
      </c>
      <c r="E60" s="1">
        <f t="shared" si="0"/>
        <v>284.5</v>
      </c>
      <c r="F60" s="1">
        <f t="shared" si="1"/>
        <v>122.5</v>
      </c>
      <c r="G60" s="1">
        <f t="shared" si="2"/>
        <v>531</v>
      </c>
    </row>
    <row r="61" spans="2:7" x14ac:dyDescent="0.2">
      <c r="B61" s="1">
        <f>data!B61</f>
        <v>5</v>
      </c>
      <c r="C61" s="1">
        <f>data!C61</f>
        <v>98</v>
      </c>
      <c r="D61" s="1">
        <f>data!D61</f>
        <v>57.39</v>
      </c>
      <c r="E61" s="1">
        <f t="shared" si="0"/>
        <v>345</v>
      </c>
      <c r="F61" s="1">
        <f t="shared" si="1"/>
        <v>263</v>
      </c>
      <c r="G61" s="1">
        <f t="shared" si="2"/>
        <v>350</v>
      </c>
    </row>
    <row r="62" spans="2:7" x14ac:dyDescent="0.2">
      <c r="B62" s="1">
        <f>data!B62</f>
        <v>10</v>
      </c>
      <c r="C62" s="1">
        <f>data!C62</f>
        <v>597</v>
      </c>
      <c r="D62" s="1">
        <f>data!D62</f>
        <v>41.7</v>
      </c>
      <c r="E62" s="1">
        <f t="shared" si="0"/>
        <v>123.5</v>
      </c>
      <c r="F62" s="1">
        <f t="shared" si="1"/>
        <v>27</v>
      </c>
      <c r="G62" s="1">
        <f t="shared" si="2"/>
        <v>569</v>
      </c>
    </row>
    <row r="63" spans="2:7" x14ac:dyDescent="0.2">
      <c r="B63" s="1">
        <f>data!B63</f>
        <v>6</v>
      </c>
      <c r="C63" s="1">
        <f>data!C63</f>
        <v>19</v>
      </c>
      <c r="D63" s="1">
        <f>data!D63</f>
        <v>77.38</v>
      </c>
      <c r="E63" s="1">
        <f t="shared" si="0"/>
        <v>284.5</v>
      </c>
      <c r="F63" s="1">
        <f t="shared" si="1"/>
        <v>452.5</v>
      </c>
      <c r="G63" s="1">
        <f t="shared" si="2"/>
        <v>183</v>
      </c>
    </row>
    <row r="64" spans="2:7" x14ac:dyDescent="0.2">
      <c r="B64" s="1">
        <f>data!B64</f>
        <v>6</v>
      </c>
      <c r="C64" s="1">
        <f>data!C64</f>
        <v>55</v>
      </c>
      <c r="D64" s="1">
        <f>data!D64</f>
        <v>60.43</v>
      </c>
      <c r="E64" s="1">
        <f t="shared" si="0"/>
        <v>284.5</v>
      </c>
      <c r="F64" s="1">
        <f t="shared" si="1"/>
        <v>366.5</v>
      </c>
      <c r="G64" s="1">
        <f t="shared" si="2"/>
        <v>300</v>
      </c>
    </row>
    <row r="65" spans="2:7" x14ac:dyDescent="0.2">
      <c r="B65" s="1">
        <f>data!B65</f>
        <v>6</v>
      </c>
      <c r="C65" s="1">
        <f>data!C65</f>
        <v>157</v>
      </c>
      <c r="D65" s="1">
        <f>data!D65</f>
        <v>26.64</v>
      </c>
      <c r="E65" s="1">
        <f t="shared" si="0"/>
        <v>284.5</v>
      </c>
      <c r="F65" s="1">
        <f t="shared" si="1"/>
        <v>182</v>
      </c>
      <c r="G65" s="1">
        <f t="shared" si="2"/>
        <v>631</v>
      </c>
    </row>
    <row r="66" spans="2:7" x14ac:dyDescent="0.2">
      <c r="B66" s="1">
        <f>data!B66</f>
        <v>14</v>
      </c>
      <c r="C66" s="1">
        <f>data!C66</f>
        <v>670</v>
      </c>
      <c r="D66" s="1">
        <f>data!D66</f>
        <v>38.979999999999997</v>
      </c>
      <c r="E66" s="1">
        <f t="shared" si="0"/>
        <v>46</v>
      </c>
      <c r="F66" s="1">
        <f t="shared" si="1"/>
        <v>21</v>
      </c>
      <c r="G66" s="1">
        <f t="shared" si="2"/>
        <v>595</v>
      </c>
    </row>
    <row r="67" spans="2:7" x14ac:dyDescent="0.2">
      <c r="B67" s="1">
        <f>data!B67</f>
        <v>9</v>
      </c>
      <c r="C67" s="1">
        <f>data!C67</f>
        <v>158</v>
      </c>
      <c r="D67" s="1">
        <f>data!D67</f>
        <v>50.63</v>
      </c>
      <c r="E67" s="1">
        <f t="shared" si="0"/>
        <v>151.5</v>
      </c>
      <c r="F67" s="1">
        <f t="shared" si="1"/>
        <v>180</v>
      </c>
      <c r="G67" s="1">
        <f t="shared" si="2"/>
        <v>451</v>
      </c>
    </row>
    <row r="68" spans="2:7" x14ac:dyDescent="0.2">
      <c r="B68" s="1">
        <f>data!B68</f>
        <v>5</v>
      </c>
      <c r="C68" s="1">
        <f>data!C68</f>
        <v>81</v>
      </c>
      <c r="D68" s="1">
        <f>data!D68</f>
        <v>54.24</v>
      </c>
      <c r="E68" s="1">
        <f t="shared" si="0"/>
        <v>345</v>
      </c>
      <c r="F68" s="1">
        <f t="shared" si="1"/>
        <v>292</v>
      </c>
      <c r="G68" s="1">
        <f t="shared" si="2"/>
        <v>390</v>
      </c>
    </row>
    <row r="69" spans="2:7" x14ac:dyDescent="0.2">
      <c r="B69" s="1">
        <f>data!B69</f>
        <v>3</v>
      </c>
      <c r="C69" s="1">
        <f>data!C69</f>
        <v>39</v>
      </c>
      <c r="D69" s="1">
        <f>data!D69</f>
        <v>67.23</v>
      </c>
      <c r="E69" s="1">
        <f t="shared" si="0"/>
        <v>502</v>
      </c>
      <c r="F69" s="1">
        <f t="shared" si="1"/>
        <v>412</v>
      </c>
      <c r="G69" s="1">
        <f t="shared" si="2"/>
        <v>228</v>
      </c>
    </row>
    <row r="70" spans="2:7" x14ac:dyDescent="0.2">
      <c r="B70" s="1">
        <f>data!B70</f>
        <v>11</v>
      </c>
      <c r="C70" s="1">
        <f>data!C70</f>
        <v>233</v>
      </c>
      <c r="D70" s="1">
        <f>data!D70</f>
        <v>41.31</v>
      </c>
      <c r="E70" s="1">
        <f t="shared" si="0"/>
        <v>98</v>
      </c>
      <c r="F70" s="1">
        <f t="shared" si="1"/>
        <v>109</v>
      </c>
      <c r="G70" s="1">
        <f t="shared" si="2"/>
        <v>574</v>
      </c>
    </row>
    <row r="71" spans="2:7" x14ac:dyDescent="0.2">
      <c r="B71" s="1">
        <f>data!B71</f>
        <v>11</v>
      </c>
      <c r="C71" s="1">
        <f>data!C71</f>
        <v>423</v>
      </c>
      <c r="D71" s="1">
        <f>data!D71</f>
        <v>37.89</v>
      </c>
      <c r="E71" s="1">
        <f t="shared" si="0"/>
        <v>98</v>
      </c>
      <c r="F71" s="1">
        <f t="shared" si="1"/>
        <v>42</v>
      </c>
      <c r="G71" s="1">
        <f t="shared" si="2"/>
        <v>604</v>
      </c>
    </row>
    <row r="72" spans="2:7" x14ac:dyDescent="0.2">
      <c r="B72" s="1">
        <f>data!B72</f>
        <v>7</v>
      </c>
      <c r="C72" s="1">
        <f>data!C72</f>
        <v>65</v>
      </c>
      <c r="D72" s="1">
        <f>data!D72</f>
        <v>58.6</v>
      </c>
      <c r="E72" s="1">
        <f t="shared" si="0"/>
        <v>234.5</v>
      </c>
      <c r="F72" s="1">
        <f t="shared" si="1"/>
        <v>334</v>
      </c>
      <c r="G72" s="1">
        <f t="shared" si="2"/>
        <v>330.5</v>
      </c>
    </row>
    <row r="73" spans="2:7" x14ac:dyDescent="0.2">
      <c r="B73" s="1">
        <f>data!B73</f>
        <v>4</v>
      </c>
      <c r="C73" s="1">
        <f>data!C73</f>
        <v>5</v>
      </c>
      <c r="D73" s="1">
        <f>data!D73</f>
        <v>88.89</v>
      </c>
      <c r="E73" s="1">
        <f t="shared" si="0"/>
        <v>422.5</v>
      </c>
      <c r="F73" s="1">
        <f t="shared" si="1"/>
        <v>595</v>
      </c>
      <c r="G73" s="1">
        <f t="shared" si="2"/>
        <v>85</v>
      </c>
    </row>
    <row r="74" spans="2:7" x14ac:dyDescent="0.2">
      <c r="B74" s="1">
        <f>data!B74</f>
        <v>4</v>
      </c>
      <c r="C74" s="1">
        <f>data!C74</f>
        <v>64</v>
      </c>
      <c r="D74" s="1">
        <f>data!D74</f>
        <v>61.68</v>
      </c>
      <c r="E74" s="1">
        <f t="shared" si="0"/>
        <v>422.5</v>
      </c>
      <c r="F74" s="1">
        <f t="shared" si="1"/>
        <v>338.5</v>
      </c>
      <c r="G74" s="1">
        <f t="shared" si="2"/>
        <v>281.5</v>
      </c>
    </row>
    <row r="75" spans="2:7" x14ac:dyDescent="0.2">
      <c r="B75" s="1">
        <f>data!B75</f>
        <v>2</v>
      </c>
      <c r="C75" s="1">
        <f>data!C75</f>
        <v>72</v>
      </c>
      <c r="D75" s="1">
        <f>data!D75</f>
        <v>63.08</v>
      </c>
      <c r="E75" s="1">
        <f t="shared" si="0"/>
        <v>585.5</v>
      </c>
      <c r="F75" s="1">
        <f t="shared" si="1"/>
        <v>314</v>
      </c>
      <c r="G75" s="1">
        <f t="shared" si="2"/>
        <v>265</v>
      </c>
    </row>
    <row r="76" spans="2:7" x14ac:dyDescent="0.2">
      <c r="B76" s="1">
        <f>data!B76</f>
        <v>4</v>
      </c>
      <c r="C76" s="1">
        <f>data!C76</f>
        <v>6</v>
      </c>
      <c r="D76" s="1">
        <f>data!D76</f>
        <v>91.89</v>
      </c>
      <c r="E76" s="1">
        <f t="shared" si="0"/>
        <v>422.5</v>
      </c>
      <c r="F76" s="1">
        <f t="shared" si="1"/>
        <v>552</v>
      </c>
      <c r="G76" s="1">
        <f t="shared" si="2"/>
        <v>13.5</v>
      </c>
    </row>
    <row r="77" spans="2:7" x14ac:dyDescent="0.2">
      <c r="B77" s="1">
        <f>data!B77</f>
        <v>4</v>
      </c>
      <c r="C77" s="1">
        <f>data!C77</f>
        <v>11</v>
      </c>
      <c r="D77" s="1">
        <f>data!D77</f>
        <v>91.73</v>
      </c>
      <c r="E77" s="1">
        <f t="shared" si="0"/>
        <v>422.5</v>
      </c>
      <c r="F77" s="1">
        <f t="shared" si="1"/>
        <v>496</v>
      </c>
      <c r="G77" s="1">
        <f t="shared" si="2"/>
        <v>20</v>
      </c>
    </row>
    <row r="78" spans="2:7" x14ac:dyDescent="0.2">
      <c r="B78" s="1">
        <f>data!B78</f>
        <v>14</v>
      </c>
      <c r="C78" s="1">
        <f>data!C78</f>
        <v>767</v>
      </c>
      <c r="D78" s="1">
        <f>data!D78</f>
        <v>49.64</v>
      </c>
      <c r="E78" s="1">
        <f t="shared" si="0"/>
        <v>46</v>
      </c>
      <c r="F78" s="1">
        <f t="shared" si="1"/>
        <v>15</v>
      </c>
      <c r="G78" s="1">
        <f t="shared" si="2"/>
        <v>468.5</v>
      </c>
    </row>
    <row r="79" spans="2:7" x14ac:dyDescent="0.2">
      <c r="B79" s="1">
        <f>data!B79</f>
        <v>6</v>
      </c>
      <c r="C79" s="1">
        <f>data!C79</f>
        <v>42</v>
      </c>
      <c r="D79" s="1">
        <f>data!D79</f>
        <v>65.849999999999994</v>
      </c>
      <c r="E79" s="1">
        <f t="shared" si="0"/>
        <v>284.5</v>
      </c>
      <c r="F79" s="1">
        <f t="shared" si="1"/>
        <v>402.5</v>
      </c>
      <c r="G79" s="1">
        <f t="shared" si="2"/>
        <v>237</v>
      </c>
    </row>
    <row r="80" spans="2:7" x14ac:dyDescent="0.2">
      <c r="B80" s="1">
        <f>data!B80</f>
        <v>13</v>
      </c>
      <c r="C80" s="1">
        <f>data!C80</f>
        <v>259</v>
      </c>
      <c r="D80" s="1">
        <f>data!D80</f>
        <v>55.73</v>
      </c>
      <c r="E80" s="1">
        <f t="shared" si="0"/>
        <v>56</v>
      </c>
      <c r="F80" s="1">
        <f t="shared" si="1"/>
        <v>91</v>
      </c>
      <c r="G80" s="1">
        <f t="shared" si="2"/>
        <v>369</v>
      </c>
    </row>
    <row r="81" spans="2:7" x14ac:dyDescent="0.2">
      <c r="B81" s="1">
        <f>data!B81</f>
        <v>5</v>
      </c>
      <c r="C81" s="1">
        <f>data!C81</f>
        <v>7</v>
      </c>
      <c r="D81" s="1">
        <f>data!D81</f>
        <v>89.71</v>
      </c>
      <c r="E81" s="1">
        <f t="shared" si="0"/>
        <v>345</v>
      </c>
      <c r="F81" s="1">
        <f t="shared" si="1"/>
        <v>524.5</v>
      </c>
      <c r="G81" s="1">
        <f t="shared" si="2"/>
        <v>69.5</v>
      </c>
    </row>
    <row r="82" spans="2:7" x14ac:dyDescent="0.2">
      <c r="B82" s="1">
        <f>data!B82</f>
        <v>6</v>
      </c>
      <c r="C82" s="1">
        <f>data!C82</f>
        <v>13</v>
      </c>
      <c r="D82" s="1">
        <f>data!D82</f>
        <v>87.13</v>
      </c>
      <c r="E82" s="1">
        <f t="shared" si="0"/>
        <v>284.5</v>
      </c>
      <c r="F82" s="1">
        <f t="shared" si="1"/>
        <v>470</v>
      </c>
      <c r="G82" s="1">
        <f t="shared" si="2"/>
        <v>128</v>
      </c>
    </row>
    <row r="83" spans="2:7" x14ac:dyDescent="0.2">
      <c r="B83" s="1">
        <f>data!B83</f>
        <v>9</v>
      </c>
      <c r="C83" s="1">
        <f>data!C83</f>
        <v>101</v>
      </c>
      <c r="D83" s="1">
        <f>data!D83</f>
        <v>52.8</v>
      </c>
      <c r="E83" s="1">
        <f t="shared" si="0"/>
        <v>151.5</v>
      </c>
      <c r="F83" s="1">
        <f t="shared" si="1"/>
        <v>259</v>
      </c>
      <c r="G83" s="1">
        <f t="shared" si="2"/>
        <v>416.5</v>
      </c>
    </row>
    <row r="84" spans="2:7" x14ac:dyDescent="0.2">
      <c r="B84" s="1">
        <f>data!B84</f>
        <v>10</v>
      </c>
      <c r="C84" s="1">
        <f>data!C84</f>
        <v>126</v>
      </c>
      <c r="D84" s="1">
        <f>data!D84</f>
        <v>50.39</v>
      </c>
      <c r="E84" s="1">
        <f t="shared" si="0"/>
        <v>123.5</v>
      </c>
      <c r="F84" s="1">
        <f t="shared" si="1"/>
        <v>221</v>
      </c>
      <c r="G84" s="1">
        <f t="shared" si="2"/>
        <v>454</v>
      </c>
    </row>
    <row r="85" spans="2:7" x14ac:dyDescent="0.2">
      <c r="B85" s="1">
        <f>data!B85</f>
        <v>7</v>
      </c>
      <c r="C85" s="1">
        <f>data!C85</f>
        <v>9</v>
      </c>
      <c r="D85" s="1">
        <f>data!D85</f>
        <v>85</v>
      </c>
      <c r="E85" s="1">
        <f t="shared" si="0"/>
        <v>234.5</v>
      </c>
      <c r="F85" s="1">
        <f t="shared" si="1"/>
        <v>509</v>
      </c>
      <c r="G85" s="1">
        <f t="shared" si="2"/>
        <v>148</v>
      </c>
    </row>
    <row r="86" spans="2:7" x14ac:dyDescent="0.2">
      <c r="B86" s="1">
        <f>data!B86</f>
        <v>2</v>
      </c>
      <c r="C86" s="1">
        <f>data!C86</f>
        <v>30</v>
      </c>
      <c r="D86" s="1">
        <f>data!D86</f>
        <v>76</v>
      </c>
      <c r="E86" s="1">
        <f t="shared" si="0"/>
        <v>585.5</v>
      </c>
      <c r="F86" s="1">
        <f t="shared" si="1"/>
        <v>436</v>
      </c>
      <c r="G86" s="1">
        <f t="shared" si="2"/>
        <v>188</v>
      </c>
    </row>
    <row r="87" spans="2:7" x14ac:dyDescent="0.2">
      <c r="B87" s="1">
        <f>data!B87</f>
        <v>2</v>
      </c>
      <c r="C87" s="1">
        <f>data!C87</f>
        <v>15</v>
      </c>
      <c r="D87" s="1">
        <f>data!D87</f>
        <v>79.17</v>
      </c>
      <c r="E87" s="1">
        <f t="shared" si="0"/>
        <v>585.5</v>
      </c>
      <c r="F87" s="1">
        <f t="shared" si="1"/>
        <v>460</v>
      </c>
      <c r="G87" s="1">
        <f t="shared" si="2"/>
        <v>177</v>
      </c>
    </row>
    <row r="88" spans="2:7" x14ac:dyDescent="0.2">
      <c r="B88" s="1">
        <f>data!B88</f>
        <v>6</v>
      </c>
      <c r="C88" s="1">
        <f>data!C88</f>
        <v>382</v>
      </c>
      <c r="D88" s="1">
        <f>data!D88</f>
        <v>25.24</v>
      </c>
      <c r="E88" s="1">
        <f t="shared" si="0"/>
        <v>284.5</v>
      </c>
      <c r="F88" s="1">
        <f t="shared" si="1"/>
        <v>52</v>
      </c>
      <c r="G88" s="1">
        <f t="shared" si="2"/>
        <v>632</v>
      </c>
    </row>
    <row r="89" spans="2:7" x14ac:dyDescent="0.2">
      <c r="B89" s="1">
        <f>data!B89</f>
        <v>5</v>
      </c>
      <c r="C89" s="1">
        <f>data!C89</f>
        <v>140</v>
      </c>
      <c r="D89" s="1">
        <f>data!D89</f>
        <v>53.33</v>
      </c>
      <c r="E89" s="1">
        <f t="shared" si="0"/>
        <v>345</v>
      </c>
      <c r="F89" s="1">
        <f t="shared" si="1"/>
        <v>205</v>
      </c>
      <c r="G89" s="1">
        <f t="shared" si="2"/>
        <v>406.5</v>
      </c>
    </row>
    <row r="90" spans="2:7" x14ac:dyDescent="0.2">
      <c r="B90" s="1">
        <f>data!B90</f>
        <v>7</v>
      </c>
      <c r="C90" s="1">
        <f>data!C90</f>
        <v>72</v>
      </c>
      <c r="D90" s="1">
        <f>data!D90</f>
        <v>58.86</v>
      </c>
      <c r="E90" s="1">
        <f t="shared" si="0"/>
        <v>234.5</v>
      </c>
      <c r="F90" s="1">
        <f t="shared" si="1"/>
        <v>314</v>
      </c>
      <c r="G90" s="1">
        <f t="shared" si="2"/>
        <v>322</v>
      </c>
    </row>
    <row r="91" spans="2:7" x14ac:dyDescent="0.2">
      <c r="B91" s="1">
        <f>data!B91</f>
        <v>6</v>
      </c>
      <c r="C91" s="1">
        <f>data!C91</f>
        <v>208</v>
      </c>
      <c r="D91" s="1">
        <f>data!D91</f>
        <v>41.57</v>
      </c>
      <c r="E91" s="1">
        <f t="shared" si="0"/>
        <v>284.5</v>
      </c>
      <c r="F91" s="1">
        <f t="shared" si="1"/>
        <v>129</v>
      </c>
      <c r="G91" s="1">
        <f t="shared" si="2"/>
        <v>571</v>
      </c>
    </row>
    <row r="92" spans="2:7" x14ac:dyDescent="0.2">
      <c r="B92" s="1">
        <f>data!B92</f>
        <v>5</v>
      </c>
      <c r="C92" s="1">
        <f>data!C92</f>
        <v>33</v>
      </c>
      <c r="D92" s="1">
        <f>data!D92</f>
        <v>70.27</v>
      </c>
      <c r="E92" s="1">
        <f t="shared" si="0"/>
        <v>345</v>
      </c>
      <c r="F92" s="1">
        <f t="shared" si="1"/>
        <v>431</v>
      </c>
      <c r="G92" s="1">
        <f t="shared" si="2"/>
        <v>204</v>
      </c>
    </row>
    <row r="93" spans="2:7" x14ac:dyDescent="0.2">
      <c r="B93" s="1">
        <f>data!B93</f>
        <v>3</v>
      </c>
      <c r="C93" s="1">
        <f>data!C93</f>
        <v>4</v>
      </c>
      <c r="D93" s="1">
        <f>data!D93</f>
        <v>92.59</v>
      </c>
      <c r="E93" s="1">
        <f t="shared" si="0"/>
        <v>502</v>
      </c>
      <c r="F93" s="1">
        <f t="shared" si="1"/>
        <v>624.5</v>
      </c>
      <c r="G93" s="1">
        <f t="shared" si="2"/>
        <v>3.5</v>
      </c>
    </row>
    <row r="94" spans="2:7" x14ac:dyDescent="0.2">
      <c r="B94" s="1">
        <f>data!B94</f>
        <v>3</v>
      </c>
      <c r="C94" s="1">
        <f>data!C94</f>
        <v>5</v>
      </c>
      <c r="D94" s="1">
        <f>data!D94</f>
        <v>90.57</v>
      </c>
      <c r="E94" s="1">
        <f t="shared" si="0"/>
        <v>502</v>
      </c>
      <c r="F94" s="1">
        <f t="shared" si="1"/>
        <v>595</v>
      </c>
      <c r="G94" s="1">
        <f t="shared" si="2"/>
        <v>53.5</v>
      </c>
    </row>
    <row r="95" spans="2:7" x14ac:dyDescent="0.2">
      <c r="B95" s="1">
        <f>data!B95</f>
        <v>7</v>
      </c>
      <c r="C95" s="1">
        <f>data!C95</f>
        <v>234</v>
      </c>
      <c r="D95" s="1">
        <f>data!D95</f>
        <v>43.07</v>
      </c>
      <c r="E95" s="1">
        <f t="shared" si="0"/>
        <v>234.5</v>
      </c>
      <c r="F95" s="1">
        <f t="shared" si="1"/>
        <v>107</v>
      </c>
      <c r="G95" s="1">
        <f t="shared" si="2"/>
        <v>560</v>
      </c>
    </row>
    <row r="96" spans="2:7" x14ac:dyDescent="0.2">
      <c r="B96" s="1">
        <f>data!B96</f>
        <v>7</v>
      </c>
      <c r="C96" s="1">
        <f>data!C96</f>
        <v>242</v>
      </c>
      <c r="D96" s="1">
        <f>data!D96</f>
        <v>40.69</v>
      </c>
      <c r="E96" s="1">
        <f t="shared" si="0"/>
        <v>234.5</v>
      </c>
      <c r="F96" s="1">
        <f t="shared" si="1"/>
        <v>100</v>
      </c>
      <c r="G96" s="1">
        <f t="shared" si="2"/>
        <v>583</v>
      </c>
    </row>
    <row r="97" spans="2:7" x14ac:dyDescent="0.2">
      <c r="B97" s="1">
        <f>data!B97</f>
        <v>14</v>
      </c>
      <c r="C97" s="1">
        <f>data!C97</f>
        <v>179</v>
      </c>
      <c r="D97" s="1">
        <f>data!D97</f>
        <v>53.26</v>
      </c>
      <c r="E97" s="1">
        <f t="shared" si="0"/>
        <v>46</v>
      </c>
      <c r="F97" s="1">
        <f t="shared" si="1"/>
        <v>160.5</v>
      </c>
      <c r="G97" s="1">
        <f t="shared" si="2"/>
        <v>408</v>
      </c>
    </row>
    <row r="98" spans="2:7" x14ac:dyDescent="0.2">
      <c r="B98" s="1">
        <f>data!B98</f>
        <v>5</v>
      </c>
      <c r="C98" s="1">
        <f>data!C98</f>
        <v>6</v>
      </c>
      <c r="D98" s="1">
        <f>data!D98</f>
        <v>88.46</v>
      </c>
      <c r="E98" s="1">
        <f t="shared" si="0"/>
        <v>345</v>
      </c>
      <c r="F98" s="1">
        <f t="shared" si="1"/>
        <v>552</v>
      </c>
      <c r="G98" s="1">
        <f t="shared" si="2"/>
        <v>101.5</v>
      </c>
    </row>
    <row r="99" spans="2:7" x14ac:dyDescent="0.2">
      <c r="B99" s="1">
        <f>data!B99</f>
        <v>11</v>
      </c>
      <c r="C99" s="1">
        <f>data!C99</f>
        <v>118</v>
      </c>
      <c r="D99" s="1">
        <f>data!D99</f>
        <v>44.86</v>
      </c>
      <c r="E99" s="1">
        <f t="shared" si="0"/>
        <v>98</v>
      </c>
      <c r="F99" s="1">
        <f t="shared" si="1"/>
        <v>230</v>
      </c>
      <c r="G99" s="1">
        <f t="shared" si="2"/>
        <v>541</v>
      </c>
    </row>
    <row r="100" spans="2:7" x14ac:dyDescent="0.2">
      <c r="B100" s="1">
        <f>data!B100</f>
        <v>7</v>
      </c>
      <c r="C100" s="1">
        <f>data!C100</f>
        <v>149</v>
      </c>
      <c r="D100" s="1">
        <f>data!D100</f>
        <v>53.44</v>
      </c>
      <c r="E100" s="1">
        <f t="shared" si="0"/>
        <v>234.5</v>
      </c>
      <c r="F100" s="1">
        <f t="shared" si="1"/>
        <v>193</v>
      </c>
      <c r="G100" s="1">
        <f t="shared" si="2"/>
        <v>404</v>
      </c>
    </row>
    <row r="101" spans="2:7" x14ac:dyDescent="0.2">
      <c r="B101" s="1">
        <f>data!B101</f>
        <v>2</v>
      </c>
      <c r="C101" s="1">
        <f>data!C101</f>
        <v>59</v>
      </c>
      <c r="D101" s="1">
        <f>data!D101</f>
        <v>60.4</v>
      </c>
      <c r="E101" s="1">
        <f t="shared" si="0"/>
        <v>585.5</v>
      </c>
      <c r="F101" s="1">
        <f t="shared" si="1"/>
        <v>347</v>
      </c>
      <c r="G101" s="1">
        <f t="shared" si="2"/>
        <v>302</v>
      </c>
    </row>
    <row r="102" spans="2:7" x14ac:dyDescent="0.2">
      <c r="B102" s="1">
        <f>data!B102</f>
        <v>3</v>
      </c>
      <c r="C102" s="1">
        <f>data!C102</f>
        <v>70</v>
      </c>
      <c r="D102" s="1">
        <f>data!D102</f>
        <v>53.02</v>
      </c>
      <c r="E102" s="1">
        <f t="shared" si="0"/>
        <v>502</v>
      </c>
      <c r="F102" s="1">
        <f t="shared" si="1"/>
        <v>321</v>
      </c>
      <c r="G102" s="1">
        <f t="shared" si="2"/>
        <v>412</v>
      </c>
    </row>
    <row r="103" spans="2:7" x14ac:dyDescent="0.2">
      <c r="B103" s="1">
        <f>data!B103</f>
        <v>2</v>
      </c>
      <c r="C103" s="1">
        <f>data!C103</f>
        <v>4</v>
      </c>
      <c r="D103" s="1">
        <f>data!D103</f>
        <v>91.67</v>
      </c>
      <c r="E103" s="1">
        <f t="shared" si="0"/>
        <v>585.5</v>
      </c>
      <c r="F103" s="1">
        <f t="shared" si="1"/>
        <v>624.5</v>
      </c>
      <c r="G103" s="1">
        <f t="shared" si="2"/>
        <v>22.5</v>
      </c>
    </row>
    <row r="104" spans="2:7" x14ac:dyDescent="0.2">
      <c r="B104" s="1">
        <f>data!B104</f>
        <v>2</v>
      </c>
      <c r="C104" s="1">
        <f>data!C104</f>
        <v>4</v>
      </c>
      <c r="D104" s="1">
        <f>data!D104</f>
        <v>91.49</v>
      </c>
      <c r="E104" s="1">
        <f t="shared" si="0"/>
        <v>585.5</v>
      </c>
      <c r="F104" s="1">
        <f t="shared" si="1"/>
        <v>624.5</v>
      </c>
      <c r="G104" s="1">
        <f t="shared" si="2"/>
        <v>28</v>
      </c>
    </row>
    <row r="105" spans="2:7" x14ac:dyDescent="0.2">
      <c r="B105" s="1">
        <f>data!B105</f>
        <v>22</v>
      </c>
      <c r="C105" s="1">
        <f>data!C105</f>
        <v>1000</v>
      </c>
      <c r="D105" s="1">
        <f>data!D105</f>
        <v>46.52</v>
      </c>
      <c r="E105" s="1">
        <f t="shared" si="0"/>
        <v>10.5</v>
      </c>
      <c r="F105" s="1">
        <f t="shared" si="1"/>
        <v>8</v>
      </c>
      <c r="G105" s="1">
        <f t="shared" si="2"/>
        <v>522</v>
      </c>
    </row>
    <row r="106" spans="2:7" x14ac:dyDescent="0.2">
      <c r="B106" s="1">
        <f>data!B106</f>
        <v>4</v>
      </c>
      <c r="C106" s="1">
        <f>data!C106</f>
        <v>25</v>
      </c>
      <c r="D106" s="1">
        <f>data!D106</f>
        <v>73.12</v>
      </c>
      <c r="E106" s="1">
        <f t="shared" si="0"/>
        <v>422.5</v>
      </c>
      <c r="F106" s="1">
        <f t="shared" si="1"/>
        <v>445</v>
      </c>
      <c r="G106" s="1">
        <f t="shared" si="2"/>
        <v>196</v>
      </c>
    </row>
    <row r="107" spans="2:7" x14ac:dyDescent="0.2">
      <c r="B107" s="1">
        <f>data!B107</f>
        <v>7</v>
      </c>
      <c r="C107" s="1">
        <f>data!C107</f>
        <v>97</v>
      </c>
      <c r="D107" s="1">
        <f>data!D107</f>
        <v>58.01</v>
      </c>
      <c r="E107" s="1">
        <f t="shared" si="0"/>
        <v>234.5</v>
      </c>
      <c r="F107" s="1">
        <f t="shared" si="1"/>
        <v>266</v>
      </c>
      <c r="G107" s="1">
        <f t="shared" si="2"/>
        <v>345</v>
      </c>
    </row>
    <row r="108" spans="2:7" x14ac:dyDescent="0.2">
      <c r="B108" s="1">
        <f>data!B108</f>
        <v>5</v>
      </c>
      <c r="C108" s="1">
        <f>data!C108</f>
        <v>4</v>
      </c>
      <c r="D108" s="1">
        <f>data!D108</f>
        <v>92.16</v>
      </c>
      <c r="E108" s="1">
        <f t="shared" si="0"/>
        <v>345</v>
      </c>
      <c r="F108" s="1">
        <f t="shared" si="1"/>
        <v>624.5</v>
      </c>
      <c r="G108" s="1">
        <f t="shared" si="2"/>
        <v>9</v>
      </c>
    </row>
    <row r="109" spans="2:7" x14ac:dyDescent="0.2">
      <c r="B109" s="1">
        <f>data!B109</f>
        <v>7</v>
      </c>
      <c r="C109" s="1">
        <f>data!C109</f>
        <v>102</v>
      </c>
      <c r="D109" s="1">
        <f>data!D109</f>
        <v>55.84</v>
      </c>
      <c r="E109" s="1">
        <f t="shared" si="0"/>
        <v>234.5</v>
      </c>
      <c r="F109" s="1">
        <f t="shared" si="1"/>
        <v>257.5</v>
      </c>
      <c r="G109" s="1">
        <f t="shared" si="2"/>
        <v>365.5</v>
      </c>
    </row>
    <row r="110" spans="2:7" x14ac:dyDescent="0.2">
      <c r="B110" s="1">
        <f>data!B110</f>
        <v>10</v>
      </c>
      <c r="C110" s="1">
        <f>data!C110</f>
        <v>235</v>
      </c>
      <c r="D110" s="1">
        <f>data!D110</f>
        <v>62.7</v>
      </c>
      <c r="E110" s="1">
        <f t="shared" si="0"/>
        <v>123.5</v>
      </c>
      <c r="F110" s="1">
        <f t="shared" si="1"/>
        <v>105</v>
      </c>
      <c r="G110" s="1">
        <f t="shared" si="2"/>
        <v>271</v>
      </c>
    </row>
    <row r="111" spans="2:7" x14ac:dyDescent="0.2">
      <c r="B111" s="1">
        <f>data!B111</f>
        <v>5</v>
      </c>
      <c r="C111" s="1">
        <f>data!C111</f>
        <v>15</v>
      </c>
      <c r="D111" s="1">
        <f>data!D111</f>
        <v>76.92</v>
      </c>
      <c r="E111" s="1">
        <f t="shared" si="0"/>
        <v>345</v>
      </c>
      <c r="F111" s="1">
        <f t="shared" si="1"/>
        <v>460</v>
      </c>
      <c r="G111" s="1">
        <f t="shared" si="2"/>
        <v>185</v>
      </c>
    </row>
    <row r="112" spans="2:7" x14ac:dyDescent="0.2">
      <c r="B112" s="1">
        <f>data!B112</f>
        <v>8</v>
      </c>
      <c r="C112" s="1">
        <f>data!C112</f>
        <v>355</v>
      </c>
      <c r="D112" s="1">
        <f>data!D112</f>
        <v>58.53</v>
      </c>
      <c r="E112" s="1">
        <f t="shared" si="0"/>
        <v>187.5</v>
      </c>
      <c r="F112" s="1">
        <f t="shared" si="1"/>
        <v>61.5</v>
      </c>
      <c r="G112" s="1">
        <f t="shared" si="2"/>
        <v>333</v>
      </c>
    </row>
    <row r="113" spans="2:7" x14ac:dyDescent="0.2">
      <c r="B113" s="1">
        <f>data!B113</f>
        <v>6</v>
      </c>
      <c r="C113" s="1">
        <f>data!C113</f>
        <v>175</v>
      </c>
      <c r="D113" s="1">
        <f>data!D113</f>
        <v>56.79</v>
      </c>
      <c r="E113" s="1">
        <f t="shared" si="0"/>
        <v>284.5</v>
      </c>
      <c r="F113" s="1">
        <f t="shared" si="1"/>
        <v>165</v>
      </c>
      <c r="G113" s="1">
        <f t="shared" si="2"/>
        <v>358</v>
      </c>
    </row>
    <row r="114" spans="2:7" x14ac:dyDescent="0.2">
      <c r="B114" s="1">
        <f>data!B114</f>
        <v>2</v>
      </c>
      <c r="C114" s="1">
        <f>data!C114</f>
        <v>6</v>
      </c>
      <c r="D114" s="1">
        <f>data!D114</f>
        <v>86.05</v>
      </c>
      <c r="E114" s="1">
        <f t="shared" si="0"/>
        <v>585.5</v>
      </c>
      <c r="F114" s="1">
        <f t="shared" si="1"/>
        <v>552</v>
      </c>
      <c r="G114" s="1">
        <f t="shared" si="2"/>
        <v>143</v>
      </c>
    </row>
    <row r="115" spans="2:7" x14ac:dyDescent="0.2">
      <c r="B115" s="1">
        <f>data!B115</f>
        <v>2</v>
      </c>
      <c r="C115" s="1">
        <f>data!C115</f>
        <v>53</v>
      </c>
      <c r="D115" s="1">
        <f>data!D115</f>
        <v>70.22</v>
      </c>
      <c r="E115" s="1">
        <f t="shared" si="0"/>
        <v>585.5</v>
      </c>
      <c r="F115" s="1">
        <f t="shared" si="1"/>
        <v>369.5</v>
      </c>
      <c r="G115" s="1">
        <f t="shared" si="2"/>
        <v>205</v>
      </c>
    </row>
    <row r="116" spans="2:7" x14ac:dyDescent="0.2">
      <c r="B116" s="1">
        <f>data!B116</f>
        <v>3</v>
      </c>
      <c r="C116" s="1">
        <f>data!C116</f>
        <v>13</v>
      </c>
      <c r="D116" s="1">
        <f>data!D116</f>
        <v>86.32</v>
      </c>
      <c r="E116" s="1">
        <f t="shared" si="0"/>
        <v>502</v>
      </c>
      <c r="F116" s="1">
        <f t="shared" si="1"/>
        <v>470</v>
      </c>
      <c r="G116" s="1">
        <f t="shared" si="2"/>
        <v>136.5</v>
      </c>
    </row>
    <row r="117" spans="2:7" x14ac:dyDescent="0.2">
      <c r="B117" s="1">
        <f>data!B117</f>
        <v>4</v>
      </c>
      <c r="C117" s="1">
        <f>data!C117</f>
        <v>52</v>
      </c>
      <c r="D117" s="1">
        <f>data!D117</f>
        <v>63.64</v>
      </c>
      <c r="E117" s="1">
        <f t="shared" si="0"/>
        <v>422.5</v>
      </c>
      <c r="F117" s="1">
        <f t="shared" si="1"/>
        <v>371.5</v>
      </c>
      <c r="G117" s="1">
        <f t="shared" si="2"/>
        <v>259.5</v>
      </c>
    </row>
    <row r="118" spans="2:7" x14ac:dyDescent="0.2">
      <c r="B118" s="1">
        <f>data!B118</f>
        <v>3</v>
      </c>
      <c r="C118" s="1">
        <f>data!C118</f>
        <v>6</v>
      </c>
      <c r="D118" s="1">
        <f>data!D118</f>
        <v>88.46</v>
      </c>
      <c r="E118" s="1">
        <f t="shared" si="0"/>
        <v>502</v>
      </c>
      <c r="F118" s="1">
        <f t="shared" si="1"/>
        <v>552</v>
      </c>
      <c r="G118" s="1">
        <f t="shared" si="2"/>
        <v>101.5</v>
      </c>
    </row>
    <row r="119" spans="2:7" x14ac:dyDescent="0.2">
      <c r="B119" s="1">
        <f>data!B119</f>
        <v>5</v>
      </c>
      <c r="C119" s="1">
        <f>data!C119</f>
        <v>59</v>
      </c>
      <c r="D119" s="1">
        <f>data!D119</f>
        <v>62.18</v>
      </c>
      <c r="E119" s="1">
        <f t="shared" si="0"/>
        <v>345</v>
      </c>
      <c r="F119" s="1">
        <f t="shared" si="1"/>
        <v>347</v>
      </c>
      <c r="G119" s="1">
        <f t="shared" si="2"/>
        <v>278</v>
      </c>
    </row>
    <row r="120" spans="2:7" x14ac:dyDescent="0.2">
      <c r="B120" s="1">
        <f>data!B120</f>
        <v>4</v>
      </c>
      <c r="C120" s="1">
        <f>data!C120</f>
        <v>36</v>
      </c>
      <c r="D120" s="1">
        <f>data!D120</f>
        <v>69.23</v>
      </c>
      <c r="E120" s="1">
        <f t="shared" si="0"/>
        <v>422.5</v>
      </c>
      <c r="F120" s="1">
        <f t="shared" si="1"/>
        <v>421.5</v>
      </c>
      <c r="G120" s="1">
        <f t="shared" si="2"/>
        <v>217.5</v>
      </c>
    </row>
    <row r="121" spans="2:7" x14ac:dyDescent="0.2">
      <c r="B121" s="1">
        <f>data!B121</f>
        <v>10</v>
      </c>
      <c r="C121" s="1">
        <f>data!C121</f>
        <v>79</v>
      </c>
      <c r="D121" s="1">
        <f>data!D121</f>
        <v>58.64</v>
      </c>
      <c r="E121" s="1">
        <f t="shared" si="0"/>
        <v>123.5</v>
      </c>
      <c r="F121" s="1">
        <f t="shared" si="1"/>
        <v>298</v>
      </c>
      <c r="G121" s="1">
        <f t="shared" si="2"/>
        <v>329</v>
      </c>
    </row>
    <row r="122" spans="2:7" x14ac:dyDescent="0.2">
      <c r="B122" s="1">
        <f>data!B122</f>
        <v>11</v>
      </c>
      <c r="C122" s="1">
        <f>data!C122</f>
        <v>65</v>
      </c>
      <c r="D122" s="1">
        <f>data!D122</f>
        <v>62.86</v>
      </c>
      <c r="E122" s="1">
        <f t="shared" si="0"/>
        <v>98</v>
      </c>
      <c r="F122" s="1">
        <f t="shared" si="1"/>
        <v>334</v>
      </c>
      <c r="G122" s="1">
        <f t="shared" si="2"/>
        <v>268</v>
      </c>
    </row>
    <row r="123" spans="2:7" x14ac:dyDescent="0.2">
      <c r="B123" s="1">
        <f>data!B123</f>
        <v>8</v>
      </c>
      <c r="C123" s="1">
        <f>data!C123</f>
        <v>45</v>
      </c>
      <c r="D123" s="1">
        <f>data!D123</f>
        <v>61.54</v>
      </c>
      <c r="E123" s="1">
        <f t="shared" si="0"/>
        <v>187.5</v>
      </c>
      <c r="F123" s="1">
        <f t="shared" si="1"/>
        <v>392</v>
      </c>
      <c r="G123" s="1">
        <f t="shared" si="2"/>
        <v>287.5</v>
      </c>
    </row>
    <row r="124" spans="2:7" x14ac:dyDescent="0.2">
      <c r="B124" s="1">
        <f>data!B124</f>
        <v>9</v>
      </c>
      <c r="C124" s="1">
        <f>data!C124</f>
        <v>181</v>
      </c>
      <c r="D124" s="1">
        <f>data!D124</f>
        <v>51.21</v>
      </c>
      <c r="E124" s="1">
        <f t="shared" si="0"/>
        <v>151.5</v>
      </c>
      <c r="F124" s="1">
        <f t="shared" si="1"/>
        <v>155</v>
      </c>
      <c r="G124" s="1">
        <f t="shared" si="2"/>
        <v>438</v>
      </c>
    </row>
    <row r="125" spans="2:7" x14ac:dyDescent="0.2">
      <c r="B125" s="1">
        <f>data!B125</f>
        <v>5</v>
      </c>
      <c r="C125" s="1">
        <f>data!C125</f>
        <v>13</v>
      </c>
      <c r="D125" s="1">
        <f>data!D125</f>
        <v>86.32</v>
      </c>
      <c r="E125" s="1">
        <f t="shared" si="0"/>
        <v>345</v>
      </c>
      <c r="F125" s="1">
        <f t="shared" si="1"/>
        <v>470</v>
      </c>
      <c r="G125" s="1">
        <f t="shared" si="2"/>
        <v>136.5</v>
      </c>
    </row>
    <row r="126" spans="2:7" x14ac:dyDescent="0.2">
      <c r="B126" s="1">
        <f>data!B126</f>
        <v>2</v>
      </c>
      <c r="C126" s="1">
        <f>data!C126</f>
        <v>38</v>
      </c>
      <c r="D126" s="1">
        <f>data!D126</f>
        <v>63.46</v>
      </c>
      <c r="E126" s="1">
        <f t="shared" si="0"/>
        <v>585.5</v>
      </c>
      <c r="F126" s="1">
        <f t="shared" si="1"/>
        <v>415</v>
      </c>
      <c r="G126" s="1">
        <f t="shared" si="2"/>
        <v>261</v>
      </c>
    </row>
    <row r="127" spans="2:7" x14ac:dyDescent="0.2">
      <c r="B127" s="1">
        <f>data!B127</f>
        <v>10</v>
      </c>
      <c r="C127" s="1">
        <f>data!C127</f>
        <v>79</v>
      </c>
      <c r="D127" s="1">
        <f>data!D127</f>
        <v>58.42</v>
      </c>
      <c r="E127" s="1">
        <f t="shared" si="0"/>
        <v>123.5</v>
      </c>
      <c r="F127" s="1">
        <f t="shared" si="1"/>
        <v>298</v>
      </c>
      <c r="G127" s="1">
        <f t="shared" si="2"/>
        <v>336</v>
      </c>
    </row>
    <row r="128" spans="2:7" x14ac:dyDescent="0.2">
      <c r="B128" s="1">
        <f>data!B128</f>
        <v>7</v>
      </c>
      <c r="C128" s="1">
        <f>data!C128</f>
        <v>56</v>
      </c>
      <c r="D128" s="1">
        <f>data!D128</f>
        <v>63.64</v>
      </c>
      <c r="E128" s="1">
        <f t="shared" si="0"/>
        <v>234.5</v>
      </c>
      <c r="F128" s="1">
        <f t="shared" si="1"/>
        <v>361</v>
      </c>
      <c r="G128" s="1">
        <f t="shared" si="2"/>
        <v>259.5</v>
      </c>
    </row>
    <row r="129" spans="2:7" x14ac:dyDescent="0.2">
      <c r="B129" s="1">
        <f>data!B129</f>
        <v>2</v>
      </c>
      <c r="C129" s="1">
        <f>data!C129</f>
        <v>23</v>
      </c>
      <c r="D129" s="1">
        <f>data!D129</f>
        <v>73.86</v>
      </c>
      <c r="E129" s="1">
        <f t="shared" si="0"/>
        <v>585.5</v>
      </c>
      <c r="F129" s="1">
        <f t="shared" si="1"/>
        <v>450</v>
      </c>
      <c r="G129" s="1">
        <f t="shared" si="2"/>
        <v>194</v>
      </c>
    </row>
    <row r="130" spans="2:7" x14ac:dyDescent="0.2">
      <c r="B130" s="1">
        <f>data!B130</f>
        <v>7</v>
      </c>
      <c r="C130" s="1">
        <f>data!C130</f>
        <v>81</v>
      </c>
      <c r="D130" s="1">
        <f>data!D130</f>
        <v>61.61</v>
      </c>
      <c r="E130" s="1">
        <f t="shared" si="0"/>
        <v>234.5</v>
      </c>
      <c r="F130" s="1">
        <f t="shared" si="1"/>
        <v>292</v>
      </c>
      <c r="G130" s="1">
        <f t="shared" si="2"/>
        <v>284</v>
      </c>
    </row>
    <row r="131" spans="2:7" x14ac:dyDescent="0.2">
      <c r="B131" s="1">
        <f>data!B131</f>
        <v>10</v>
      </c>
      <c r="C131" s="1">
        <f>data!C131</f>
        <v>79</v>
      </c>
      <c r="D131" s="1">
        <f>data!D131</f>
        <v>58.42</v>
      </c>
      <c r="E131" s="1">
        <f t="shared" si="0"/>
        <v>123.5</v>
      </c>
      <c r="F131" s="1">
        <f t="shared" si="1"/>
        <v>298</v>
      </c>
      <c r="G131" s="1">
        <f t="shared" si="2"/>
        <v>336</v>
      </c>
    </row>
    <row r="132" spans="2:7" x14ac:dyDescent="0.2">
      <c r="B132" s="1">
        <f>data!B132</f>
        <v>8</v>
      </c>
      <c r="C132" s="1">
        <f>data!C132</f>
        <v>86</v>
      </c>
      <c r="D132" s="1">
        <f>data!D132</f>
        <v>54.74</v>
      </c>
      <c r="E132" s="1">
        <f t="shared" si="0"/>
        <v>187.5</v>
      </c>
      <c r="F132" s="1">
        <f t="shared" si="1"/>
        <v>280.5</v>
      </c>
      <c r="G132" s="1">
        <f t="shared" si="2"/>
        <v>380</v>
      </c>
    </row>
    <row r="133" spans="2:7" x14ac:dyDescent="0.2">
      <c r="B133" s="1">
        <f>data!B133</f>
        <v>3</v>
      </c>
      <c r="C133" s="1">
        <f>data!C133</f>
        <v>10</v>
      </c>
      <c r="D133" s="1">
        <f>data!D133</f>
        <v>82.46</v>
      </c>
      <c r="E133" s="1">
        <f t="shared" si="0"/>
        <v>502</v>
      </c>
      <c r="F133" s="1">
        <f t="shared" si="1"/>
        <v>504.5</v>
      </c>
      <c r="G133" s="1">
        <f t="shared" si="2"/>
        <v>158</v>
      </c>
    </row>
    <row r="134" spans="2:7" x14ac:dyDescent="0.2">
      <c r="B134" s="1">
        <f>data!B134</f>
        <v>10</v>
      </c>
      <c r="C134" s="1">
        <f>data!C134</f>
        <v>79</v>
      </c>
      <c r="D134" s="1">
        <f>data!D134</f>
        <v>58.42</v>
      </c>
      <c r="E134" s="1">
        <f t="shared" si="0"/>
        <v>123.5</v>
      </c>
      <c r="F134" s="1">
        <f t="shared" si="1"/>
        <v>298</v>
      </c>
      <c r="G134" s="1">
        <f t="shared" si="2"/>
        <v>336</v>
      </c>
    </row>
    <row r="135" spans="2:7" x14ac:dyDescent="0.2">
      <c r="B135" s="1">
        <f>data!B135</f>
        <v>3</v>
      </c>
      <c r="C135" s="1">
        <f>data!C135</f>
        <v>35</v>
      </c>
      <c r="D135" s="1">
        <f>data!D135</f>
        <v>65.349999999999994</v>
      </c>
      <c r="E135" s="1">
        <f t="shared" si="0"/>
        <v>502</v>
      </c>
      <c r="F135" s="1">
        <f t="shared" si="1"/>
        <v>425</v>
      </c>
      <c r="G135" s="1">
        <f t="shared" si="2"/>
        <v>242</v>
      </c>
    </row>
    <row r="136" spans="2:7" x14ac:dyDescent="0.2">
      <c r="B136" s="1">
        <f>data!B136</f>
        <v>3</v>
      </c>
      <c r="C136" s="1">
        <f>data!C136</f>
        <v>56</v>
      </c>
      <c r="D136" s="1">
        <f>data!D136</f>
        <v>63.4</v>
      </c>
      <c r="E136" s="1">
        <f t="shared" si="0"/>
        <v>502</v>
      </c>
      <c r="F136" s="1">
        <f t="shared" si="1"/>
        <v>361</v>
      </c>
      <c r="G136" s="1">
        <f t="shared" si="2"/>
        <v>262.5</v>
      </c>
    </row>
    <row r="137" spans="2:7" x14ac:dyDescent="0.2">
      <c r="B137" s="1">
        <f>data!B137</f>
        <v>7</v>
      </c>
      <c r="C137" s="1">
        <f>data!C137</f>
        <v>14</v>
      </c>
      <c r="D137" s="1">
        <f>data!D137</f>
        <v>78.790000000000006</v>
      </c>
      <c r="E137" s="1">
        <f t="shared" si="0"/>
        <v>234.5</v>
      </c>
      <c r="F137" s="1">
        <f t="shared" si="1"/>
        <v>464</v>
      </c>
      <c r="G137" s="1">
        <f t="shared" si="2"/>
        <v>178</v>
      </c>
    </row>
    <row r="138" spans="2:7" x14ac:dyDescent="0.2">
      <c r="B138" s="1">
        <f>data!B138</f>
        <v>5</v>
      </c>
      <c r="C138" s="1">
        <f>data!C138</f>
        <v>6</v>
      </c>
      <c r="D138" s="1">
        <f>data!D138</f>
        <v>88</v>
      </c>
      <c r="E138" s="1">
        <f t="shared" si="0"/>
        <v>345</v>
      </c>
      <c r="F138" s="1">
        <f t="shared" si="1"/>
        <v>552</v>
      </c>
      <c r="G138" s="1">
        <f t="shared" si="2"/>
        <v>110.5</v>
      </c>
    </row>
    <row r="139" spans="2:7" x14ac:dyDescent="0.2">
      <c r="B139" s="1">
        <f>data!B139</f>
        <v>3</v>
      </c>
      <c r="C139" s="1">
        <f>data!C139</f>
        <v>12</v>
      </c>
      <c r="D139" s="1">
        <f>data!D139</f>
        <v>80.650000000000006</v>
      </c>
      <c r="E139" s="1">
        <f t="shared" si="0"/>
        <v>502</v>
      </c>
      <c r="F139" s="1">
        <f t="shared" si="1"/>
        <v>481.5</v>
      </c>
      <c r="G139" s="1">
        <f t="shared" si="2"/>
        <v>169</v>
      </c>
    </row>
    <row r="140" spans="2:7" x14ac:dyDescent="0.2">
      <c r="B140" s="1">
        <f>data!B140</f>
        <v>4</v>
      </c>
      <c r="C140" s="1">
        <f>data!C140</f>
        <v>5</v>
      </c>
      <c r="D140" s="1">
        <f>data!D140</f>
        <v>90.91</v>
      </c>
      <c r="E140" s="1">
        <f t="shared" si="0"/>
        <v>422.5</v>
      </c>
      <c r="F140" s="1">
        <f t="shared" si="1"/>
        <v>595</v>
      </c>
      <c r="G140" s="1">
        <f t="shared" si="2"/>
        <v>42</v>
      </c>
    </row>
    <row r="141" spans="2:7" x14ac:dyDescent="0.2">
      <c r="B141" s="1">
        <f>data!B141</f>
        <v>4</v>
      </c>
      <c r="C141" s="1">
        <f>data!C141</f>
        <v>34</v>
      </c>
      <c r="D141" s="1">
        <f>data!D141</f>
        <v>70.430000000000007</v>
      </c>
      <c r="E141" s="1">
        <f t="shared" si="0"/>
        <v>422.5</v>
      </c>
      <c r="F141" s="1">
        <f t="shared" si="1"/>
        <v>429</v>
      </c>
      <c r="G141" s="1">
        <f t="shared" si="2"/>
        <v>203</v>
      </c>
    </row>
    <row r="142" spans="2:7" x14ac:dyDescent="0.2">
      <c r="B142" s="1">
        <f>data!B142</f>
        <v>6</v>
      </c>
      <c r="C142" s="1">
        <f>data!C142</f>
        <v>6</v>
      </c>
      <c r="D142" s="1">
        <f>data!D142</f>
        <v>87.23</v>
      </c>
      <c r="E142" s="1">
        <f t="shared" si="0"/>
        <v>284.5</v>
      </c>
      <c r="F142" s="1">
        <f t="shared" si="1"/>
        <v>552</v>
      </c>
      <c r="G142" s="1">
        <f t="shared" si="2"/>
        <v>124.5</v>
      </c>
    </row>
    <row r="143" spans="2:7" x14ac:dyDescent="0.2">
      <c r="B143" s="1">
        <f>data!B143</f>
        <v>5</v>
      </c>
      <c r="C143" s="1">
        <f>data!C143</f>
        <v>5</v>
      </c>
      <c r="D143" s="1">
        <f>data!D143</f>
        <v>90.38</v>
      </c>
      <c r="E143" s="1">
        <f t="shared" si="0"/>
        <v>345</v>
      </c>
      <c r="F143" s="1">
        <f t="shared" si="1"/>
        <v>595</v>
      </c>
      <c r="G143" s="1">
        <f t="shared" si="2"/>
        <v>56.5</v>
      </c>
    </row>
    <row r="144" spans="2:7" x14ac:dyDescent="0.2">
      <c r="B144" s="1">
        <f>data!B144</f>
        <v>4</v>
      </c>
      <c r="C144" s="1">
        <f>data!C144</f>
        <v>35</v>
      </c>
      <c r="D144" s="1">
        <f>data!D144</f>
        <v>69.569999999999993</v>
      </c>
      <c r="E144" s="1">
        <f t="shared" si="0"/>
        <v>422.5</v>
      </c>
      <c r="F144" s="1">
        <f t="shared" si="1"/>
        <v>425</v>
      </c>
      <c r="G144" s="1">
        <f t="shared" si="2"/>
        <v>212.5</v>
      </c>
    </row>
    <row r="145" spans="2:7" x14ac:dyDescent="0.2">
      <c r="B145" s="1">
        <f>data!B145</f>
        <v>3</v>
      </c>
      <c r="C145" s="1">
        <f>data!C145</f>
        <v>5</v>
      </c>
      <c r="D145" s="1">
        <f>data!D145</f>
        <v>88.89</v>
      </c>
      <c r="E145" s="1">
        <f t="shared" si="0"/>
        <v>502</v>
      </c>
      <c r="F145" s="1">
        <f t="shared" si="1"/>
        <v>595</v>
      </c>
      <c r="G145" s="1">
        <f t="shared" si="2"/>
        <v>85</v>
      </c>
    </row>
    <row r="146" spans="2:7" x14ac:dyDescent="0.2">
      <c r="B146" s="1">
        <f>data!B146</f>
        <v>4</v>
      </c>
      <c r="C146" s="1">
        <f>data!C146</f>
        <v>5</v>
      </c>
      <c r="D146" s="1">
        <f>data!D146</f>
        <v>89.8</v>
      </c>
      <c r="E146" s="1">
        <f t="shared" si="0"/>
        <v>422.5</v>
      </c>
      <c r="F146" s="1">
        <f t="shared" si="1"/>
        <v>595</v>
      </c>
      <c r="G146" s="1">
        <f t="shared" si="2"/>
        <v>67</v>
      </c>
    </row>
    <row r="147" spans="2:7" x14ac:dyDescent="0.2">
      <c r="B147" s="1">
        <f>data!B147</f>
        <v>5</v>
      </c>
      <c r="C147" s="1">
        <f>data!C147</f>
        <v>12</v>
      </c>
      <c r="D147" s="1">
        <f>data!D147</f>
        <v>80.95</v>
      </c>
      <c r="E147" s="1">
        <f t="shared" si="0"/>
        <v>345</v>
      </c>
      <c r="F147" s="1">
        <f t="shared" si="1"/>
        <v>481.5</v>
      </c>
      <c r="G147" s="1">
        <f t="shared" si="2"/>
        <v>164.5</v>
      </c>
    </row>
    <row r="148" spans="2:7" x14ac:dyDescent="0.2">
      <c r="B148" s="1">
        <f>data!B148</f>
        <v>5</v>
      </c>
      <c r="C148" s="1">
        <f>data!C148</f>
        <v>6</v>
      </c>
      <c r="D148" s="1">
        <f>data!D148</f>
        <v>88</v>
      </c>
      <c r="E148" s="1">
        <f t="shared" si="0"/>
        <v>345</v>
      </c>
      <c r="F148" s="1">
        <f t="shared" si="1"/>
        <v>552</v>
      </c>
      <c r="G148" s="1">
        <f t="shared" si="2"/>
        <v>110.5</v>
      </c>
    </row>
    <row r="149" spans="2:7" x14ac:dyDescent="0.2">
      <c r="B149" s="1">
        <f>data!B149</f>
        <v>3</v>
      </c>
      <c r="C149" s="1">
        <f>data!C149</f>
        <v>12</v>
      </c>
      <c r="D149" s="1">
        <f>data!D149</f>
        <v>81.25</v>
      </c>
      <c r="E149" s="1">
        <f t="shared" si="0"/>
        <v>502</v>
      </c>
      <c r="F149" s="1">
        <f t="shared" si="1"/>
        <v>481.5</v>
      </c>
      <c r="G149" s="1">
        <f t="shared" si="2"/>
        <v>162</v>
      </c>
    </row>
    <row r="150" spans="2:7" x14ac:dyDescent="0.2">
      <c r="B150" s="1">
        <f>data!B150</f>
        <v>4</v>
      </c>
      <c r="C150" s="1">
        <f>data!C150</f>
        <v>5</v>
      </c>
      <c r="D150" s="1">
        <f>data!D150</f>
        <v>90</v>
      </c>
      <c r="E150" s="1">
        <f t="shared" si="0"/>
        <v>422.5</v>
      </c>
      <c r="F150" s="1">
        <f t="shared" si="1"/>
        <v>595</v>
      </c>
      <c r="G150" s="1">
        <f t="shared" si="2"/>
        <v>62</v>
      </c>
    </row>
    <row r="151" spans="2:7" x14ac:dyDescent="0.2">
      <c r="B151" s="1">
        <f>data!B151</f>
        <v>5</v>
      </c>
      <c r="C151" s="1">
        <f>data!C151</f>
        <v>19</v>
      </c>
      <c r="D151" s="1">
        <f>data!D151</f>
        <v>78.16</v>
      </c>
      <c r="E151" s="1">
        <f t="shared" si="0"/>
        <v>345</v>
      </c>
      <c r="F151" s="1">
        <f t="shared" si="1"/>
        <v>452.5</v>
      </c>
      <c r="G151" s="1">
        <f t="shared" si="2"/>
        <v>181</v>
      </c>
    </row>
    <row r="152" spans="2:7" x14ac:dyDescent="0.2">
      <c r="B152" s="1">
        <f>data!B152</f>
        <v>4</v>
      </c>
      <c r="C152" s="1">
        <f>data!C152</f>
        <v>5</v>
      </c>
      <c r="D152" s="1">
        <f>data!D152</f>
        <v>89.8</v>
      </c>
      <c r="E152" s="1">
        <f t="shared" si="0"/>
        <v>422.5</v>
      </c>
      <c r="F152" s="1">
        <f t="shared" si="1"/>
        <v>595</v>
      </c>
      <c r="G152" s="1">
        <f t="shared" si="2"/>
        <v>67</v>
      </c>
    </row>
    <row r="153" spans="2:7" x14ac:dyDescent="0.2">
      <c r="B153" s="1">
        <f>data!B153</f>
        <v>3</v>
      </c>
      <c r="C153" s="1">
        <f>data!C153</f>
        <v>12</v>
      </c>
      <c r="D153" s="1">
        <f>data!D153</f>
        <v>80.33</v>
      </c>
      <c r="E153" s="1">
        <f t="shared" si="0"/>
        <v>502</v>
      </c>
      <c r="F153" s="1">
        <f t="shared" si="1"/>
        <v>481.5</v>
      </c>
      <c r="G153" s="1">
        <f t="shared" si="2"/>
        <v>173.5</v>
      </c>
    </row>
    <row r="154" spans="2:7" x14ac:dyDescent="0.2">
      <c r="B154" s="1">
        <f>data!B154</f>
        <v>4</v>
      </c>
      <c r="C154" s="1">
        <f>data!C154</f>
        <v>5</v>
      </c>
      <c r="D154" s="1">
        <f>data!D154</f>
        <v>90</v>
      </c>
      <c r="E154" s="1">
        <f t="shared" si="0"/>
        <v>422.5</v>
      </c>
      <c r="F154" s="1">
        <f t="shared" si="1"/>
        <v>595</v>
      </c>
      <c r="G154" s="1">
        <f t="shared" si="2"/>
        <v>62</v>
      </c>
    </row>
    <row r="155" spans="2:7" x14ac:dyDescent="0.2">
      <c r="B155" s="1">
        <f>data!B155</f>
        <v>3</v>
      </c>
      <c r="C155" s="1">
        <f>data!C155</f>
        <v>20</v>
      </c>
      <c r="D155" s="1">
        <f>data!D155</f>
        <v>76.739999999999995</v>
      </c>
      <c r="E155" s="1">
        <f t="shared" si="0"/>
        <v>502</v>
      </c>
      <c r="F155" s="1">
        <f t="shared" si="1"/>
        <v>451</v>
      </c>
      <c r="G155" s="1">
        <f t="shared" si="2"/>
        <v>186</v>
      </c>
    </row>
    <row r="156" spans="2:7" x14ac:dyDescent="0.2">
      <c r="B156" s="1">
        <f>data!B156</f>
        <v>6</v>
      </c>
      <c r="C156" s="1">
        <f>data!C156</f>
        <v>123</v>
      </c>
      <c r="D156" s="1">
        <f>data!D156</f>
        <v>48.54</v>
      </c>
      <c r="E156" s="1">
        <f t="shared" si="0"/>
        <v>284.5</v>
      </c>
      <c r="F156" s="1">
        <f t="shared" si="1"/>
        <v>226.5</v>
      </c>
      <c r="G156" s="1">
        <f t="shared" si="2"/>
        <v>488.5</v>
      </c>
    </row>
    <row r="157" spans="2:7" x14ac:dyDescent="0.2">
      <c r="B157" s="1">
        <f>data!B157</f>
        <v>3</v>
      </c>
      <c r="C157" s="1">
        <f>data!C157</f>
        <v>13</v>
      </c>
      <c r="D157" s="1">
        <f>data!D157</f>
        <v>81.16</v>
      </c>
      <c r="E157" s="1">
        <f t="shared" si="0"/>
        <v>502</v>
      </c>
      <c r="F157" s="1">
        <f t="shared" si="1"/>
        <v>470</v>
      </c>
      <c r="G157" s="1">
        <f t="shared" si="2"/>
        <v>163</v>
      </c>
    </row>
    <row r="158" spans="2:7" x14ac:dyDescent="0.2">
      <c r="B158" s="1">
        <f>data!B158</f>
        <v>3</v>
      </c>
      <c r="C158" s="1">
        <f>data!C158</f>
        <v>12</v>
      </c>
      <c r="D158" s="1">
        <f>data!D158</f>
        <v>81.540000000000006</v>
      </c>
      <c r="E158" s="1">
        <f t="shared" si="0"/>
        <v>502</v>
      </c>
      <c r="F158" s="1">
        <f t="shared" si="1"/>
        <v>481.5</v>
      </c>
      <c r="G158" s="1">
        <f t="shared" si="2"/>
        <v>161</v>
      </c>
    </row>
    <row r="159" spans="2:7" x14ac:dyDescent="0.2">
      <c r="B159" s="1">
        <f>data!B159</f>
        <v>2</v>
      </c>
      <c r="C159" s="1">
        <f>data!C159</f>
        <v>11</v>
      </c>
      <c r="D159" s="1">
        <f>data!D159</f>
        <v>83.33</v>
      </c>
      <c r="E159" s="1">
        <f t="shared" si="0"/>
        <v>585.5</v>
      </c>
      <c r="F159" s="1">
        <f t="shared" si="1"/>
        <v>496</v>
      </c>
      <c r="G159" s="1">
        <f t="shared" si="2"/>
        <v>152.5</v>
      </c>
    </row>
    <row r="160" spans="2:7" x14ac:dyDescent="0.2">
      <c r="B160" s="1">
        <f>data!B160</f>
        <v>4</v>
      </c>
      <c r="C160" s="1">
        <f>data!C160</f>
        <v>4</v>
      </c>
      <c r="D160" s="1">
        <f>data!D160</f>
        <v>93.44</v>
      </c>
      <c r="E160" s="1">
        <f t="shared" si="0"/>
        <v>422.5</v>
      </c>
      <c r="F160" s="1">
        <f t="shared" si="1"/>
        <v>624.5</v>
      </c>
      <c r="G160" s="1">
        <f t="shared" si="2"/>
        <v>1</v>
      </c>
    </row>
    <row r="161" spans="2:7" x14ac:dyDescent="0.2">
      <c r="B161" s="1">
        <f>data!B161</f>
        <v>4</v>
      </c>
      <c r="C161" s="1">
        <f>data!C161</f>
        <v>8</v>
      </c>
      <c r="D161" s="1">
        <f>data!D161</f>
        <v>87.1</v>
      </c>
      <c r="E161" s="1">
        <f t="shared" si="0"/>
        <v>422.5</v>
      </c>
      <c r="F161" s="1">
        <f t="shared" si="1"/>
        <v>515</v>
      </c>
      <c r="G161" s="1">
        <f t="shared" si="2"/>
        <v>129</v>
      </c>
    </row>
    <row r="162" spans="2:7" x14ac:dyDescent="0.2">
      <c r="B162" s="1">
        <f>data!B162</f>
        <v>3</v>
      </c>
      <c r="C162" s="1">
        <f>data!C162</f>
        <v>34</v>
      </c>
      <c r="D162" s="1">
        <f>data!D162</f>
        <v>70.180000000000007</v>
      </c>
      <c r="E162" s="1">
        <f t="shared" si="0"/>
        <v>502</v>
      </c>
      <c r="F162" s="1">
        <f t="shared" si="1"/>
        <v>429</v>
      </c>
      <c r="G162" s="1">
        <f t="shared" si="2"/>
        <v>206</v>
      </c>
    </row>
    <row r="163" spans="2:7" x14ac:dyDescent="0.2">
      <c r="B163" s="1">
        <f>data!B163</f>
        <v>2</v>
      </c>
      <c r="C163" s="1">
        <f>data!C163</f>
        <v>106</v>
      </c>
      <c r="D163" s="1">
        <f>data!D163</f>
        <v>43.62</v>
      </c>
      <c r="E163" s="1">
        <f t="shared" si="0"/>
        <v>585.5</v>
      </c>
      <c r="F163" s="1">
        <f t="shared" si="1"/>
        <v>252.5</v>
      </c>
      <c r="G163" s="1">
        <f t="shared" si="2"/>
        <v>556</v>
      </c>
    </row>
    <row r="164" spans="2:7" x14ac:dyDescent="0.2">
      <c r="B164" s="1">
        <f>data!B164</f>
        <v>6</v>
      </c>
      <c r="C164" s="1">
        <f>data!C164</f>
        <v>89</v>
      </c>
      <c r="D164" s="1">
        <f>data!D164</f>
        <v>48.85</v>
      </c>
      <c r="E164" s="1">
        <f t="shared" si="0"/>
        <v>284.5</v>
      </c>
      <c r="F164" s="1">
        <f t="shared" si="1"/>
        <v>276</v>
      </c>
      <c r="G164" s="1">
        <f t="shared" si="2"/>
        <v>482</v>
      </c>
    </row>
    <row r="165" spans="2:7" x14ac:dyDescent="0.2">
      <c r="B165" s="1">
        <f>data!B165</f>
        <v>7</v>
      </c>
      <c r="C165" s="1">
        <f>data!C165</f>
        <v>65</v>
      </c>
      <c r="D165" s="1">
        <f>data!D165</f>
        <v>66.150000000000006</v>
      </c>
      <c r="E165" s="1">
        <f t="shared" si="0"/>
        <v>234.5</v>
      </c>
      <c r="F165" s="1">
        <f t="shared" si="1"/>
        <v>334</v>
      </c>
      <c r="G165" s="1">
        <f t="shared" si="2"/>
        <v>234</v>
      </c>
    </row>
    <row r="166" spans="2:7" x14ac:dyDescent="0.2">
      <c r="B166" s="1">
        <f>data!B166</f>
        <v>3</v>
      </c>
      <c r="C166" s="1">
        <f>data!C166</f>
        <v>84</v>
      </c>
      <c r="D166" s="1">
        <f>data!D166</f>
        <v>44.37</v>
      </c>
      <c r="E166" s="1">
        <f t="shared" si="0"/>
        <v>502</v>
      </c>
      <c r="F166" s="1">
        <f t="shared" si="1"/>
        <v>286</v>
      </c>
      <c r="G166" s="1">
        <f t="shared" si="2"/>
        <v>547</v>
      </c>
    </row>
    <row r="167" spans="2:7" x14ac:dyDescent="0.2">
      <c r="B167" s="1">
        <f>data!B167</f>
        <v>3</v>
      </c>
      <c r="C167" s="1">
        <f>data!C167</f>
        <v>117</v>
      </c>
      <c r="D167" s="1">
        <f>data!D167</f>
        <v>41.79</v>
      </c>
      <c r="E167" s="1">
        <f t="shared" si="0"/>
        <v>502</v>
      </c>
      <c r="F167" s="1">
        <f t="shared" si="1"/>
        <v>232</v>
      </c>
      <c r="G167" s="1">
        <f t="shared" si="2"/>
        <v>567.5</v>
      </c>
    </row>
    <row r="168" spans="2:7" x14ac:dyDescent="0.2">
      <c r="B168" s="1">
        <f>data!B168</f>
        <v>4</v>
      </c>
      <c r="C168" s="1">
        <f>data!C168</f>
        <v>418</v>
      </c>
      <c r="D168" s="1">
        <f>data!D168</f>
        <v>34.07</v>
      </c>
      <c r="E168" s="1">
        <f t="shared" si="0"/>
        <v>422.5</v>
      </c>
      <c r="F168" s="1">
        <f t="shared" si="1"/>
        <v>43</v>
      </c>
      <c r="G168" s="1">
        <f t="shared" si="2"/>
        <v>625</v>
      </c>
    </row>
    <row r="169" spans="2:7" x14ac:dyDescent="0.2">
      <c r="B169" s="1">
        <f>data!B169</f>
        <v>5</v>
      </c>
      <c r="C169" s="1">
        <f>data!C169</f>
        <v>262</v>
      </c>
      <c r="D169" s="1">
        <f>data!D169</f>
        <v>46.42</v>
      </c>
      <c r="E169" s="1">
        <f t="shared" si="0"/>
        <v>345</v>
      </c>
      <c r="F169" s="1">
        <f t="shared" si="1"/>
        <v>89</v>
      </c>
      <c r="G169" s="1">
        <f t="shared" si="2"/>
        <v>526</v>
      </c>
    </row>
    <row r="170" spans="2:7" x14ac:dyDescent="0.2">
      <c r="B170" s="1">
        <f>data!B170</f>
        <v>24</v>
      </c>
      <c r="C170" s="1">
        <f>data!C170</f>
        <v>780</v>
      </c>
      <c r="D170" s="1">
        <f>data!D170</f>
        <v>48.14</v>
      </c>
      <c r="E170" s="1">
        <f t="shared" si="0"/>
        <v>7.5</v>
      </c>
      <c r="F170" s="1">
        <f t="shared" si="1"/>
        <v>14</v>
      </c>
      <c r="G170" s="1">
        <f t="shared" si="2"/>
        <v>496.5</v>
      </c>
    </row>
    <row r="171" spans="2:7" x14ac:dyDescent="0.2">
      <c r="B171" s="1">
        <f>data!B171</f>
        <v>12</v>
      </c>
      <c r="C171" s="1">
        <f>data!C171</f>
        <v>135</v>
      </c>
      <c r="D171" s="1">
        <f>data!D171</f>
        <v>52.8</v>
      </c>
      <c r="E171" s="1">
        <f t="shared" si="0"/>
        <v>74.5</v>
      </c>
      <c r="F171" s="1">
        <f t="shared" si="1"/>
        <v>210</v>
      </c>
      <c r="G171" s="1">
        <f t="shared" si="2"/>
        <v>416.5</v>
      </c>
    </row>
    <row r="172" spans="2:7" x14ac:dyDescent="0.2">
      <c r="B172" s="1">
        <f>data!B172</f>
        <v>7</v>
      </c>
      <c r="C172" s="1">
        <f>data!C172</f>
        <v>103</v>
      </c>
      <c r="D172" s="1">
        <f>data!D172</f>
        <v>51.64</v>
      </c>
      <c r="E172" s="1">
        <f t="shared" si="0"/>
        <v>234.5</v>
      </c>
      <c r="F172" s="1">
        <f t="shared" si="1"/>
        <v>256</v>
      </c>
      <c r="G172" s="1">
        <f t="shared" si="2"/>
        <v>432</v>
      </c>
    </row>
    <row r="173" spans="2:7" x14ac:dyDescent="0.2">
      <c r="B173" s="1">
        <f>data!B173</f>
        <v>10</v>
      </c>
      <c r="C173" s="1">
        <f>data!C173</f>
        <v>155</v>
      </c>
      <c r="D173" s="1">
        <f>data!D173</f>
        <v>50.79</v>
      </c>
      <c r="E173" s="1">
        <f t="shared" si="0"/>
        <v>123.5</v>
      </c>
      <c r="F173" s="1">
        <f t="shared" si="1"/>
        <v>186.5</v>
      </c>
      <c r="G173" s="1">
        <f t="shared" si="2"/>
        <v>448</v>
      </c>
    </row>
    <row r="174" spans="2:7" x14ac:dyDescent="0.2">
      <c r="B174" s="1">
        <f>data!B174</f>
        <v>5</v>
      </c>
      <c r="C174" s="1">
        <f>data!C174</f>
        <v>52</v>
      </c>
      <c r="D174" s="1">
        <f>data!D174</f>
        <v>60.9</v>
      </c>
      <c r="E174" s="1">
        <f t="shared" si="0"/>
        <v>345</v>
      </c>
      <c r="F174" s="1">
        <f t="shared" si="1"/>
        <v>371.5</v>
      </c>
      <c r="G174" s="1">
        <f t="shared" si="2"/>
        <v>293</v>
      </c>
    </row>
    <row r="175" spans="2:7" x14ac:dyDescent="0.2">
      <c r="B175" s="1">
        <f>data!B175</f>
        <v>3</v>
      </c>
      <c r="C175" s="1">
        <f>data!C175</f>
        <v>57</v>
      </c>
      <c r="D175" s="1">
        <f>data!D175</f>
        <v>59.86</v>
      </c>
      <c r="E175" s="1">
        <f t="shared" si="0"/>
        <v>502</v>
      </c>
      <c r="F175" s="1">
        <f t="shared" si="1"/>
        <v>355</v>
      </c>
      <c r="G175" s="1">
        <f t="shared" si="2"/>
        <v>311</v>
      </c>
    </row>
    <row r="176" spans="2:7" x14ac:dyDescent="0.2">
      <c r="B176" s="1">
        <f>data!B176</f>
        <v>9</v>
      </c>
      <c r="C176" s="1">
        <f>data!C176</f>
        <v>115</v>
      </c>
      <c r="D176" s="1">
        <f>data!D176</f>
        <v>52.48</v>
      </c>
      <c r="E176" s="1">
        <f t="shared" si="0"/>
        <v>151.5</v>
      </c>
      <c r="F176" s="1">
        <f t="shared" si="1"/>
        <v>235.5</v>
      </c>
      <c r="G176" s="1">
        <f t="shared" si="2"/>
        <v>424</v>
      </c>
    </row>
    <row r="177" spans="2:7" x14ac:dyDescent="0.2">
      <c r="B177" s="1">
        <f>data!B177</f>
        <v>6</v>
      </c>
      <c r="C177" s="1">
        <f>data!C177</f>
        <v>7</v>
      </c>
      <c r="D177" s="1">
        <f>data!D177</f>
        <v>90.91</v>
      </c>
      <c r="E177" s="1">
        <f t="shared" si="0"/>
        <v>284.5</v>
      </c>
      <c r="F177" s="1">
        <f t="shared" si="1"/>
        <v>524.5</v>
      </c>
      <c r="G177" s="1">
        <f t="shared" si="2"/>
        <v>42</v>
      </c>
    </row>
    <row r="178" spans="2:7" x14ac:dyDescent="0.2">
      <c r="B178" s="1">
        <f>data!B178</f>
        <v>5</v>
      </c>
      <c r="C178" s="1">
        <f>data!C178</f>
        <v>5</v>
      </c>
      <c r="D178" s="1">
        <f>data!D178</f>
        <v>91.07</v>
      </c>
      <c r="E178" s="1">
        <f t="shared" si="0"/>
        <v>345</v>
      </c>
      <c r="F178" s="1">
        <f t="shared" si="1"/>
        <v>595</v>
      </c>
      <c r="G178" s="1">
        <f t="shared" si="2"/>
        <v>38</v>
      </c>
    </row>
    <row r="179" spans="2:7" x14ac:dyDescent="0.2">
      <c r="B179" s="1">
        <f>data!B179</f>
        <v>5</v>
      </c>
      <c r="C179" s="1">
        <f>data!C179</f>
        <v>5</v>
      </c>
      <c r="D179" s="1">
        <f>data!D179</f>
        <v>91.8</v>
      </c>
      <c r="E179" s="1">
        <f t="shared" si="0"/>
        <v>345</v>
      </c>
      <c r="F179" s="1">
        <f t="shared" si="1"/>
        <v>595</v>
      </c>
      <c r="G179" s="1">
        <f t="shared" si="2"/>
        <v>15.5</v>
      </c>
    </row>
    <row r="180" spans="2:7" x14ac:dyDescent="0.2">
      <c r="B180" s="1">
        <f>data!B180</f>
        <v>5</v>
      </c>
      <c r="C180" s="1">
        <f>data!C180</f>
        <v>5</v>
      </c>
      <c r="D180" s="1">
        <f>data!D180</f>
        <v>90</v>
      </c>
      <c r="E180" s="1">
        <f t="shared" si="0"/>
        <v>345</v>
      </c>
      <c r="F180" s="1">
        <f t="shared" si="1"/>
        <v>595</v>
      </c>
      <c r="G180" s="1">
        <f t="shared" si="2"/>
        <v>62</v>
      </c>
    </row>
    <row r="181" spans="2:7" x14ac:dyDescent="0.2">
      <c r="B181" s="1">
        <f>data!B181</f>
        <v>5</v>
      </c>
      <c r="C181" s="1">
        <f>data!C181</f>
        <v>77</v>
      </c>
      <c r="D181" s="1">
        <f>data!D181</f>
        <v>54.44</v>
      </c>
      <c r="E181" s="1">
        <f t="shared" si="0"/>
        <v>345</v>
      </c>
      <c r="F181" s="1">
        <f t="shared" si="1"/>
        <v>305</v>
      </c>
      <c r="G181" s="1">
        <f t="shared" si="2"/>
        <v>386</v>
      </c>
    </row>
    <row r="182" spans="2:7" x14ac:dyDescent="0.2">
      <c r="B182" s="1">
        <f>data!B182</f>
        <v>2</v>
      </c>
      <c r="C182" s="1">
        <f>data!C182</f>
        <v>6</v>
      </c>
      <c r="D182" s="1">
        <f>data!D182</f>
        <v>88.89</v>
      </c>
      <c r="E182" s="1">
        <f t="shared" si="0"/>
        <v>585.5</v>
      </c>
      <c r="F182" s="1">
        <f t="shared" si="1"/>
        <v>552</v>
      </c>
      <c r="G182" s="1">
        <f t="shared" si="2"/>
        <v>85</v>
      </c>
    </row>
    <row r="183" spans="2:7" x14ac:dyDescent="0.2">
      <c r="B183" s="1">
        <f>data!B183</f>
        <v>6</v>
      </c>
      <c r="C183" s="1">
        <f>data!C183</f>
        <v>106</v>
      </c>
      <c r="D183" s="1">
        <f>data!D183</f>
        <v>46.46</v>
      </c>
      <c r="E183" s="1">
        <f t="shared" si="0"/>
        <v>284.5</v>
      </c>
      <c r="F183" s="1">
        <f t="shared" si="1"/>
        <v>252.5</v>
      </c>
      <c r="G183" s="1">
        <f t="shared" si="2"/>
        <v>524.5</v>
      </c>
    </row>
    <row r="184" spans="2:7" x14ac:dyDescent="0.2">
      <c r="B184" s="1">
        <f>data!B184</f>
        <v>6</v>
      </c>
      <c r="C184" s="1">
        <f>data!C184</f>
        <v>54</v>
      </c>
      <c r="D184" s="1">
        <f>data!D184</f>
        <v>55.74</v>
      </c>
      <c r="E184" s="1">
        <f t="shared" si="0"/>
        <v>284.5</v>
      </c>
      <c r="F184" s="1">
        <f t="shared" si="1"/>
        <v>368</v>
      </c>
      <c r="G184" s="1">
        <f t="shared" si="2"/>
        <v>368</v>
      </c>
    </row>
    <row r="185" spans="2:7" x14ac:dyDescent="0.2">
      <c r="B185" s="1">
        <f>data!B185</f>
        <v>4</v>
      </c>
      <c r="C185" s="1">
        <f>data!C185</f>
        <v>64</v>
      </c>
      <c r="D185" s="1">
        <f>data!D185</f>
        <v>54.61</v>
      </c>
      <c r="E185" s="1">
        <f t="shared" si="0"/>
        <v>422.5</v>
      </c>
      <c r="F185" s="1">
        <f t="shared" si="1"/>
        <v>338.5</v>
      </c>
      <c r="G185" s="1">
        <f t="shared" si="2"/>
        <v>383</v>
      </c>
    </row>
    <row r="186" spans="2:7" x14ac:dyDescent="0.2">
      <c r="B186" s="1">
        <f>data!B186</f>
        <v>6</v>
      </c>
      <c r="C186" s="1">
        <f>data!C186</f>
        <v>128</v>
      </c>
      <c r="D186" s="1">
        <f>data!D186</f>
        <v>48.18</v>
      </c>
      <c r="E186" s="1">
        <f t="shared" si="0"/>
        <v>284.5</v>
      </c>
      <c r="F186" s="1">
        <f t="shared" si="1"/>
        <v>216.5</v>
      </c>
      <c r="G186" s="1">
        <f t="shared" si="2"/>
        <v>495</v>
      </c>
    </row>
    <row r="187" spans="2:7" x14ac:dyDescent="0.2">
      <c r="B187" s="1">
        <f>data!B187</f>
        <v>6</v>
      </c>
      <c r="C187" s="1">
        <f>data!C187</f>
        <v>124</v>
      </c>
      <c r="D187" s="1">
        <f>data!D187</f>
        <v>48.97</v>
      </c>
      <c r="E187" s="1">
        <f t="shared" si="0"/>
        <v>284.5</v>
      </c>
      <c r="F187" s="1">
        <f t="shared" si="1"/>
        <v>225</v>
      </c>
      <c r="G187" s="1">
        <f t="shared" si="2"/>
        <v>479</v>
      </c>
    </row>
    <row r="188" spans="2:7" x14ac:dyDescent="0.2">
      <c r="B188" s="1">
        <f>data!B188</f>
        <v>7</v>
      </c>
      <c r="C188" s="1">
        <f>data!C188</f>
        <v>28</v>
      </c>
      <c r="D188" s="1">
        <f>data!D188</f>
        <v>69.569999999999993</v>
      </c>
      <c r="E188" s="1">
        <f t="shared" si="0"/>
        <v>234.5</v>
      </c>
      <c r="F188" s="1">
        <f t="shared" si="1"/>
        <v>440.5</v>
      </c>
      <c r="G188" s="1">
        <f t="shared" si="2"/>
        <v>212.5</v>
      </c>
    </row>
    <row r="189" spans="2:7" x14ac:dyDescent="0.2">
      <c r="B189" s="1">
        <f>data!B189</f>
        <v>9</v>
      </c>
      <c r="C189" s="1">
        <f>data!C189</f>
        <v>76</v>
      </c>
      <c r="D189" s="1">
        <f>data!D189</f>
        <v>55.29</v>
      </c>
      <c r="E189" s="1">
        <f t="shared" si="0"/>
        <v>151.5</v>
      </c>
      <c r="F189" s="1">
        <f t="shared" si="1"/>
        <v>307</v>
      </c>
      <c r="G189" s="1">
        <f t="shared" si="2"/>
        <v>375</v>
      </c>
    </row>
    <row r="190" spans="2:7" x14ac:dyDescent="0.2">
      <c r="B190" s="1">
        <f>data!B190</f>
        <v>10</v>
      </c>
      <c r="C190" s="1">
        <f>data!C190</f>
        <v>112</v>
      </c>
      <c r="D190" s="1">
        <f>data!D190</f>
        <v>47.17</v>
      </c>
      <c r="E190" s="1">
        <f t="shared" si="0"/>
        <v>123.5</v>
      </c>
      <c r="F190" s="1">
        <f t="shared" si="1"/>
        <v>239.5</v>
      </c>
      <c r="G190" s="1">
        <f t="shared" si="2"/>
        <v>507</v>
      </c>
    </row>
    <row r="191" spans="2:7" x14ac:dyDescent="0.2">
      <c r="B191" s="1">
        <f>data!B191</f>
        <v>6</v>
      </c>
      <c r="C191" s="1">
        <f>data!C191</f>
        <v>11</v>
      </c>
      <c r="D191" s="1">
        <f>data!D191</f>
        <v>87.06</v>
      </c>
      <c r="E191" s="1">
        <f t="shared" si="0"/>
        <v>284.5</v>
      </c>
      <c r="F191" s="1">
        <f t="shared" si="1"/>
        <v>496</v>
      </c>
      <c r="G191" s="1">
        <f t="shared" si="2"/>
        <v>130</v>
      </c>
    </row>
    <row r="192" spans="2:7" x14ac:dyDescent="0.2">
      <c r="B192" s="1">
        <f>data!B192</f>
        <v>4</v>
      </c>
      <c r="C192" s="1">
        <f>data!C192</f>
        <v>5</v>
      </c>
      <c r="D192" s="1">
        <f>data!D192</f>
        <v>90.74</v>
      </c>
      <c r="E192" s="1">
        <f t="shared" si="0"/>
        <v>422.5</v>
      </c>
      <c r="F192" s="1">
        <f t="shared" si="1"/>
        <v>595</v>
      </c>
      <c r="G192" s="1">
        <f t="shared" si="2"/>
        <v>48</v>
      </c>
    </row>
    <row r="193" spans="2:7" x14ac:dyDescent="0.2">
      <c r="B193" s="1">
        <f>data!B193</f>
        <v>6</v>
      </c>
      <c r="C193" s="1">
        <f>data!C193</f>
        <v>47</v>
      </c>
      <c r="D193" s="1">
        <f>data!D193</f>
        <v>64.66</v>
      </c>
      <c r="E193" s="1">
        <f t="shared" si="0"/>
        <v>284.5</v>
      </c>
      <c r="F193" s="1">
        <f t="shared" si="1"/>
        <v>388.5</v>
      </c>
      <c r="G193" s="1">
        <f t="shared" si="2"/>
        <v>250</v>
      </c>
    </row>
    <row r="194" spans="2:7" x14ac:dyDescent="0.2">
      <c r="B194" s="1">
        <f>data!B194</f>
        <v>8</v>
      </c>
      <c r="C194" s="1">
        <f>data!C194</f>
        <v>57</v>
      </c>
      <c r="D194" s="1">
        <f>data!D194</f>
        <v>60.42</v>
      </c>
      <c r="E194" s="1">
        <f t="shared" si="0"/>
        <v>187.5</v>
      </c>
      <c r="F194" s="1">
        <f t="shared" si="1"/>
        <v>355</v>
      </c>
      <c r="G194" s="1">
        <f t="shared" si="2"/>
        <v>301</v>
      </c>
    </row>
    <row r="195" spans="2:7" x14ac:dyDescent="0.2">
      <c r="B195" s="1">
        <f>data!B195</f>
        <v>3</v>
      </c>
      <c r="C195" s="1">
        <f>data!C195</f>
        <v>43</v>
      </c>
      <c r="D195" s="1">
        <f>data!D195</f>
        <v>63.87</v>
      </c>
      <c r="E195" s="1">
        <f t="shared" si="0"/>
        <v>502</v>
      </c>
      <c r="F195" s="1">
        <f t="shared" si="1"/>
        <v>397.5</v>
      </c>
      <c r="G195" s="1">
        <f t="shared" si="2"/>
        <v>257</v>
      </c>
    </row>
    <row r="196" spans="2:7" x14ac:dyDescent="0.2">
      <c r="B196" s="1">
        <f>data!B196</f>
        <v>5</v>
      </c>
      <c r="C196" s="1">
        <f>data!C196</f>
        <v>57</v>
      </c>
      <c r="D196" s="1">
        <f>data!D196</f>
        <v>58.39</v>
      </c>
      <c r="E196" s="1">
        <f t="shared" si="0"/>
        <v>345</v>
      </c>
      <c r="F196" s="1">
        <f t="shared" si="1"/>
        <v>355</v>
      </c>
      <c r="G196" s="1">
        <f t="shared" si="2"/>
        <v>339</v>
      </c>
    </row>
    <row r="197" spans="2:7" x14ac:dyDescent="0.2">
      <c r="B197" s="1">
        <f>data!B197</f>
        <v>2</v>
      </c>
      <c r="C197" s="1">
        <f>data!C197</f>
        <v>47</v>
      </c>
      <c r="D197" s="1">
        <f>data!D197</f>
        <v>59.13</v>
      </c>
      <c r="E197" s="1">
        <f t="shared" si="0"/>
        <v>585.5</v>
      </c>
      <c r="F197" s="1">
        <f t="shared" si="1"/>
        <v>388.5</v>
      </c>
      <c r="G197" s="1">
        <f t="shared" si="2"/>
        <v>318</v>
      </c>
    </row>
    <row r="198" spans="2:7" x14ac:dyDescent="0.2">
      <c r="B198" s="1">
        <f>data!B198</f>
        <v>7</v>
      </c>
      <c r="C198" s="1">
        <f>data!C198</f>
        <v>85</v>
      </c>
      <c r="D198" s="1">
        <f>data!D198</f>
        <v>63.04</v>
      </c>
      <c r="E198" s="1">
        <f t="shared" si="0"/>
        <v>234.5</v>
      </c>
      <c r="F198" s="1">
        <f t="shared" si="1"/>
        <v>283</v>
      </c>
      <c r="G198" s="1">
        <f t="shared" si="2"/>
        <v>266</v>
      </c>
    </row>
    <row r="199" spans="2:7" x14ac:dyDescent="0.2">
      <c r="B199" s="1">
        <f>data!B199</f>
        <v>8</v>
      </c>
      <c r="C199" s="1">
        <f>data!C199</f>
        <v>37</v>
      </c>
      <c r="D199" s="1">
        <f>data!D199</f>
        <v>71.319999999999993</v>
      </c>
      <c r="E199" s="1">
        <f t="shared" si="0"/>
        <v>187.5</v>
      </c>
      <c r="F199" s="1">
        <f t="shared" si="1"/>
        <v>418.5</v>
      </c>
      <c r="G199" s="1">
        <f t="shared" si="2"/>
        <v>200</v>
      </c>
    </row>
    <row r="200" spans="2:7" x14ac:dyDescent="0.2">
      <c r="B200" s="1">
        <f>data!B200</f>
        <v>6</v>
      </c>
      <c r="C200" s="1">
        <f>data!C200</f>
        <v>58</v>
      </c>
      <c r="D200" s="1">
        <f>data!D200</f>
        <v>66.47</v>
      </c>
      <c r="E200" s="1">
        <f t="shared" si="0"/>
        <v>284.5</v>
      </c>
      <c r="F200" s="1">
        <f t="shared" si="1"/>
        <v>351.5</v>
      </c>
      <c r="G200" s="1">
        <f t="shared" si="2"/>
        <v>230</v>
      </c>
    </row>
    <row r="201" spans="2:7" x14ac:dyDescent="0.2">
      <c r="B201" s="1">
        <f>data!B201</f>
        <v>9</v>
      </c>
      <c r="C201" s="1">
        <f>data!C201</f>
        <v>58</v>
      </c>
      <c r="D201" s="1">
        <f>data!D201</f>
        <v>61.59</v>
      </c>
      <c r="E201" s="1">
        <f t="shared" si="0"/>
        <v>151.5</v>
      </c>
      <c r="F201" s="1">
        <f t="shared" si="1"/>
        <v>351.5</v>
      </c>
      <c r="G201" s="1">
        <f t="shared" si="2"/>
        <v>286</v>
      </c>
    </row>
    <row r="202" spans="2:7" x14ac:dyDescent="0.2">
      <c r="B202" s="1">
        <f>data!B202</f>
        <v>6</v>
      </c>
      <c r="C202" s="1">
        <f>data!C202</f>
        <v>59</v>
      </c>
      <c r="D202" s="1">
        <f>data!D202</f>
        <v>66.09</v>
      </c>
      <c r="E202" s="1">
        <f t="shared" si="0"/>
        <v>284.5</v>
      </c>
      <c r="F202" s="1">
        <f t="shared" si="1"/>
        <v>347</v>
      </c>
      <c r="G202" s="1">
        <f t="shared" si="2"/>
        <v>236</v>
      </c>
    </row>
    <row r="203" spans="2:7" x14ac:dyDescent="0.2">
      <c r="B203" s="1">
        <f>data!B203</f>
        <v>7</v>
      </c>
      <c r="C203" s="1">
        <f>data!C203</f>
        <v>109</v>
      </c>
      <c r="D203" s="1">
        <f>data!D203</f>
        <v>52.81</v>
      </c>
      <c r="E203" s="1">
        <f t="shared" si="0"/>
        <v>234.5</v>
      </c>
      <c r="F203" s="1">
        <f t="shared" si="1"/>
        <v>246</v>
      </c>
      <c r="G203" s="1">
        <f t="shared" si="2"/>
        <v>415</v>
      </c>
    </row>
    <row r="204" spans="2:7" x14ac:dyDescent="0.2">
      <c r="B204" s="1">
        <f>data!B204</f>
        <v>5</v>
      </c>
      <c r="C204" s="1">
        <f>data!C204</f>
        <v>70</v>
      </c>
      <c r="D204" s="1">
        <f>data!D204</f>
        <v>55.13</v>
      </c>
      <c r="E204" s="1">
        <f t="shared" si="0"/>
        <v>345</v>
      </c>
      <c r="F204" s="1">
        <f t="shared" si="1"/>
        <v>321</v>
      </c>
      <c r="G204" s="1">
        <f t="shared" si="2"/>
        <v>376</v>
      </c>
    </row>
    <row r="205" spans="2:7" x14ac:dyDescent="0.2">
      <c r="B205" s="1">
        <f>data!B205</f>
        <v>4</v>
      </c>
      <c r="C205" s="1">
        <f>data!C205</f>
        <v>5</v>
      </c>
      <c r="D205" s="1">
        <f>data!D205</f>
        <v>90.74</v>
      </c>
      <c r="E205" s="1">
        <f t="shared" si="0"/>
        <v>422.5</v>
      </c>
      <c r="F205" s="1">
        <f t="shared" si="1"/>
        <v>595</v>
      </c>
      <c r="G205" s="1">
        <f t="shared" si="2"/>
        <v>48</v>
      </c>
    </row>
    <row r="206" spans="2:7" x14ac:dyDescent="0.2">
      <c r="B206" s="1">
        <f>data!B206</f>
        <v>5</v>
      </c>
      <c r="C206" s="1">
        <f>data!C206</f>
        <v>5</v>
      </c>
      <c r="D206" s="1">
        <f>data!D206</f>
        <v>91.23</v>
      </c>
      <c r="E206" s="1">
        <f t="shared" si="0"/>
        <v>345</v>
      </c>
      <c r="F206" s="1">
        <f t="shared" si="1"/>
        <v>595</v>
      </c>
      <c r="G206" s="1">
        <f t="shared" si="2"/>
        <v>36</v>
      </c>
    </row>
    <row r="207" spans="2:7" x14ac:dyDescent="0.2">
      <c r="B207" s="1">
        <f>data!B207</f>
        <v>4</v>
      </c>
      <c r="C207" s="1">
        <f>data!C207</f>
        <v>5</v>
      </c>
      <c r="D207" s="1">
        <f>data!D207</f>
        <v>90.57</v>
      </c>
      <c r="E207" s="1">
        <f t="shared" si="0"/>
        <v>422.5</v>
      </c>
      <c r="F207" s="1">
        <f t="shared" si="1"/>
        <v>595</v>
      </c>
      <c r="G207" s="1">
        <f t="shared" si="2"/>
        <v>53.5</v>
      </c>
    </row>
    <row r="208" spans="2:7" x14ac:dyDescent="0.2">
      <c r="B208" s="1">
        <f>data!B208</f>
        <v>4</v>
      </c>
      <c r="C208" s="1">
        <f>data!C208</f>
        <v>5</v>
      </c>
      <c r="D208" s="1">
        <f>data!D208</f>
        <v>90.57</v>
      </c>
      <c r="E208" s="1">
        <f t="shared" si="0"/>
        <v>422.5</v>
      </c>
      <c r="F208" s="1">
        <f t="shared" si="1"/>
        <v>595</v>
      </c>
      <c r="G208" s="1">
        <f t="shared" si="2"/>
        <v>53.5</v>
      </c>
    </row>
    <row r="209" spans="2:7" x14ac:dyDescent="0.2">
      <c r="B209" s="1">
        <f>data!B209</f>
        <v>8</v>
      </c>
      <c r="C209" s="1">
        <f>data!C209</f>
        <v>334</v>
      </c>
      <c r="D209" s="1">
        <f>data!D209</f>
        <v>51.1</v>
      </c>
      <c r="E209" s="1">
        <f t="shared" si="0"/>
        <v>187.5</v>
      </c>
      <c r="F209" s="1">
        <f t="shared" si="1"/>
        <v>67</v>
      </c>
      <c r="G209" s="1">
        <f t="shared" si="2"/>
        <v>441</v>
      </c>
    </row>
    <row r="210" spans="2:7" x14ac:dyDescent="0.2">
      <c r="B210" s="1">
        <f>data!B210</f>
        <v>6</v>
      </c>
      <c r="C210" s="1">
        <f>data!C210</f>
        <v>468</v>
      </c>
      <c r="D210" s="1">
        <f>data!D210</f>
        <v>52.39</v>
      </c>
      <c r="E210" s="1">
        <f t="shared" si="0"/>
        <v>284.5</v>
      </c>
      <c r="F210" s="1">
        <f t="shared" si="1"/>
        <v>35</v>
      </c>
      <c r="G210" s="1">
        <f t="shared" si="2"/>
        <v>426</v>
      </c>
    </row>
    <row r="211" spans="2:7" x14ac:dyDescent="0.2">
      <c r="B211" s="1">
        <f>data!B211</f>
        <v>3</v>
      </c>
      <c r="C211" s="1">
        <f>data!C211</f>
        <v>69</v>
      </c>
      <c r="D211" s="1">
        <f>data!D211</f>
        <v>59.41</v>
      </c>
      <c r="E211" s="1">
        <f t="shared" si="0"/>
        <v>502</v>
      </c>
      <c r="F211" s="1">
        <f t="shared" si="1"/>
        <v>325.5</v>
      </c>
      <c r="G211" s="1">
        <f t="shared" si="2"/>
        <v>315</v>
      </c>
    </row>
    <row r="212" spans="2:7" x14ac:dyDescent="0.2">
      <c r="B212" s="1">
        <f>data!B212</f>
        <v>3</v>
      </c>
      <c r="C212" s="1">
        <f>data!C212</f>
        <v>56</v>
      </c>
      <c r="D212" s="1">
        <f>data!D212</f>
        <v>60.56</v>
      </c>
      <c r="E212" s="1">
        <f t="shared" si="0"/>
        <v>502</v>
      </c>
      <c r="F212" s="1">
        <f t="shared" si="1"/>
        <v>361</v>
      </c>
      <c r="G212" s="1">
        <f t="shared" si="2"/>
        <v>298</v>
      </c>
    </row>
    <row r="213" spans="2:7" x14ac:dyDescent="0.2">
      <c r="B213" s="1">
        <f>data!B213</f>
        <v>2</v>
      </c>
      <c r="C213" s="1">
        <f>data!C213</f>
        <v>5</v>
      </c>
      <c r="D213" s="1">
        <f>data!D213</f>
        <v>90</v>
      </c>
      <c r="E213" s="1">
        <f t="shared" si="0"/>
        <v>585.5</v>
      </c>
      <c r="F213" s="1">
        <f t="shared" si="1"/>
        <v>595</v>
      </c>
      <c r="G213" s="1">
        <f t="shared" si="2"/>
        <v>62</v>
      </c>
    </row>
    <row r="214" spans="2:7" x14ac:dyDescent="0.2">
      <c r="B214" s="1">
        <f>data!B214</f>
        <v>2</v>
      </c>
      <c r="C214" s="1">
        <f>data!C214</f>
        <v>5</v>
      </c>
      <c r="D214" s="1">
        <f>data!D214</f>
        <v>88.89</v>
      </c>
      <c r="E214" s="1">
        <f t="shared" si="0"/>
        <v>585.5</v>
      </c>
      <c r="F214" s="1">
        <f t="shared" si="1"/>
        <v>595</v>
      </c>
      <c r="G214" s="1">
        <f t="shared" si="2"/>
        <v>85</v>
      </c>
    </row>
    <row r="215" spans="2:7" x14ac:dyDescent="0.2">
      <c r="B215" s="1">
        <f>data!B215</f>
        <v>7</v>
      </c>
      <c r="C215" s="1">
        <f>data!C215</f>
        <v>347</v>
      </c>
      <c r="D215" s="1">
        <f>data!D215</f>
        <v>43.76</v>
      </c>
      <c r="E215" s="1">
        <f t="shared" si="0"/>
        <v>234.5</v>
      </c>
      <c r="F215" s="1">
        <f t="shared" si="1"/>
        <v>64</v>
      </c>
      <c r="G215" s="1">
        <f t="shared" si="2"/>
        <v>555</v>
      </c>
    </row>
    <row r="216" spans="2:7" x14ac:dyDescent="0.2">
      <c r="B216" s="1">
        <f>data!B216</f>
        <v>5</v>
      </c>
      <c r="C216" s="1">
        <f>data!C216</f>
        <v>392</v>
      </c>
      <c r="D216" s="1">
        <f>data!D216</f>
        <v>40.79</v>
      </c>
      <c r="E216" s="1">
        <f t="shared" si="0"/>
        <v>345</v>
      </c>
      <c r="F216" s="1">
        <f t="shared" si="1"/>
        <v>50</v>
      </c>
      <c r="G216" s="1">
        <f t="shared" si="2"/>
        <v>579.5</v>
      </c>
    </row>
    <row r="217" spans="2:7" x14ac:dyDescent="0.2">
      <c r="B217" s="1">
        <f>data!B217</f>
        <v>4</v>
      </c>
      <c r="C217" s="1">
        <f>data!C217</f>
        <v>64</v>
      </c>
      <c r="D217" s="1">
        <f>data!D217</f>
        <v>59.24</v>
      </c>
      <c r="E217" s="1">
        <f t="shared" si="0"/>
        <v>422.5</v>
      </c>
      <c r="F217" s="1">
        <f t="shared" si="1"/>
        <v>338.5</v>
      </c>
      <c r="G217" s="1">
        <f t="shared" si="2"/>
        <v>316</v>
      </c>
    </row>
    <row r="218" spans="2:7" x14ac:dyDescent="0.2">
      <c r="B218" s="1">
        <f>data!B218</f>
        <v>7</v>
      </c>
      <c r="C218" s="1">
        <f>data!C218</f>
        <v>69</v>
      </c>
      <c r="D218" s="1">
        <f>data!D218</f>
        <v>60.34</v>
      </c>
      <c r="E218" s="1">
        <f t="shared" si="0"/>
        <v>234.5</v>
      </c>
      <c r="F218" s="1">
        <f t="shared" si="1"/>
        <v>325.5</v>
      </c>
      <c r="G218" s="1">
        <f t="shared" si="2"/>
        <v>304</v>
      </c>
    </row>
    <row r="219" spans="2:7" x14ac:dyDescent="0.2">
      <c r="B219" s="1">
        <f>data!B219</f>
        <v>32</v>
      </c>
      <c r="C219" s="1">
        <f>data!C219</f>
        <v>2415</v>
      </c>
      <c r="D219" s="1">
        <f>data!D219</f>
        <v>46.61</v>
      </c>
      <c r="E219" s="1">
        <f t="shared" si="0"/>
        <v>1</v>
      </c>
      <c r="F219" s="1">
        <f t="shared" si="1"/>
        <v>2</v>
      </c>
      <c r="G219" s="1">
        <f t="shared" si="2"/>
        <v>521</v>
      </c>
    </row>
    <row r="220" spans="2:7" x14ac:dyDescent="0.2">
      <c r="B220" s="1">
        <f>data!B220</f>
        <v>3</v>
      </c>
      <c r="C220" s="1">
        <f>data!C220</f>
        <v>6</v>
      </c>
      <c r="D220" s="1">
        <f>data!D220</f>
        <v>87.23</v>
      </c>
      <c r="E220" s="1">
        <f t="shared" si="0"/>
        <v>502</v>
      </c>
      <c r="F220" s="1">
        <f t="shared" si="1"/>
        <v>552</v>
      </c>
      <c r="G220" s="1">
        <f t="shared" si="2"/>
        <v>124.5</v>
      </c>
    </row>
    <row r="221" spans="2:7" x14ac:dyDescent="0.2">
      <c r="B221" s="1">
        <f>data!B221</f>
        <v>14</v>
      </c>
      <c r="C221" s="1">
        <f>data!C221</f>
        <v>358</v>
      </c>
      <c r="D221" s="1">
        <f>data!D221</f>
        <v>41.6</v>
      </c>
      <c r="E221" s="1">
        <f t="shared" si="0"/>
        <v>46</v>
      </c>
      <c r="F221" s="1">
        <f t="shared" si="1"/>
        <v>60</v>
      </c>
      <c r="G221" s="1">
        <f t="shared" si="2"/>
        <v>570</v>
      </c>
    </row>
    <row r="222" spans="2:7" x14ac:dyDescent="0.2">
      <c r="B222" s="1">
        <f>data!B222</f>
        <v>15</v>
      </c>
      <c r="C222" s="1">
        <f>data!C222</f>
        <v>396</v>
      </c>
      <c r="D222" s="1">
        <f>data!D222</f>
        <v>42.69</v>
      </c>
      <c r="E222" s="1">
        <f t="shared" si="0"/>
        <v>37.5</v>
      </c>
      <c r="F222" s="1">
        <f t="shared" si="1"/>
        <v>48</v>
      </c>
      <c r="G222" s="1">
        <f t="shared" si="2"/>
        <v>563</v>
      </c>
    </row>
    <row r="223" spans="2:7" x14ac:dyDescent="0.2">
      <c r="B223" s="1">
        <f>data!B223</f>
        <v>12</v>
      </c>
      <c r="C223" s="1">
        <f>data!C223</f>
        <v>307</v>
      </c>
      <c r="D223" s="1">
        <f>data!D223</f>
        <v>40.39</v>
      </c>
      <c r="E223" s="1">
        <f t="shared" si="0"/>
        <v>74.5</v>
      </c>
      <c r="F223" s="1">
        <f t="shared" si="1"/>
        <v>73</v>
      </c>
      <c r="G223" s="1">
        <f t="shared" si="2"/>
        <v>584.5</v>
      </c>
    </row>
    <row r="224" spans="2:7" x14ac:dyDescent="0.2">
      <c r="B224" s="1">
        <f>data!B224</f>
        <v>16</v>
      </c>
      <c r="C224" s="1">
        <f>data!C224</f>
        <v>371</v>
      </c>
      <c r="D224" s="1">
        <f>data!D224</f>
        <v>42.57</v>
      </c>
      <c r="E224" s="1">
        <f t="shared" si="0"/>
        <v>29</v>
      </c>
      <c r="F224" s="1">
        <f t="shared" si="1"/>
        <v>56.5</v>
      </c>
      <c r="G224" s="1">
        <f t="shared" si="2"/>
        <v>564</v>
      </c>
    </row>
    <row r="225" spans="2:7" x14ac:dyDescent="0.2">
      <c r="B225" s="1">
        <f>data!B225</f>
        <v>2</v>
      </c>
      <c r="C225" s="1">
        <f>data!C225</f>
        <v>78</v>
      </c>
      <c r="D225" s="1">
        <f>data!D225</f>
        <v>50</v>
      </c>
      <c r="E225" s="1">
        <f t="shared" si="0"/>
        <v>585.5</v>
      </c>
      <c r="F225" s="1">
        <f t="shared" si="1"/>
        <v>302.5</v>
      </c>
      <c r="G225" s="1">
        <f t="shared" si="2"/>
        <v>461.5</v>
      </c>
    </row>
    <row r="226" spans="2:7" x14ac:dyDescent="0.2">
      <c r="B226" s="1">
        <f>data!B226</f>
        <v>5</v>
      </c>
      <c r="C226" s="1">
        <f>data!C226</f>
        <v>438</v>
      </c>
      <c r="D226" s="1">
        <f>data!D226</f>
        <v>43.56</v>
      </c>
      <c r="E226" s="1">
        <f t="shared" si="0"/>
        <v>345</v>
      </c>
      <c r="F226" s="1">
        <f t="shared" si="1"/>
        <v>38</v>
      </c>
      <c r="G226" s="1">
        <f t="shared" si="2"/>
        <v>557</v>
      </c>
    </row>
    <row r="227" spans="2:7" x14ac:dyDescent="0.2">
      <c r="B227" s="1">
        <f>data!B227</f>
        <v>2</v>
      </c>
      <c r="C227" s="1">
        <f>data!C227</f>
        <v>41</v>
      </c>
      <c r="D227" s="1">
        <f>data!D227</f>
        <v>62.73</v>
      </c>
      <c r="E227" s="1">
        <f t="shared" si="0"/>
        <v>585.5</v>
      </c>
      <c r="F227" s="1">
        <f t="shared" si="1"/>
        <v>407.5</v>
      </c>
      <c r="G227" s="1">
        <f t="shared" si="2"/>
        <v>270</v>
      </c>
    </row>
    <row r="228" spans="2:7" x14ac:dyDescent="0.2">
      <c r="B228" s="1">
        <f>data!B228</f>
        <v>2</v>
      </c>
      <c r="C228" s="1">
        <f>data!C228</f>
        <v>87</v>
      </c>
      <c r="D228" s="1">
        <f>data!D228</f>
        <v>45.96</v>
      </c>
      <c r="E228" s="1">
        <f t="shared" si="0"/>
        <v>585.5</v>
      </c>
      <c r="F228" s="1">
        <f t="shared" si="1"/>
        <v>279</v>
      </c>
      <c r="G228" s="1">
        <f t="shared" si="2"/>
        <v>532</v>
      </c>
    </row>
    <row r="229" spans="2:7" x14ac:dyDescent="0.2">
      <c r="B229" s="1">
        <f>data!B229</f>
        <v>3</v>
      </c>
      <c r="C229" s="1">
        <f>data!C229</f>
        <v>178</v>
      </c>
      <c r="D229" s="1">
        <f>data!D229</f>
        <v>52.66</v>
      </c>
      <c r="E229" s="1">
        <f t="shared" si="0"/>
        <v>502</v>
      </c>
      <c r="F229" s="1">
        <f t="shared" si="1"/>
        <v>162</v>
      </c>
      <c r="G229" s="1">
        <f t="shared" si="2"/>
        <v>420</v>
      </c>
    </row>
    <row r="230" spans="2:7" x14ac:dyDescent="0.2">
      <c r="B230" s="1">
        <f>data!B230</f>
        <v>3</v>
      </c>
      <c r="C230" s="1">
        <f>data!C230</f>
        <v>61</v>
      </c>
      <c r="D230" s="1">
        <f>data!D230</f>
        <v>53.79</v>
      </c>
      <c r="E230" s="1">
        <f t="shared" si="0"/>
        <v>502</v>
      </c>
      <c r="F230" s="1">
        <f t="shared" si="1"/>
        <v>343</v>
      </c>
      <c r="G230" s="1">
        <f t="shared" si="2"/>
        <v>398.5</v>
      </c>
    </row>
    <row r="231" spans="2:7" x14ac:dyDescent="0.2">
      <c r="B231" s="1">
        <f>data!B231</f>
        <v>3</v>
      </c>
      <c r="C231" s="1">
        <f>data!C231</f>
        <v>59</v>
      </c>
      <c r="D231" s="1">
        <f>data!D231</f>
        <v>54.62</v>
      </c>
      <c r="E231" s="1">
        <f t="shared" si="0"/>
        <v>502</v>
      </c>
      <c r="F231" s="1">
        <f t="shared" si="1"/>
        <v>347</v>
      </c>
      <c r="G231" s="1">
        <f t="shared" si="2"/>
        <v>382</v>
      </c>
    </row>
    <row r="232" spans="2:7" x14ac:dyDescent="0.2">
      <c r="B232" s="1">
        <f>data!B232</f>
        <v>2</v>
      </c>
      <c r="C232" s="1">
        <f>data!C232</f>
        <v>51</v>
      </c>
      <c r="D232" s="1">
        <f>data!D232</f>
        <v>57.5</v>
      </c>
      <c r="E232" s="1">
        <f t="shared" si="0"/>
        <v>585.5</v>
      </c>
      <c r="F232" s="1">
        <f t="shared" si="1"/>
        <v>374</v>
      </c>
      <c r="G232" s="1">
        <f t="shared" si="2"/>
        <v>349</v>
      </c>
    </row>
    <row r="233" spans="2:7" x14ac:dyDescent="0.2">
      <c r="B233" s="1">
        <f>data!B233</f>
        <v>2</v>
      </c>
      <c r="C233" s="1">
        <f>data!C233</f>
        <v>70</v>
      </c>
      <c r="D233" s="1">
        <f>data!D233</f>
        <v>50</v>
      </c>
      <c r="E233" s="1">
        <f t="shared" si="0"/>
        <v>585.5</v>
      </c>
      <c r="F233" s="1">
        <f t="shared" si="1"/>
        <v>321</v>
      </c>
      <c r="G233" s="1">
        <f t="shared" si="2"/>
        <v>461.5</v>
      </c>
    </row>
    <row r="234" spans="2:7" x14ac:dyDescent="0.2">
      <c r="B234" s="1">
        <f>data!B234</f>
        <v>2</v>
      </c>
      <c r="C234" s="1">
        <f>data!C234</f>
        <v>49</v>
      </c>
      <c r="D234" s="1">
        <f>data!D234</f>
        <v>58.82</v>
      </c>
      <c r="E234" s="1">
        <f t="shared" si="0"/>
        <v>585.5</v>
      </c>
      <c r="F234" s="1">
        <f t="shared" si="1"/>
        <v>380.5</v>
      </c>
      <c r="G234" s="1">
        <f t="shared" si="2"/>
        <v>323</v>
      </c>
    </row>
    <row r="235" spans="2:7" x14ac:dyDescent="0.2">
      <c r="B235" s="1">
        <f>data!B235</f>
        <v>2</v>
      </c>
      <c r="C235" s="1">
        <f>data!C235</f>
        <v>45</v>
      </c>
      <c r="D235" s="1">
        <f>data!D235</f>
        <v>58.72</v>
      </c>
      <c r="E235" s="1">
        <f t="shared" si="0"/>
        <v>585.5</v>
      </c>
      <c r="F235" s="1">
        <f t="shared" si="1"/>
        <v>392</v>
      </c>
      <c r="G235" s="1">
        <f t="shared" si="2"/>
        <v>326.5</v>
      </c>
    </row>
    <row r="236" spans="2:7" x14ac:dyDescent="0.2">
      <c r="B236" s="1">
        <f>data!B236</f>
        <v>16</v>
      </c>
      <c r="C236" s="1">
        <f>data!C236</f>
        <v>298</v>
      </c>
      <c r="D236" s="1">
        <f>data!D236</f>
        <v>55.79</v>
      </c>
      <c r="E236" s="1">
        <f t="shared" si="0"/>
        <v>29</v>
      </c>
      <c r="F236" s="1">
        <f t="shared" si="1"/>
        <v>75</v>
      </c>
      <c r="G236" s="1">
        <f t="shared" si="2"/>
        <v>367</v>
      </c>
    </row>
    <row r="237" spans="2:7" x14ac:dyDescent="0.2">
      <c r="B237" s="1">
        <f>data!B237</f>
        <v>7</v>
      </c>
      <c r="C237" s="1">
        <f>data!C237</f>
        <v>109</v>
      </c>
      <c r="D237" s="1">
        <f>data!D237</f>
        <v>66.36</v>
      </c>
      <c r="E237" s="1">
        <f t="shared" si="0"/>
        <v>234.5</v>
      </c>
      <c r="F237" s="1">
        <f t="shared" si="1"/>
        <v>246</v>
      </c>
      <c r="G237" s="1">
        <f t="shared" si="2"/>
        <v>231</v>
      </c>
    </row>
    <row r="238" spans="2:7" x14ac:dyDescent="0.2">
      <c r="B238" s="1">
        <f>data!B238</f>
        <v>5</v>
      </c>
      <c r="C238" s="1">
        <f>data!C238</f>
        <v>5</v>
      </c>
      <c r="D238" s="1">
        <f>data!D238</f>
        <v>91.67</v>
      </c>
      <c r="E238" s="1">
        <f t="shared" si="0"/>
        <v>345</v>
      </c>
      <c r="F238" s="1">
        <f t="shared" si="1"/>
        <v>595</v>
      </c>
      <c r="G238" s="1">
        <f t="shared" si="2"/>
        <v>22.5</v>
      </c>
    </row>
    <row r="239" spans="2:7" x14ac:dyDescent="0.2">
      <c r="B239" s="1">
        <f>data!B239</f>
        <v>8</v>
      </c>
      <c r="C239" s="1">
        <f>data!C239</f>
        <v>276</v>
      </c>
      <c r="D239" s="1">
        <f>data!D239</f>
        <v>40.39</v>
      </c>
      <c r="E239" s="1">
        <f t="shared" si="0"/>
        <v>187.5</v>
      </c>
      <c r="F239" s="1">
        <f t="shared" si="1"/>
        <v>83</v>
      </c>
      <c r="G239" s="1">
        <f t="shared" si="2"/>
        <v>584.5</v>
      </c>
    </row>
    <row r="240" spans="2:7" x14ac:dyDescent="0.2">
      <c r="B240" s="1">
        <f>data!B240</f>
        <v>6</v>
      </c>
      <c r="C240" s="1">
        <f>data!C240</f>
        <v>74</v>
      </c>
      <c r="D240" s="1">
        <f>data!D240</f>
        <v>61.66</v>
      </c>
      <c r="E240" s="1">
        <f t="shared" si="0"/>
        <v>284.5</v>
      </c>
      <c r="F240" s="1">
        <f t="shared" si="1"/>
        <v>309.5</v>
      </c>
      <c r="G240" s="1">
        <f t="shared" si="2"/>
        <v>283</v>
      </c>
    </row>
    <row r="241" spans="2:7" x14ac:dyDescent="0.2">
      <c r="B241" s="1">
        <f>data!B241</f>
        <v>10</v>
      </c>
      <c r="C241" s="1">
        <f>data!C241</f>
        <v>228</v>
      </c>
      <c r="D241" s="1">
        <f>data!D241</f>
        <v>51.18</v>
      </c>
      <c r="E241" s="1">
        <f t="shared" si="0"/>
        <v>123.5</v>
      </c>
      <c r="F241" s="1">
        <f t="shared" si="1"/>
        <v>112</v>
      </c>
      <c r="G241" s="1">
        <f t="shared" si="2"/>
        <v>439</v>
      </c>
    </row>
    <row r="242" spans="2:7" x14ac:dyDescent="0.2">
      <c r="B242" s="1">
        <f>data!B242</f>
        <v>11</v>
      </c>
      <c r="C242" s="1">
        <f>data!C242</f>
        <v>100</v>
      </c>
      <c r="D242" s="1">
        <f>data!D242</f>
        <v>58.68</v>
      </c>
      <c r="E242" s="1">
        <f t="shared" si="0"/>
        <v>98</v>
      </c>
      <c r="F242" s="1">
        <f t="shared" si="1"/>
        <v>260</v>
      </c>
      <c r="G242" s="1">
        <f t="shared" si="2"/>
        <v>328</v>
      </c>
    </row>
    <row r="243" spans="2:7" x14ac:dyDescent="0.2">
      <c r="B243" s="1">
        <f>data!B243</f>
        <v>10</v>
      </c>
      <c r="C243" s="1">
        <f>data!C243</f>
        <v>131</v>
      </c>
      <c r="D243" s="1">
        <f>data!D243</f>
        <v>57.05</v>
      </c>
      <c r="E243" s="1">
        <f t="shared" si="0"/>
        <v>123.5</v>
      </c>
      <c r="F243" s="1">
        <f t="shared" si="1"/>
        <v>214</v>
      </c>
      <c r="G243" s="1">
        <f t="shared" si="2"/>
        <v>354</v>
      </c>
    </row>
    <row r="244" spans="2:7" x14ac:dyDescent="0.2">
      <c r="B244" s="1">
        <f>data!B244</f>
        <v>4</v>
      </c>
      <c r="C244" s="1">
        <f>data!C244</f>
        <v>7</v>
      </c>
      <c r="D244" s="1">
        <f>data!D244</f>
        <v>88.14</v>
      </c>
      <c r="E244" s="1">
        <f t="shared" si="0"/>
        <v>422.5</v>
      </c>
      <c r="F244" s="1">
        <f t="shared" si="1"/>
        <v>524.5</v>
      </c>
      <c r="G244" s="1">
        <f t="shared" si="2"/>
        <v>107.5</v>
      </c>
    </row>
    <row r="245" spans="2:7" x14ac:dyDescent="0.2">
      <c r="B245" s="1">
        <f>data!B245</f>
        <v>4</v>
      </c>
      <c r="C245" s="1">
        <f>data!C245</f>
        <v>14</v>
      </c>
      <c r="D245" s="1">
        <f>data!D245</f>
        <v>86.27</v>
      </c>
      <c r="E245" s="1">
        <f t="shared" si="0"/>
        <v>422.5</v>
      </c>
      <c r="F245" s="1">
        <f t="shared" si="1"/>
        <v>464</v>
      </c>
      <c r="G245" s="1">
        <f t="shared" si="2"/>
        <v>138</v>
      </c>
    </row>
    <row r="246" spans="2:7" x14ac:dyDescent="0.2">
      <c r="B246" s="1">
        <f>data!B246</f>
        <v>3</v>
      </c>
      <c r="C246" s="1">
        <f>data!C246</f>
        <v>12</v>
      </c>
      <c r="D246" s="1">
        <f>data!D246</f>
        <v>80.650000000000006</v>
      </c>
      <c r="E246" s="1">
        <f t="shared" si="0"/>
        <v>502</v>
      </c>
      <c r="F246" s="1">
        <f t="shared" si="1"/>
        <v>481.5</v>
      </c>
      <c r="G246" s="1">
        <f t="shared" si="2"/>
        <v>169</v>
      </c>
    </row>
    <row r="247" spans="2:7" x14ac:dyDescent="0.2">
      <c r="B247" s="1">
        <f>data!B247</f>
        <v>4</v>
      </c>
      <c r="C247" s="1">
        <f>data!C247</f>
        <v>5</v>
      </c>
      <c r="D247" s="1">
        <f>data!D247</f>
        <v>90.2</v>
      </c>
      <c r="E247" s="1">
        <f t="shared" si="0"/>
        <v>422.5</v>
      </c>
      <c r="F247" s="1">
        <f t="shared" si="1"/>
        <v>595</v>
      </c>
      <c r="G247" s="1">
        <f t="shared" si="2"/>
        <v>59</v>
      </c>
    </row>
    <row r="248" spans="2:7" x14ac:dyDescent="0.2">
      <c r="B248" s="1">
        <f>data!B248</f>
        <v>16</v>
      </c>
      <c r="C248" s="1">
        <f>data!C248</f>
        <v>373</v>
      </c>
      <c r="D248" s="1">
        <f>data!D248</f>
        <v>50.4</v>
      </c>
      <c r="E248" s="1">
        <f t="shared" si="0"/>
        <v>29</v>
      </c>
      <c r="F248" s="1">
        <f t="shared" si="1"/>
        <v>55</v>
      </c>
      <c r="G248" s="1">
        <f t="shared" si="2"/>
        <v>453</v>
      </c>
    </row>
    <row r="249" spans="2:7" x14ac:dyDescent="0.2">
      <c r="B249" s="1">
        <f>data!B249</f>
        <v>10</v>
      </c>
      <c r="C249" s="1">
        <f>data!C249</f>
        <v>279</v>
      </c>
      <c r="D249" s="1">
        <f>data!D249</f>
        <v>50.36</v>
      </c>
      <c r="E249" s="1">
        <f t="shared" si="0"/>
        <v>123.5</v>
      </c>
      <c r="F249" s="1">
        <f t="shared" si="1"/>
        <v>82</v>
      </c>
      <c r="G249" s="1">
        <f t="shared" si="2"/>
        <v>455</v>
      </c>
    </row>
    <row r="250" spans="2:7" x14ac:dyDescent="0.2">
      <c r="B250" s="1">
        <f>data!B250</f>
        <v>4</v>
      </c>
      <c r="C250" s="1">
        <f>data!C250</f>
        <v>5</v>
      </c>
      <c r="D250" s="1">
        <f>data!D250</f>
        <v>92.06</v>
      </c>
      <c r="E250" s="1">
        <f t="shared" si="0"/>
        <v>422.5</v>
      </c>
      <c r="F250" s="1">
        <f t="shared" si="1"/>
        <v>595</v>
      </c>
      <c r="G250" s="1">
        <f t="shared" si="2"/>
        <v>10</v>
      </c>
    </row>
    <row r="251" spans="2:7" x14ac:dyDescent="0.2">
      <c r="B251" s="1">
        <f>data!B251</f>
        <v>12</v>
      </c>
      <c r="C251" s="1">
        <f>data!C251</f>
        <v>159</v>
      </c>
      <c r="D251" s="1">
        <f>data!D251</f>
        <v>55.96</v>
      </c>
      <c r="E251" s="1">
        <f t="shared" si="0"/>
        <v>74.5</v>
      </c>
      <c r="F251" s="1">
        <f t="shared" si="1"/>
        <v>177.5</v>
      </c>
      <c r="G251" s="1">
        <f t="shared" si="2"/>
        <v>363</v>
      </c>
    </row>
    <row r="252" spans="2:7" x14ac:dyDescent="0.2">
      <c r="B252" s="1">
        <f>data!B252</f>
        <v>16</v>
      </c>
      <c r="C252" s="1">
        <f>data!C252</f>
        <v>327</v>
      </c>
      <c r="D252" s="1">
        <f>data!D252</f>
        <v>52.61</v>
      </c>
      <c r="E252" s="1">
        <f t="shared" si="0"/>
        <v>29</v>
      </c>
      <c r="F252" s="1">
        <f t="shared" si="1"/>
        <v>69</v>
      </c>
      <c r="G252" s="1">
        <f t="shared" si="2"/>
        <v>421</v>
      </c>
    </row>
    <row r="253" spans="2:7" x14ac:dyDescent="0.2">
      <c r="B253" s="1">
        <f>data!B253</f>
        <v>10</v>
      </c>
      <c r="C253" s="1">
        <f>data!C253</f>
        <v>149</v>
      </c>
      <c r="D253" s="1">
        <f>data!D253</f>
        <v>53.73</v>
      </c>
      <c r="E253" s="1">
        <f t="shared" si="0"/>
        <v>123.5</v>
      </c>
      <c r="F253" s="1">
        <f t="shared" si="1"/>
        <v>193</v>
      </c>
      <c r="G253" s="1">
        <f t="shared" si="2"/>
        <v>401</v>
      </c>
    </row>
    <row r="254" spans="2:7" x14ac:dyDescent="0.2">
      <c r="B254" s="1">
        <f>data!B254</f>
        <v>10</v>
      </c>
      <c r="C254" s="1">
        <f>data!C254</f>
        <v>181</v>
      </c>
      <c r="D254" s="1">
        <f>data!D254</f>
        <v>53.71</v>
      </c>
      <c r="E254" s="1">
        <f t="shared" si="0"/>
        <v>123.5</v>
      </c>
      <c r="F254" s="1">
        <f t="shared" si="1"/>
        <v>155</v>
      </c>
      <c r="G254" s="1">
        <f t="shared" si="2"/>
        <v>402</v>
      </c>
    </row>
    <row r="255" spans="2:7" x14ac:dyDescent="0.2">
      <c r="B255" s="1">
        <f>data!B255</f>
        <v>11</v>
      </c>
      <c r="C255" s="1">
        <f>data!C255</f>
        <v>417</v>
      </c>
      <c r="D255" s="1">
        <f>data!D255</f>
        <v>54.58</v>
      </c>
      <c r="E255" s="1">
        <f t="shared" si="0"/>
        <v>98</v>
      </c>
      <c r="F255" s="1">
        <f t="shared" si="1"/>
        <v>44</v>
      </c>
      <c r="G255" s="1">
        <f t="shared" si="2"/>
        <v>384</v>
      </c>
    </row>
    <row r="256" spans="2:7" x14ac:dyDescent="0.2">
      <c r="B256" s="1">
        <f>data!B256</f>
        <v>6</v>
      </c>
      <c r="C256" s="1">
        <f>data!C256</f>
        <v>6</v>
      </c>
      <c r="D256" s="1">
        <f>data!D256</f>
        <v>87.5</v>
      </c>
      <c r="E256" s="1">
        <f t="shared" si="0"/>
        <v>284.5</v>
      </c>
      <c r="F256" s="1">
        <f t="shared" si="1"/>
        <v>552</v>
      </c>
      <c r="G256" s="1">
        <f t="shared" si="2"/>
        <v>117.5</v>
      </c>
    </row>
    <row r="257" spans="2:7" x14ac:dyDescent="0.2">
      <c r="B257" s="1">
        <f>data!B257</f>
        <v>5</v>
      </c>
      <c r="C257" s="1">
        <f>data!C257</f>
        <v>12</v>
      </c>
      <c r="D257" s="1">
        <f>data!D257</f>
        <v>86.36</v>
      </c>
      <c r="E257" s="1">
        <f t="shared" ref="E257:E511" si="3">_xlfn.RANK.AVG(B257,$B$2:$B$633,0)</f>
        <v>345</v>
      </c>
      <c r="F257" s="1">
        <f t="shared" ref="F257:F511" si="4">_xlfn.RANK.AVG(C257,$C$2:$C$633,0)</f>
        <v>481.5</v>
      </c>
      <c r="G257" s="1">
        <f t="shared" ref="G257:G511" si="5">_xlfn.RANK.AVG(D257,$D$2:$D$633,0)</f>
        <v>135</v>
      </c>
    </row>
    <row r="258" spans="2:7" x14ac:dyDescent="0.2">
      <c r="B258" s="1">
        <f>data!B258</f>
        <v>15</v>
      </c>
      <c r="C258" s="1">
        <f>data!C258</f>
        <v>507</v>
      </c>
      <c r="D258" s="1">
        <f>data!D258</f>
        <v>47.95</v>
      </c>
      <c r="E258" s="1">
        <f t="shared" si="3"/>
        <v>37.5</v>
      </c>
      <c r="F258" s="1">
        <f t="shared" si="4"/>
        <v>32</v>
      </c>
      <c r="G258" s="1">
        <f t="shared" si="5"/>
        <v>500</v>
      </c>
    </row>
    <row r="259" spans="2:7" x14ac:dyDescent="0.2">
      <c r="B259" s="1">
        <f>data!B259</f>
        <v>3</v>
      </c>
      <c r="C259" s="1">
        <f>data!C259</f>
        <v>455</v>
      </c>
      <c r="D259" s="1">
        <f>data!D259</f>
        <v>39.74</v>
      </c>
      <c r="E259" s="1">
        <f t="shared" si="3"/>
        <v>502</v>
      </c>
      <c r="F259" s="1">
        <f t="shared" si="4"/>
        <v>37</v>
      </c>
      <c r="G259" s="1">
        <f t="shared" si="5"/>
        <v>590</v>
      </c>
    </row>
    <row r="260" spans="2:7" x14ac:dyDescent="0.2">
      <c r="B260" s="1">
        <f>data!B260</f>
        <v>8</v>
      </c>
      <c r="C260" s="1">
        <f>data!C260</f>
        <v>82</v>
      </c>
      <c r="D260" s="1">
        <f>data!D260</f>
        <v>58.38</v>
      </c>
      <c r="E260" s="1">
        <f t="shared" si="3"/>
        <v>187.5</v>
      </c>
      <c r="F260" s="1">
        <f t="shared" si="4"/>
        <v>289</v>
      </c>
      <c r="G260" s="1">
        <f t="shared" si="5"/>
        <v>340</v>
      </c>
    </row>
    <row r="261" spans="2:7" x14ac:dyDescent="0.2">
      <c r="B261" s="1">
        <f>data!B261</f>
        <v>13</v>
      </c>
      <c r="C261" s="1">
        <f>data!C261</f>
        <v>268</v>
      </c>
      <c r="D261" s="1">
        <f>data!D261</f>
        <v>55.56</v>
      </c>
      <c r="E261" s="1">
        <f t="shared" si="3"/>
        <v>56</v>
      </c>
      <c r="F261" s="1">
        <f t="shared" si="4"/>
        <v>87.5</v>
      </c>
      <c r="G261" s="1">
        <f t="shared" si="5"/>
        <v>372</v>
      </c>
    </row>
    <row r="262" spans="2:7" x14ac:dyDescent="0.2">
      <c r="B262" s="1">
        <f>data!B262</f>
        <v>9</v>
      </c>
      <c r="C262" s="1">
        <f>data!C262</f>
        <v>89</v>
      </c>
      <c r="D262" s="1">
        <f>data!D262</f>
        <v>55.05</v>
      </c>
      <c r="E262" s="1">
        <f t="shared" si="3"/>
        <v>151.5</v>
      </c>
      <c r="F262" s="1">
        <f t="shared" si="4"/>
        <v>276</v>
      </c>
      <c r="G262" s="1">
        <f t="shared" si="5"/>
        <v>377</v>
      </c>
    </row>
    <row r="263" spans="2:7" x14ac:dyDescent="0.2">
      <c r="B263" s="1">
        <f>data!B263</f>
        <v>19</v>
      </c>
      <c r="C263" s="1">
        <f>data!C263</f>
        <v>643</v>
      </c>
      <c r="D263" s="1">
        <f>data!D263</f>
        <v>44.71</v>
      </c>
      <c r="E263" s="1">
        <f t="shared" si="3"/>
        <v>18</v>
      </c>
      <c r="F263" s="1">
        <f t="shared" si="4"/>
        <v>24</v>
      </c>
      <c r="G263" s="1">
        <f t="shared" si="5"/>
        <v>544</v>
      </c>
    </row>
    <row r="264" spans="2:7" x14ac:dyDescent="0.2">
      <c r="B264" s="1">
        <f>data!B264</f>
        <v>4</v>
      </c>
      <c r="C264" s="1">
        <f>data!C264</f>
        <v>11</v>
      </c>
      <c r="D264" s="1">
        <f>data!D264</f>
        <v>86.25</v>
      </c>
      <c r="E264" s="1">
        <f t="shared" si="3"/>
        <v>422.5</v>
      </c>
      <c r="F264" s="1">
        <f t="shared" si="4"/>
        <v>496</v>
      </c>
      <c r="G264" s="1">
        <f t="shared" si="5"/>
        <v>140</v>
      </c>
    </row>
    <row r="265" spans="2:7" x14ac:dyDescent="0.2">
      <c r="B265" s="1">
        <f>data!B265</f>
        <v>2</v>
      </c>
      <c r="C265" s="1">
        <f>data!C265</f>
        <v>24</v>
      </c>
      <c r="D265" s="1">
        <f>data!D265</f>
        <v>75</v>
      </c>
      <c r="E265" s="1">
        <f t="shared" si="3"/>
        <v>585.5</v>
      </c>
      <c r="F265" s="1">
        <f t="shared" si="4"/>
        <v>448</v>
      </c>
      <c r="G265" s="1">
        <f t="shared" si="5"/>
        <v>192</v>
      </c>
    </row>
    <row r="266" spans="2:7" x14ac:dyDescent="0.2">
      <c r="B266" s="1">
        <f>data!B266</f>
        <v>5</v>
      </c>
      <c r="C266" s="1">
        <f>data!C266</f>
        <v>355</v>
      </c>
      <c r="D266" s="1">
        <f>data!D266</f>
        <v>38.15</v>
      </c>
      <c r="E266" s="1">
        <f t="shared" si="3"/>
        <v>345</v>
      </c>
      <c r="F266" s="1">
        <f t="shared" si="4"/>
        <v>61.5</v>
      </c>
      <c r="G266" s="1">
        <f t="shared" si="5"/>
        <v>601</v>
      </c>
    </row>
    <row r="267" spans="2:7" x14ac:dyDescent="0.2">
      <c r="B267" s="1">
        <f>data!B267</f>
        <v>2</v>
      </c>
      <c r="C267" s="1">
        <f>data!C267</f>
        <v>106</v>
      </c>
      <c r="D267" s="1">
        <f>data!D267</f>
        <v>46.46</v>
      </c>
      <c r="E267" s="1">
        <f t="shared" si="3"/>
        <v>585.5</v>
      </c>
      <c r="F267" s="1">
        <f t="shared" si="4"/>
        <v>252.5</v>
      </c>
      <c r="G267" s="1">
        <f t="shared" si="5"/>
        <v>524.5</v>
      </c>
    </row>
    <row r="268" spans="2:7" x14ac:dyDescent="0.2">
      <c r="B268" s="1">
        <f>data!B268</f>
        <v>2</v>
      </c>
      <c r="C268" s="1">
        <f>data!C268</f>
        <v>6</v>
      </c>
      <c r="D268" s="1">
        <f>data!D268</f>
        <v>87.5</v>
      </c>
      <c r="E268" s="1">
        <f t="shared" si="3"/>
        <v>585.5</v>
      </c>
      <c r="F268" s="1">
        <f t="shared" si="4"/>
        <v>552</v>
      </c>
      <c r="G268" s="1">
        <f t="shared" si="5"/>
        <v>117.5</v>
      </c>
    </row>
    <row r="269" spans="2:7" x14ac:dyDescent="0.2">
      <c r="B269" s="1">
        <f>data!B269</f>
        <v>2</v>
      </c>
      <c r="C269" s="1">
        <f>data!C269</f>
        <v>114</v>
      </c>
      <c r="D269" s="1">
        <f>data!D269</f>
        <v>54.94</v>
      </c>
      <c r="E269" s="1">
        <f t="shared" si="3"/>
        <v>585.5</v>
      </c>
      <c r="F269" s="1">
        <f t="shared" si="4"/>
        <v>237</v>
      </c>
      <c r="G269" s="1">
        <f t="shared" si="5"/>
        <v>379</v>
      </c>
    </row>
    <row r="270" spans="2:7" x14ac:dyDescent="0.2">
      <c r="B270" s="1">
        <f>data!B270</f>
        <v>6</v>
      </c>
      <c r="C270" s="1">
        <f>data!C270</f>
        <v>1547</v>
      </c>
      <c r="D270" s="1">
        <f>data!D270</f>
        <v>47.04</v>
      </c>
      <c r="E270" s="1">
        <f t="shared" si="3"/>
        <v>284.5</v>
      </c>
      <c r="F270" s="1">
        <f t="shared" si="4"/>
        <v>4</v>
      </c>
      <c r="G270" s="1">
        <f t="shared" si="5"/>
        <v>512.5</v>
      </c>
    </row>
    <row r="271" spans="2:7" x14ac:dyDescent="0.2">
      <c r="B271" s="1">
        <f>data!B271</f>
        <v>2</v>
      </c>
      <c r="C271" s="1">
        <f>data!C271</f>
        <v>81</v>
      </c>
      <c r="D271" s="1">
        <f>data!D271</f>
        <v>66.11</v>
      </c>
      <c r="E271" s="1">
        <f t="shared" si="3"/>
        <v>585.5</v>
      </c>
      <c r="F271" s="1">
        <f t="shared" si="4"/>
        <v>292</v>
      </c>
      <c r="G271" s="1">
        <f t="shared" si="5"/>
        <v>235</v>
      </c>
    </row>
    <row r="272" spans="2:7" x14ac:dyDescent="0.2">
      <c r="B272" s="1">
        <f>data!B272</f>
        <v>22</v>
      </c>
      <c r="C272" s="1">
        <f>data!C272</f>
        <v>656</v>
      </c>
      <c r="D272" s="1">
        <f>data!D272</f>
        <v>50.27</v>
      </c>
      <c r="E272" s="1">
        <f t="shared" si="3"/>
        <v>10.5</v>
      </c>
      <c r="F272" s="1">
        <f t="shared" si="4"/>
        <v>22</v>
      </c>
      <c r="G272" s="1">
        <f t="shared" si="5"/>
        <v>457</v>
      </c>
    </row>
    <row r="273" spans="2:7" x14ac:dyDescent="0.2">
      <c r="B273" s="1">
        <f>data!B273</f>
        <v>4</v>
      </c>
      <c r="C273" s="1">
        <f>data!C273</f>
        <v>11</v>
      </c>
      <c r="D273" s="1">
        <f>data!D273</f>
        <v>83.08</v>
      </c>
      <c r="E273" s="1">
        <f t="shared" si="3"/>
        <v>422.5</v>
      </c>
      <c r="F273" s="1">
        <f t="shared" si="4"/>
        <v>496</v>
      </c>
      <c r="G273" s="1">
        <f t="shared" si="5"/>
        <v>154</v>
      </c>
    </row>
    <row r="274" spans="2:7" x14ac:dyDescent="0.2">
      <c r="B274" s="1">
        <f>data!B274</f>
        <v>11</v>
      </c>
      <c r="C274" s="1">
        <f>data!C274</f>
        <v>117</v>
      </c>
      <c r="D274" s="1">
        <f>data!D274</f>
        <v>55.68</v>
      </c>
      <c r="E274" s="1">
        <f t="shared" si="3"/>
        <v>98</v>
      </c>
      <c r="F274" s="1">
        <f t="shared" si="4"/>
        <v>232</v>
      </c>
      <c r="G274" s="1">
        <f t="shared" si="5"/>
        <v>371</v>
      </c>
    </row>
    <row r="275" spans="2:7" x14ac:dyDescent="0.2">
      <c r="B275" s="1">
        <f>data!B275</f>
        <v>4</v>
      </c>
      <c r="C275" s="1">
        <f>data!C275</f>
        <v>14</v>
      </c>
      <c r="D275" s="1">
        <f>data!D275</f>
        <v>77.05</v>
      </c>
      <c r="E275" s="1">
        <f t="shared" si="3"/>
        <v>422.5</v>
      </c>
      <c r="F275" s="1">
        <f t="shared" si="4"/>
        <v>464</v>
      </c>
      <c r="G275" s="1">
        <f t="shared" si="5"/>
        <v>184</v>
      </c>
    </row>
    <row r="276" spans="2:7" x14ac:dyDescent="0.2">
      <c r="B276" s="1">
        <f>data!B276</f>
        <v>6</v>
      </c>
      <c r="C276" s="1">
        <f>data!C276</f>
        <v>11</v>
      </c>
      <c r="D276" s="1">
        <f>data!D276</f>
        <v>82.26</v>
      </c>
      <c r="E276" s="1">
        <f t="shared" si="3"/>
        <v>284.5</v>
      </c>
      <c r="F276" s="1">
        <f t="shared" si="4"/>
        <v>496</v>
      </c>
      <c r="G276" s="1">
        <f t="shared" si="5"/>
        <v>159</v>
      </c>
    </row>
    <row r="277" spans="2:7" x14ac:dyDescent="0.2">
      <c r="B277" s="1">
        <f>data!B277</f>
        <v>27</v>
      </c>
      <c r="C277" s="1">
        <f>data!C277</f>
        <v>988</v>
      </c>
      <c r="D277" s="1">
        <f>data!D277</f>
        <v>46.33</v>
      </c>
      <c r="E277" s="1">
        <f t="shared" si="3"/>
        <v>6</v>
      </c>
      <c r="F277" s="1">
        <f t="shared" si="4"/>
        <v>9</v>
      </c>
      <c r="G277" s="1">
        <f t="shared" si="5"/>
        <v>527</v>
      </c>
    </row>
    <row r="278" spans="2:7" x14ac:dyDescent="0.2">
      <c r="B278" s="1">
        <f>data!B278</f>
        <v>22</v>
      </c>
      <c r="C278" s="1">
        <f>data!C278</f>
        <v>331</v>
      </c>
      <c r="D278" s="1">
        <f>data!D278</f>
        <v>47.46</v>
      </c>
      <c r="E278" s="1">
        <f t="shared" si="3"/>
        <v>10.5</v>
      </c>
      <c r="F278" s="1">
        <f t="shared" si="4"/>
        <v>68</v>
      </c>
      <c r="G278" s="1">
        <f t="shared" si="5"/>
        <v>505</v>
      </c>
    </row>
    <row r="279" spans="2:7" x14ac:dyDescent="0.2">
      <c r="B279" s="1">
        <f>data!B279</f>
        <v>5</v>
      </c>
      <c r="C279" s="1">
        <f>data!C279</f>
        <v>5</v>
      </c>
      <c r="D279" s="1">
        <f>data!D279</f>
        <v>91.38</v>
      </c>
      <c r="E279" s="1">
        <f t="shared" si="3"/>
        <v>345</v>
      </c>
      <c r="F279" s="1">
        <f t="shared" si="4"/>
        <v>595</v>
      </c>
      <c r="G279" s="1">
        <f t="shared" si="5"/>
        <v>32</v>
      </c>
    </row>
    <row r="280" spans="2:7" x14ac:dyDescent="0.2">
      <c r="B280" s="1">
        <f>data!B280</f>
        <v>24</v>
      </c>
      <c r="C280" s="1">
        <f>data!C280</f>
        <v>677</v>
      </c>
      <c r="D280" s="1">
        <f>data!D280</f>
        <v>47.15</v>
      </c>
      <c r="E280" s="1">
        <f t="shared" si="3"/>
        <v>7.5</v>
      </c>
      <c r="F280" s="1">
        <f t="shared" si="4"/>
        <v>20</v>
      </c>
      <c r="G280" s="1">
        <f t="shared" si="5"/>
        <v>508.5</v>
      </c>
    </row>
    <row r="281" spans="2:7" x14ac:dyDescent="0.2">
      <c r="B281" s="1">
        <f>data!B281</f>
        <v>20</v>
      </c>
      <c r="C281" s="1">
        <f>data!C281</f>
        <v>764</v>
      </c>
      <c r="D281" s="1">
        <f>data!D281</f>
        <v>47.09</v>
      </c>
      <c r="E281" s="1">
        <f t="shared" si="3"/>
        <v>15</v>
      </c>
      <c r="F281" s="1">
        <f t="shared" si="4"/>
        <v>16</v>
      </c>
      <c r="G281" s="1">
        <f t="shared" si="5"/>
        <v>510</v>
      </c>
    </row>
    <row r="282" spans="2:7" x14ac:dyDescent="0.2">
      <c r="B282" s="1">
        <f>data!B282</f>
        <v>4</v>
      </c>
      <c r="C282" s="1">
        <f>data!C282</f>
        <v>6</v>
      </c>
      <c r="D282" s="1">
        <f>data!D282</f>
        <v>88.68</v>
      </c>
      <c r="E282" s="1">
        <f t="shared" si="3"/>
        <v>422.5</v>
      </c>
      <c r="F282" s="1">
        <f t="shared" si="4"/>
        <v>552</v>
      </c>
      <c r="G282" s="1">
        <f t="shared" si="5"/>
        <v>92</v>
      </c>
    </row>
    <row r="283" spans="2:7" x14ac:dyDescent="0.2">
      <c r="B283" s="1">
        <f>data!B283</f>
        <v>4</v>
      </c>
      <c r="C283" s="1">
        <f>data!C283</f>
        <v>43</v>
      </c>
      <c r="D283" s="1">
        <f>data!D283</f>
        <v>68.150000000000006</v>
      </c>
      <c r="E283" s="1">
        <f t="shared" si="3"/>
        <v>422.5</v>
      </c>
      <c r="F283" s="1">
        <f t="shared" si="4"/>
        <v>397.5</v>
      </c>
      <c r="G283" s="1">
        <f t="shared" si="5"/>
        <v>224</v>
      </c>
    </row>
    <row r="284" spans="2:7" x14ac:dyDescent="0.2">
      <c r="B284" s="1">
        <f>data!B284</f>
        <v>10</v>
      </c>
      <c r="C284" s="1">
        <f>data!C284</f>
        <v>237</v>
      </c>
      <c r="D284" s="1">
        <f>data!D284</f>
        <v>39.07</v>
      </c>
      <c r="E284" s="1">
        <f t="shared" si="3"/>
        <v>123.5</v>
      </c>
      <c r="F284" s="1">
        <f t="shared" si="4"/>
        <v>104</v>
      </c>
      <c r="G284" s="1">
        <f t="shared" si="5"/>
        <v>593</v>
      </c>
    </row>
    <row r="285" spans="2:7" x14ac:dyDescent="0.2">
      <c r="B285" s="1">
        <f>data!B285</f>
        <v>2</v>
      </c>
      <c r="C285" s="1">
        <f>data!C285</f>
        <v>6</v>
      </c>
      <c r="D285" s="1">
        <f>data!D285</f>
        <v>88.46</v>
      </c>
      <c r="E285" s="1">
        <f t="shared" si="3"/>
        <v>585.5</v>
      </c>
      <c r="F285" s="1">
        <f t="shared" si="4"/>
        <v>552</v>
      </c>
      <c r="G285" s="1">
        <f t="shared" si="5"/>
        <v>101.5</v>
      </c>
    </row>
    <row r="286" spans="2:7" x14ac:dyDescent="0.2">
      <c r="B286" s="1">
        <f>data!B286</f>
        <v>31</v>
      </c>
      <c r="C286" s="1">
        <f>data!C286</f>
        <v>2732</v>
      </c>
      <c r="D286" s="1">
        <f>data!D286</f>
        <v>45.15</v>
      </c>
      <c r="E286" s="1">
        <f t="shared" si="3"/>
        <v>2</v>
      </c>
      <c r="F286" s="1">
        <f t="shared" si="4"/>
        <v>1</v>
      </c>
      <c r="G286" s="1">
        <f t="shared" si="5"/>
        <v>537</v>
      </c>
    </row>
    <row r="287" spans="2:7" x14ac:dyDescent="0.2">
      <c r="B287" s="1">
        <f>data!B287</f>
        <v>6</v>
      </c>
      <c r="C287" s="1">
        <f>data!C287</f>
        <v>18</v>
      </c>
      <c r="D287" s="1">
        <f>data!D287</f>
        <v>88.08</v>
      </c>
      <c r="E287" s="1">
        <f t="shared" si="3"/>
        <v>284.5</v>
      </c>
      <c r="F287" s="1">
        <f t="shared" si="4"/>
        <v>455.5</v>
      </c>
      <c r="G287" s="1">
        <f t="shared" si="5"/>
        <v>109</v>
      </c>
    </row>
    <row r="288" spans="2:7" x14ac:dyDescent="0.2">
      <c r="B288" s="1">
        <f>data!B288</f>
        <v>30</v>
      </c>
      <c r="C288" s="1">
        <f>data!C288</f>
        <v>1235</v>
      </c>
      <c r="D288" s="1">
        <f>data!D288</f>
        <v>55.48</v>
      </c>
      <c r="E288" s="1">
        <f t="shared" si="3"/>
        <v>3.5</v>
      </c>
      <c r="F288" s="1">
        <f t="shared" si="4"/>
        <v>6</v>
      </c>
      <c r="G288" s="1">
        <f t="shared" si="5"/>
        <v>374</v>
      </c>
    </row>
    <row r="289" spans="2:7" x14ac:dyDescent="0.2">
      <c r="B289" s="1">
        <f>data!B289</f>
        <v>4</v>
      </c>
      <c r="C289" s="1">
        <f>data!C289</f>
        <v>6</v>
      </c>
      <c r="D289" s="1">
        <f>data!D289</f>
        <v>89.66</v>
      </c>
      <c r="E289" s="1">
        <f t="shared" si="3"/>
        <v>422.5</v>
      </c>
      <c r="F289" s="1">
        <f t="shared" si="4"/>
        <v>552</v>
      </c>
      <c r="G289" s="1">
        <f t="shared" si="5"/>
        <v>73</v>
      </c>
    </row>
    <row r="290" spans="2:7" x14ac:dyDescent="0.2">
      <c r="B290" s="1">
        <f>data!B290</f>
        <v>28</v>
      </c>
      <c r="C290" s="1">
        <f>data!C290</f>
        <v>925</v>
      </c>
      <c r="D290" s="1">
        <f>data!D290</f>
        <v>40.01</v>
      </c>
      <c r="E290" s="1">
        <f t="shared" si="3"/>
        <v>5</v>
      </c>
      <c r="F290" s="1">
        <f t="shared" si="4"/>
        <v>12</v>
      </c>
      <c r="G290" s="1">
        <f t="shared" si="5"/>
        <v>589</v>
      </c>
    </row>
    <row r="291" spans="2:7" x14ac:dyDescent="0.2">
      <c r="B291" s="1">
        <f>data!B291</f>
        <v>10</v>
      </c>
      <c r="C291" s="1">
        <f>data!C291</f>
        <v>192</v>
      </c>
      <c r="D291" s="1">
        <f>data!D291</f>
        <v>35.79</v>
      </c>
      <c r="E291" s="1">
        <f t="shared" si="3"/>
        <v>123.5</v>
      </c>
      <c r="F291" s="1">
        <f t="shared" si="4"/>
        <v>146.5</v>
      </c>
      <c r="G291" s="1">
        <f t="shared" si="5"/>
        <v>617</v>
      </c>
    </row>
    <row r="292" spans="2:7" x14ac:dyDescent="0.2">
      <c r="B292" s="1">
        <f>data!B292</f>
        <v>7</v>
      </c>
      <c r="C292" s="1">
        <f>data!C292</f>
        <v>11</v>
      </c>
      <c r="D292" s="1">
        <f>data!D292</f>
        <v>86.9</v>
      </c>
      <c r="E292" s="1">
        <f t="shared" si="3"/>
        <v>234.5</v>
      </c>
      <c r="F292" s="1">
        <f t="shared" si="4"/>
        <v>496</v>
      </c>
      <c r="G292" s="1">
        <f t="shared" si="5"/>
        <v>132</v>
      </c>
    </row>
    <row r="293" spans="2:7" x14ac:dyDescent="0.2">
      <c r="B293" s="1">
        <f>data!B293</f>
        <v>16</v>
      </c>
      <c r="C293" s="1">
        <f>data!C293</f>
        <v>683</v>
      </c>
      <c r="D293" s="1">
        <f>data!D293</f>
        <v>43.08</v>
      </c>
      <c r="E293" s="1">
        <f t="shared" si="3"/>
        <v>29</v>
      </c>
      <c r="F293" s="1">
        <f t="shared" si="4"/>
        <v>19</v>
      </c>
      <c r="G293" s="1">
        <f t="shared" si="5"/>
        <v>559</v>
      </c>
    </row>
    <row r="294" spans="2:7" x14ac:dyDescent="0.2">
      <c r="B294" s="1">
        <f>data!B294</f>
        <v>16</v>
      </c>
      <c r="C294" s="1">
        <f>data!C294</f>
        <v>596</v>
      </c>
      <c r="D294" s="1">
        <f>data!D294</f>
        <v>41.11</v>
      </c>
      <c r="E294" s="1">
        <f t="shared" si="3"/>
        <v>29</v>
      </c>
      <c r="F294" s="1">
        <f t="shared" si="4"/>
        <v>28</v>
      </c>
      <c r="G294" s="1">
        <f t="shared" si="5"/>
        <v>576</v>
      </c>
    </row>
    <row r="295" spans="2:7" x14ac:dyDescent="0.2">
      <c r="B295" s="1">
        <f>data!B295</f>
        <v>16</v>
      </c>
      <c r="C295" s="1">
        <f>data!C295</f>
        <v>170</v>
      </c>
      <c r="D295" s="1">
        <f>data!D295</f>
        <v>88.19</v>
      </c>
      <c r="E295" s="1">
        <f t="shared" si="3"/>
        <v>29</v>
      </c>
      <c r="F295" s="1">
        <f t="shared" si="4"/>
        <v>169.5</v>
      </c>
      <c r="G295" s="1">
        <f t="shared" si="5"/>
        <v>106</v>
      </c>
    </row>
    <row r="296" spans="2:7" x14ac:dyDescent="0.2">
      <c r="B296" s="1">
        <f>data!B296</f>
        <v>3</v>
      </c>
      <c r="C296" s="1">
        <f>data!C296</f>
        <v>64</v>
      </c>
      <c r="D296" s="1">
        <f>data!D296</f>
        <v>65.59</v>
      </c>
      <c r="E296" s="1">
        <f t="shared" si="3"/>
        <v>502</v>
      </c>
      <c r="F296" s="1">
        <f t="shared" si="4"/>
        <v>338.5</v>
      </c>
      <c r="G296" s="1">
        <f t="shared" si="5"/>
        <v>241</v>
      </c>
    </row>
    <row r="297" spans="2:7" x14ac:dyDescent="0.2">
      <c r="B297" s="1">
        <f>data!B297</f>
        <v>8</v>
      </c>
      <c r="C297" s="1">
        <f>data!C297</f>
        <v>174</v>
      </c>
      <c r="D297" s="1">
        <f>data!D297</f>
        <v>46.3</v>
      </c>
      <c r="E297" s="1">
        <f t="shared" si="3"/>
        <v>187.5</v>
      </c>
      <c r="F297" s="1">
        <f t="shared" si="4"/>
        <v>166</v>
      </c>
      <c r="G297" s="1">
        <f t="shared" si="5"/>
        <v>528</v>
      </c>
    </row>
    <row r="298" spans="2:7" x14ac:dyDescent="0.2">
      <c r="B298" s="1">
        <f>data!B298</f>
        <v>2</v>
      </c>
      <c r="C298" s="1">
        <f>data!C298</f>
        <v>7</v>
      </c>
      <c r="D298" s="1">
        <f>data!D298</f>
        <v>86.54</v>
      </c>
      <c r="E298" s="1">
        <f t="shared" si="3"/>
        <v>585.5</v>
      </c>
      <c r="F298" s="1">
        <f t="shared" si="4"/>
        <v>524.5</v>
      </c>
      <c r="G298" s="1">
        <f t="shared" si="5"/>
        <v>133</v>
      </c>
    </row>
    <row r="299" spans="2:7" x14ac:dyDescent="0.2">
      <c r="B299" s="1">
        <f>data!B299</f>
        <v>12</v>
      </c>
      <c r="C299" s="1">
        <f>data!C299</f>
        <v>351</v>
      </c>
      <c r="D299" s="1">
        <f>data!D299</f>
        <v>36.76</v>
      </c>
      <c r="E299" s="1">
        <f t="shared" si="3"/>
        <v>74.5</v>
      </c>
      <c r="F299" s="1">
        <f t="shared" si="4"/>
        <v>63</v>
      </c>
      <c r="G299" s="1">
        <f t="shared" si="5"/>
        <v>613.5</v>
      </c>
    </row>
    <row r="300" spans="2:7" x14ac:dyDescent="0.2">
      <c r="B300" s="1">
        <f>data!B300</f>
        <v>7</v>
      </c>
      <c r="C300" s="1">
        <f>data!C300</f>
        <v>215</v>
      </c>
      <c r="D300" s="1">
        <f>data!D300</f>
        <v>36.76</v>
      </c>
      <c r="E300" s="1">
        <f t="shared" si="3"/>
        <v>234.5</v>
      </c>
      <c r="F300" s="1">
        <f t="shared" si="4"/>
        <v>122.5</v>
      </c>
      <c r="G300" s="1">
        <f t="shared" si="5"/>
        <v>613.5</v>
      </c>
    </row>
    <row r="301" spans="2:7" x14ac:dyDescent="0.2">
      <c r="B301" s="1">
        <f>data!B301</f>
        <v>9</v>
      </c>
      <c r="C301" s="1">
        <f>data!C301</f>
        <v>218</v>
      </c>
      <c r="D301" s="1">
        <f>data!D301</f>
        <v>34.340000000000003</v>
      </c>
      <c r="E301" s="1">
        <f t="shared" si="3"/>
        <v>151.5</v>
      </c>
      <c r="F301" s="1">
        <f t="shared" si="4"/>
        <v>119</v>
      </c>
      <c r="G301" s="1">
        <f t="shared" si="5"/>
        <v>622</v>
      </c>
    </row>
    <row r="302" spans="2:7" x14ac:dyDescent="0.2">
      <c r="B302" s="1">
        <f>data!B302</f>
        <v>6</v>
      </c>
      <c r="C302" s="1">
        <f>data!C302</f>
        <v>117</v>
      </c>
      <c r="D302" s="1">
        <f>data!D302</f>
        <v>46.82</v>
      </c>
      <c r="E302" s="1">
        <f t="shared" si="3"/>
        <v>284.5</v>
      </c>
      <c r="F302" s="1">
        <f t="shared" si="4"/>
        <v>232</v>
      </c>
      <c r="G302" s="1">
        <f t="shared" si="5"/>
        <v>516</v>
      </c>
    </row>
    <row r="303" spans="2:7" x14ac:dyDescent="0.2">
      <c r="B303" s="1">
        <f>data!B303</f>
        <v>12</v>
      </c>
      <c r="C303" s="1">
        <f>data!C303</f>
        <v>291</v>
      </c>
      <c r="D303" s="1">
        <f>data!D303</f>
        <v>32.01</v>
      </c>
      <c r="E303" s="1">
        <f t="shared" si="3"/>
        <v>74.5</v>
      </c>
      <c r="F303" s="1">
        <f t="shared" si="4"/>
        <v>78</v>
      </c>
      <c r="G303" s="1">
        <f t="shared" si="5"/>
        <v>629</v>
      </c>
    </row>
    <row r="304" spans="2:7" x14ac:dyDescent="0.2">
      <c r="B304" s="1">
        <f>data!B304</f>
        <v>12</v>
      </c>
      <c r="C304" s="1">
        <f>data!C304</f>
        <v>222</v>
      </c>
      <c r="D304" s="1">
        <f>data!D304</f>
        <v>44.91</v>
      </c>
      <c r="E304" s="1">
        <f t="shared" si="3"/>
        <v>74.5</v>
      </c>
      <c r="F304" s="1">
        <f t="shared" si="4"/>
        <v>116</v>
      </c>
      <c r="G304" s="1">
        <f t="shared" si="5"/>
        <v>540</v>
      </c>
    </row>
    <row r="305" spans="2:7" x14ac:dyDescent="0.2">
      <c r="B305" s="1">
        <f>data!B305</f>
        <v>14</v>
      </c>
      <c r="C305" s="1">
        <f>data!C305</f>
        <v>379</v>
      </c>
      <c r="D305" s="1">
        <f>data!D305</f>
        <v>51.03</v>
      </c>
      <c r="E305" s="1">
        <f t="shared" si="3"/>
        <v>46</v>
      </c>
      <c r="F305" s="1">
        <f t="shared" si="4"/>
        <v>54</v>
      </c>
      <c r="G305" s="1">
        <f t="shared" si="5"/>
        <v>442</v>
      </c>
    </row>
    <row r="306" spans="2:7" x14ac:dyDescent="0.2">
      <c r="B306" s="1">
        <f>data!B306</f>
        <v>11</v>
      </c>
      <c r="C306" s="1">
        <f>data!C306</f>
        <v>268</v>
      </c>
      <c r="D306" s="1">
        <f>data!D306</f>
        <v>45.64</v>
      </c>
      <c r="E306" s="1">
        <f t="shared" si="3"/>
        <v>98</v>
      </c>
      <c r="F306" s="1">
        <f t="shared" si="4"/>
        <v>87.5</v>
      </c>
      <c r="G306" s="1">
        <f t="shared" si="5"/>
        <v>534</v>
      </c>
    </row>
    <row r="307" spans="2:7" x14ac:dyDescent="0.2">
      <c r="B307" s="1">
        <f>data!B307</f>
        <v>13</v>
      </c>
      <c r="C307" s="1">
        <f>data!C307</f>
        <v>269</v>
      </c>
      <c r="D307" s="1">
        <f>data!D307</f>
        <v>49.63</v>
      </c>
      <c r="E307" s="1">
        <f t="shared" si="3"/>
        <v>56</v>
      </c>
      <c r="F307" s="1">
        <f t="shared" si="4"/>
        <v>85.5</v>
      </c>
      <c r="G307" s="1">
        <f t="shared" si="5"/>
        <v>470.5</v>
      </c>
    </row>
    <row r="308" spans="2:7" x14ac:dyDescent="0.2">
      <c r="B308" s="1">
        <f>data!B308</f>
        <v>12</v>
      </c>
      <c r="C308" s="1">
        <f>data!C308</f>
        <v>284</v>
      </c>
      <c r="D308" s="1">
        <f>data!D308</f>
        <v>35.159999999999997</v>
      </c>
      <c r="E308" s="1">
        <f t="shared" si="3"/>
        <v>74.5</v>
      </c>
      <c r="F308" s="1">
        <f t="shared" si="4"/>
        <v>79</v>
      </c>
      <c r="G308" s="1">
        <f t="shared" si="5"/>
        <v>619</v>
      </c>
    </row>
    <row r="309" spans="2:7" x14ac:dyDescent="0.2">
      <c r="B309" s="1">
        <f>data!B309</f>
        <v>11</v>
      </c>
      <c r="C309" s="1">
        <f>data!C309</f>
        <v>216</v>
      </c>
      <c r="D309" s="1">
        <f>data!D309</f>
        <v>37.57</v>
      </c>
      <c r="E309" s="1">
        <f t="shared" si="3"/>
        <v>98</v>
      </c>
      <c r="F309" s="1">
        <f t="shared" si="4"/>
        <v>121</v>
      </c>
      <c r="G309" s="1">
        <f t="shared" si="5"/>
        <v>607</v>
      </c>
    </row>
    <row r="310" spans="2:7" x14ac:dyDescent="0.2">
      <c r="B310" s="1">
        <f>data!B310</f>
        <v>6</v>
      </c>
      <c r="C310" s="1">
        <f>data!C310</f>
        <v>106</v>
      </c>
      <c r="D310" s="1">
        <f>data!D310</f>
        <v>47.52</v>
      </c>
      <c r="E310" s="1">
        <f t="shared" si="3"/>
        <v>284.5</v>
      </c>
      <c r="F310" s="1">
        <f t="shared" si="4"/>
        <v>252.5</v>
      </c>
      <c r="G310" s="1">
        <f t="shared" si="5"/>
        <v>503.5</v>
      </c>
    </row>
    <row r="311" spans="2:7" x14ac:dyDescent="0.2">
      <c r="B311" s="1">
        <f>data!B311</f>
        <v>12</v>
      </c>
      <c r="C311" s="1">
        <f>data!C311</f>
        <v>342</v>
      </c>
      <c r="D311" s="1">
        <f>data!D311</f>
        <v>33.979999999999997</v>
      </c>
      <c r="E311" s="1">
        <f t="shared" si="3"/>
        <v>74.5</v>
      </c>
      <c r="F311" s="1">
        <f t="shared" si="4"/>
        <v>65</v>
      </c>
      <c r="G311" s="1">
        <f t="shared" si="5"/>
        <v>626</v>
      </c>
    </row>
    <row r="312" spans="2:7" x14ac:dyDescent="0.2">
      <c r="B312" s="1">
        <f>data!B312</f>
        <v>11</v>
      </c>
      <c r="C312" s="1">
        <f>data!C312</f>
        <v>269</v>
      </c>
      <c r="D312" s="1">
        <f>data!D312</f>
        <v>36.85</v>
      </c>
      <c r="E312" s="1">
        <f t="shared" si="3"/>
        <v>98</v>
      </c>
      <c r="F312" s="1">
        <f t="shared" si="4"/>
        <v>85.5</v>
      </c>
      <c r="G312" s="1">
        <f t="shared" si="5"/>
        <v>612</v>
      </c>
    </row>
    <row r="313" spans="2:7" x14ac:dyDescent="0.2">
      <c r="B313" s="1">
        <f>data!B313</f>
        <v>10</v>
      </c>
      <c r="C313" s="1">
        <f>data!C313</f>
        <v>261</v>
      </c>
      <c r="D313" s="1">
        <f>data!D313</f>
        <v>39.159999999999997</v>
      </c>
      <c r="E313" s="1">
        <f t="shared" si="3"/>
        <v>123.5</v>
      </c>
      <c r="F313" s="1">
        <f t="shared" si="4"/>
        <v>90</v>
      </c>
      <c r="G313" s="1">
        <f t="shared" si="5"/>
        <v>591</v>
      </c>
    </row>
    <row r="314" spans="2:7" x14ac:dyDescent="0.2">
      <c r="B314" s="1">
        <f>data!B314</f>
        <v>22</v>
      </c>
      <c r="C314" s="1">
        <f>data!C314</f>
        <v>489</v>
      </c>
      <c r="D314" s="1">
        <f>data!D314</f>
        <v>41.79</v>
      </c>
      <c r="E314" s="1">
        <f t="shared" si="3"/>
        <v>10.5</v>
      </c>
      <c r="F314" s="1">
        <f t="shared" si="4"/>
        <v>33</v>
      </c>
      <c r="G314" s="1">
        <f t="shared" si="5"/>
        <v>567.5</v>
      </c>
    </row>
    <row r="315" spans="2:7" x14ac:dyDescent="0.2">
      <c r="B315" s="1">
        <f>data!B315</f>
        <v>7</v>
      </c>
      <c r="C315" s="1">
        <f>data!C315</f>
        <v>82</v>
      </c>
      <c r="D315" s="1">
        <f>data!D315</f>
        <v>59.61</v>
      </c>
      <c r="E315" s="1">
        <f t="shared" si="3"/>
        <v>234.5</v>
      </c>
      <c r="F315" s="1">
        <f t="shared" si="4"/>
        <v>289</v>
      </c>
      <c r="G315" s="1">
        <f t="shared" si="5"/>
        <v>312</v>
      </c>
    </row>
    <row r="316" spans="2:7" x14ac:dyDescent="0.2">
      <c r="B316" s="1">
        <f>data!B316</f>
        <v>9</v>
      </c>
      <c r="C316" s="1">
        <f>data!C316</f>
        <v>179</v>
      </c>
      <c r="D316" s="1">
        <f>data!D316</f>
        <v>47.97</v>
      </c>
      <c r="E316" s="1">
        <f t="shared" si="3"/>
        <v>151.5</v>
      </c>
      <c r="F316" s="1">
        <f t="shared" si="4"/>
        <v>160.5</v>
      </c>
      <c r="G316" s="1">
        <f t="shared" si="5"/>
        <v>499</v>
      </c>
    </row>
    <row r="317" spans="2:7" x14ac:dyDescent="0.2">
      <c r="B317" s="1">
        <f>data!B317</f>
        <v>2</v>
      </c>
      <c r="C317" s="1">
        <f>data!C317</f>
        <v>6</v>
      </c>
      <c r="D317" s="1">
        <f>data!D317</f>
        <v>89.47</v>
      </c>
      <c r="E317" s="1">
        <f t="shared" si="3"/>
        <v>585.5</v>
      </c>
      <c r="F317" s="1">
        <f t="shared" si="4"/>
        <v>552</v>
      </c>
      <c r="G317" s="1">
        <f t="shared" si="5"/>
        <v>75.5</v>
      </c>
    </row>
    <row r="318" spans="2:7" x14ac:dyDescent="0.2">
      <c r="B318" s="1">
        <f>data!B318</f>
        <v>2</v>
      </c>
      <c r="C318" s="1">
        <f>data!C318</f>
        <v>70</v>
      </c>
      <c r="D318" s="1">
        <f>data!D318</f>
        <v>64.290000000000006</v>
      </c>
      <c r="E318" s="1">
        <f t="shared" si="3"/>
        <v>585.5</v>
      </c>
      <c r="F318" s="1">
        <f t="shared" si="4"/>
        <v>321</v>
      </c>
      <c r="G318" s="1">
        <f t="shared" si="5"/>
        <v>254</v>
      </c>
    </row>
    <row r="319" spans="2:7" x14ac:dyDescent="0.2">
      <c r="B319" s="1">
        <f>data!B319</f>
        <v>3</v>
      </c>
      <c r="C319" s="1">
        <f>data!C319</f>
        <v>49</v>
      </c>
      <c r="D319" s="1">
        <f>data!D319</f>
        <v>68.59</v>
      </c>
      <c r="E319" s="1">
        <f t="shared" si="3"/>
        <v>502</v>
      </c>
      <c r="F319" s="1">
        <f t="shared" si="4"/>
        <v>380.5</v>
      </c>
      <c r="G319" s="1">
        <f t="shared" si="5"/>
        <v>221</v>
      </c>
    </row>
    <row r="320" spans="2:7" x14ac:dyDescent="0.2">
      <c r="B320" s="1">
        <f>data!B320</f>
        <v>6</v>
      </c>
      <c r="C320" s="1">
        <f>data!C320</f>
        <v>49</v>
      </c>
      <c r="D320" s="1">
        <f>data!D320</f>
        <v>68.790000000000006</v>
      </c>
      <c r="E320" s="1">
        <f t="shared" si="3"/>
        <v>284.5</v>
      </c>
      <c r="F320" s="1">
        <f t="shared" si="4"/>
        <v>380.5</v>
      </c>
      <c r="G320" s="1">
        <f t="shared" si="5"/>
        <v>220</v>
      </c>
    </row>
    <row r="321" spans="2:7" x14ac:dyDescent="0.2">
      <c r="B321" s="1">
        <f>data!B321</f>
        <v>5</v>
      </c>
      <c r="C321" s="1">
        <f>data!C321</f>
        <v>8</v>
      </c>
      <c r="D321" s="1">
        <f>data!D321</f>
        <v>89.04</v>
      </c>
      <c r="E321" s="1">
        <f t="shared" si="3"/>
        <v>345</v>
      </c>
      <c r="F321" s="1">
        <f t="shared" si="4"/>
        <v>515</v>
      </c>
      <c r="G321" s="1">
        <f t="shared" si="5"/>
        <v>81</v>
      </c>
    </row>
    <row r="322" spans="2:7" x14ac:dyDescent="0.2">
      <c r="B322" s="1">
        <f>data!B322</f>
        <v>8</v>
      </c>
      <c r="C322" s="1">
        <f>data!C322</f>
        <v>35</v>
      </c>
      <c r="D322" s="1">
        <f>data!D322</f>
        <v>80.77</v>
      </c>
      <c r="E322" s="1">
        <f t="shared" si="3"/>
        <v>187.5</v>
      </c>
      <c r="F322" s="1">
        <f t="shared" si="4"/>
        <v>425</v>
      </c>
      <c r="G322" s="1">
        <f t="shared" si="5"/>
        <v>166</v>
      </c>
    </row>
    <row r="323" spans="2:7" x14ac:dyDescent="0.2">
      <c r="B323" s="1">
        <f>data!B323</f>
        <v>3</v>
      </c>
      <c r="C323" s="1">
        <f>data!C323</f>
        <v>31</v>
      </c>
      <c r="D323" s="1">
        <f>data!D323</f>
        <v>69.900000000000006</v>
      </c>
      <c r="E323" s="1">
        <f t="shared" si="3"/>
        <v>502</v>
      </c>
      <c r="F323" s="1">
        <f t="shared" si="4"/>
        <v>434</v>
      </c>
      <c r="G323" s="1">
        <f t="shared" si="5"/>
        <v>209</v>
      </c>
    </row>
    <row r="324" spans="2:7" x14ac:dyDescent="0.2">
      <c r="B324" s="1">
        <f>data!B324</f>
        <v>4</v>
      </c>
      <c r="C324" s="1">
        <f>data!C324</f>
        <v>153</v>
      </c>
      <c r="D324" s="1">
        <f>data!D324</f>
        <v>38.06</v>
      </c>
      <c r="E324" s="1">
        <f t="shared" si="3"/>
        <v>422.5</v>
      </c>
      <c r="F324" s="1">
        <f t="shared" si="4"/>
        <v>189</v>
      </c>
      <c r="G324" s="1">
        <f t="shared" si="5"/>
        <v>602</v>
      </c>
    </row>
    <row r="325" spans="2:7" x14ac:dyDescent="0.2">
      <c r="B325" s="1">
        <f>data!B325</f>
        <v>5</v>
      </c>
      <c r="C325" s="1">
        <f>data!C325</f>
        <v>204</v>
      </c>
      <c r="D325" s="1">
        <f>data!D325</f>
        <v>40.700000000000003</v>
      </c>
      <c r="E325" s="1">
        <f t="shared" si="3"/>
        <v>345</v>
      </c>
      <c r="F325" s="1">
        <f t="shared" si="4"/>
        <v>133.5</v>
      </c>
      <c r="G325" s="1">
        <f t="shared" si="5"/>
        <v>582</v>
      </c>
    </row>
    <row r="326" spans="2:7" x14ac:dyDescent="0.2">
      <c r="B326" s="1">
        <f>data!B326</f>
        <v>30</v>
      </c>
      <c r="C326" s="1">
        <f>data!C326</f>
        <v>974</v>
      </c>
      <c r="D326" s="1">
        <f>data!D326</f>
        <v>36.090000000000003</v>
      </c>
      <c r="E326" s="1">
        <f t="shared" si="3"/>
        <v>3.5</v>
      </c>
      <c r="F326" s="1">
        <f t="shared" si="4"/>
        <v>10</v>
      </c>
      <c r="G326" s="1">
        <f t="shared" si="5"/>
        <v>616</v>
      </c>
    </row>
    <row r="327" spans="2:7" x14ac:dyDescent="0.2">
      <c r="B327" s="1">
        <f>data!B327</f>
        <v>15</v>
      </c>
      <c r="C327" s="1">
        <f>data!C327</f>
        <v>429</v>
      </c>
      <c r="D327" s="1">
        <f>data!D327</f>
        <v>47.56</v>
      </c>
      <c r="E327" s="1">
        <f t="shared" si="3"/>
        <v>37.5</v>
      </c>
      <c r="F327" s="1">
        <f t="shared" si="4"/>
        <v>40</v>
      </c>
      <c r="G327" s="1">
        <f t="shared" si="5"/>
        <v>502</v>
      </c>
    </row>
    <row r="328" spans="2:7" x14ac:dyDescent="0.2">
      <c r="B328" s="1">
        <f>data!B328</f>
        <v>12</v>
      </c>
      <c r="C328" s="1">
        <f>data!C328</f>
        <v>200</v>
      </c>
      <c r="D328" s="1">
        <f>data!D328</f>
        <v>39.020000000000003</v>
      </c>
      <c r="E328" s="1">
        <f t="shared" si="3"/>
        <v>74.5</v>
      </c>
      <c r="F328" s="1">
        <f t="shared" si="4"/>
        <v>137</v>
      </c>
      <c r="G328" s="1">
        <f t="shared" si="5"/>
        <v>594</v>
      </c>
    </row>
    <row r="329" spans="2:7" x14ac:dyDescent="0.2">
      <c r="B329" s="1">
        <f>data!B329</f>
        <v>4</v>
      </c>
      <c r="C329" s="1">
        <f>data!C329</f>
        <v>249</v>
      </c>
      <c r="D329" s="1">
        <f>data!D329</f>
        <v>43.02</v>
      </c>
      <c r="E329" s="1">
        <f t="shared" si="3"/>
        <v>422.5</v>
      </c>
      <c r="F329" s="1">
        <f t="shared" si="4"/>
        <v>96</v>
      </c>
      <c r="G329" s="1">
        <f t="shared" si="5"/>
        <v>561</v>
      </c>
    </row>
    <row r="330" spans="2:7" x14ac:dyDescent="0.2">
      <c r="B330" s="1">
        <f>data!B330</f>
        <v>2</v>
      </c>
      <c r="C330" s="1">
        <f>data!C330</f>
        <v>6</v>
      </c>
      <c r="D330" s="1">
        <f>data!D330</f>
        <v>88.46</v>
      </c>
      <c r="E330" s="1">
        <f t="shared" si="3"/>
        <v>585.5</v>
      </c>
      <c r="F330" s="1">
        <f t="shared" si="4"/>
        <v>552</v>
      </c>
      <c r="G330" s="1">
        <f t="shared" si="5"/>
        <v>101.5</v>
      </c>
    </row>
    <row r="331" spans="2:7" x14ac:dyDescent="0.2">
      <c r="B331" s="1">
        <f>data!B331</f>
        <v>8</v>
      </c>
      <c r="C331" s="1">
        <f>data!C331</f>
        <v>168</v>
      </c>
      <c r="D331" s="1">
        <f>data!D331</f>
        <v>50.88</v>
      </c>
      <c r="E331" s="1">
        <f t="shared" si="3"/>
        <v>187.5</v>
      </c>
      <c r="F331" s="1">
        <f t="shared" si="4"/>
        <v>173</v>
      </c>
      <c r="G331" s="1">
        <f t="shared" si="5"/>
        <v>444</v>
      </c>
    </row>
    <row r="332" spans="2:7" x14ac:dyDescent="0.2">
      <c r="B332" s="1">
        <f>data!B332</f>
        <v>3</v>
      </c>
      <c r="C332" s="1">
        <f>data!C332</f>
        <v>173</v>
      </c>
      <c r="D332" s="1">
        <f>data!D332</f>
        <v>38.65</v>
      </c>
      <c r="E332" s="1">
        <f t="shared" si="3"/>
        <v>502</v>
      </c>
      <c r="F332" s="1">
        <f t="shared" si="4"/>
        <v>167</v>
      </c>
      <c r="G332" s="1">
        <f t="shared" si="5"/>
        <v>597</v>
      </c>
    </row>
    <row r="333" spans="2:7" x14ac:dyDescent="0.2">
      <c r="B333" s="1">
        <f>data!B333</f>
        <v>8</v>
      </c>
      <c r="C333" s="1">
        <f>data!C333</f>
        <v>214</v>
      </c>
      <c r="D333" s="1">
        <f>data!D333</f>
        <v>36.869999999999997</v>
      </c>
      <c r="E333" s="1">
        <f t="shared" si="3"/>
        <v>187.5</v>
      </c>
      <c r="F333" s="1">
        <f t="shared" si="4"/>
        <v>124</v>
      </c>
      <c r="G333" s="1">
        <f t="shared" si="5"/>
        <v>611</v>
      </c>
    </row>
    <row r="334" spans="2:7" x14ac:dyDescent="0.2">
      <c r="B334" s="1">
        <f>data!B334</f>
        <v>10</v>
      </c>
      <c r="C334" s="1">
        <f>data!C334</f>
        <v>243</v>
      </c>
      <c r="D334" s="1">
        <f>data!D334</f>
        <v>45.76</v>
      </c>
      <c r="E334" s="1">
        <f t="shared" si="3"/>
        <v>123.5</v>
      </c>
      <c r="F334" s="1">
        <f t="shared" si="4"/>
        <v>99</v>
      </c>
      <c r="G334" s="1">
        <f t="shared" si="5"/>
        <v>533</v>
      </c>
    </row>
    <row r="335" spans="2:7" x14ac:dyDescent="0.2">
      <c r="B335" s="1">
        <f>data!B335</f>
        <v>13</v>
      </c>
      <c r="C335" s="1">
        <f>data!C335</f>
        <v>170</v>
      </c>
      <c r="D335" s="1">
        <f>data!D335</f>
        <v>48.95</v>
      </c>
      <c r="E335" s="1">
        <f t="shared" si="3"/>
        <v>56</v>
      </c>
      <c r="F335" s="1">
        <f t="shared" si="4"/>
        <v>169.5</v>
      </c>
      <c r="G335" s="1">
        <f t="shared" si="5"/>
        <v>480</v>
      </c>
    </row>
    <row r="336" spans="2:7" x14ac:dyDescent="0.2">
      <c r="B336" s="1">
        <f>data!B336</f>
        <v>10</v>
      </c>
      <c r="C336" s="1">
        <f>data!C336</f>
        <v>335</v>
      </c>
      <c r="D336" s="1">
        <f>data!D336</f>
        <v>44.99</v>
      </c>
      <c r="E336" s="1">
        <f t="shared" si="3"/>
        <v>123.5</v>
      </c>
      <c r="F336" s="1">
        <f t="shared" si="4"/>
        <v>66</v>
      </c>
      <c r="G336" s="1">
        <f t="shared" si="5"/>
        <v>539</v>
      </c>
    </row>
    <row r="337" spans="2:7" x14ac:dyDescent="0.2">
      <c r="B337" s="1">
        <f>data!B337</f>
        <v>9</v>
      </c>
      <c r="C337" s="1">
        <f>data!C337</f>
        <v>325</v>
      </c>
      <c r="D337" s="1">
        <f>data!D337</f>
        <v>34.08</v>
      </c>
      <c r="E337" s="1">
        <f t="shared" si="3"/>
        <v>151.5</v>
      </c>
      <c r="F337" s="1">
        <f t="shared" si="4"/>
        <v>70</v>
      </c>
      <c r="G337" s="1">
        <f t="shared" si="5"/>
        <v>623.5</v>
      </c>
    </row>
    <row r="338" spans="2:7" x14ac:dyDescent="0.2">
      <c r="B338" s="1">
        <f>data!B338</f>
        <v>11</v>
      </c>
      <c r="C338" s="1">
        <f>data!C338</f>
        <v>224</v>
      </c>
      <c r="D338" s="1">
        <f>data!D338</f>
        <v>40.11</v>
      </c>
      <c r="E338" s="1">
        <f t="shared" si="3"/>
        <v>98</v>
      </c>
      <c r="F338" s="1">
        <f t="shared" si="4"/>
        <v>114</v>
      </c>
      <c r="G338" s="1">
        <f t="shared" si="5"/>
        <v>588</v>
      </c>
    </row>
    <row r="339" spans="2:7" x14ac:dyDescent="0.2">
      <c r="B339" s="1">
        <f>data!B339</f>
        <v>7</v>
      </c>
      <c r="C339" s="1">
        <f>data!C339</f>
        <v>106</v>
      </c>
      <c r="D339" s="1">
        <f>data!D339</f>
        <v>47.52</v>
      </c>
      <c r="E339" s="1">
        <f t="shared" si="3"/>
        <v>234.5</v>
      </c>
      <c r="F339" s="1">
        <f t="shared" si="4"/>
        <v>252.5</v>
      </c>
      <c r="G339" s="1">
        <f t="shared" si="5"/>
        <v>503.5</v>
      </c>
    </row>
    <row r="340" spans="2:7" x14ac:dyDescent="0.2">
      <c r="B340" s="1">
        <f>data!B340</f>
        <v>20</v>
      </c>
      <c r="C340" s="1">
        <f>data!C340</f>
        <v>466</v>
      </c>
      <c r="D340" s="1">
        <f>data!D340</f>
        <v>48.34</v>
      </c>
      <c r="E340" s="1">
        <f t="shared" si="3"/>
        <v>15</v>
      </c>
      <c r="F340" s="1">
        <f t="shared" si="4"/>
        <v>36</v>
      </c>
      <c r="G340" s="1">
        <f t="shared" si="5"/>
        <v>492</v>
      </c>
    </row>
    <row r="341" spans="2:7" x14ac:dyDescent="0.2">
      <c r="B341" s="1">
        <f>data!B341</f>
        <v>8</v>
      </c>
      <c r="C341" s="1">
        <f>data!C341</f>
        <v>207</v>
      </c>
      <c r="D341" s="1">
        <f>data!D341</f>
        <v>34.08</v>
      </c>
      <c r="E341" s="1">
        <f t="shared" si="3"/>
        <v>187.5</v>
      </c>
      <c r="F341" s="1">
        <f t="shared" si="4"/>
        <v>131</v>
      </c>
      <c r="G341" s="1">
        <f t="shared" si="5"/>
        <v>623.5</v>
      </c>
    </row>
    <row r="342" spans="2:7" x14ac:dyDescent="0.2">
      <c r="B342" s="1">
        <f>data!B342</f>
        <v>8</v>
      </c>
      <c r="C342" s="1">
        <f>data!C342</f>
        <v>84</v>
      </c>
      <c r="D342" s="1">
        <f>data!D342</f>
        <v>46.5</v>
      </c>
      <c r="E342" s="1">
        <f t="shared" si="3"/>
        <v>187.5</v>
      </c>
      <c r="F342" s="1">
        <f t="shared" si="4"/>
        <v>286</v>
      </c>
      <c r="G342" s="1">
        <f t="shared" si="5"/>
        <v>523</v>
      </c>
    </row>
    <row r="343" spans="2:7" x14ac:dyDescent="0.2">
      <c r="B343" s="1">
        <f>data!B343</f>
        <v>17</v>
      </c>
      <c r="C343" s="1">
        <f>data!C343</f>
        <v>387</v>
      </c>
      <c r="D343" s="1">
        <f>data!D343</f>
        <v>40.369999999999997</v>
      </c>
      <c r="E343" s="1">
        <f t="shared" si="3"/>
        <v>23</v>
      </c>
      <c r="F343" s="1">
        <f t="shared" si="4"/>
        <v>51</v>
      </c>
      <c r="G343" s="1">
        <f t="shared" si="5"/>
        <v>586</v>
      </c>
    </row>
    <row r="344" spans="2:7" x14ac:dyDescent="0.2">
      <c r="B344" s="1">
        <f>data!B344</f>
        <v>13</v>
      </c>
      <c r="C344" s="1">
        <f>data!C344</f>
        <v>234</v>
      </c>
      <c r="D344" s="1">
        <f>data!D344</f>
        <v>40.31</v>
      </c>
      <c r="E344" s="1">
        <f t="shared" si="3"/>
        <v>56</v>
      </c>
      <c r="F344" s="1">
        <f t="shared" si="4"/>
        <v>107</v>
      </c>
      <c r="G344" s="1">
        <f t="shared" si="5"/>
        <v>587</v>
      </c>
    </row>
    <row r="345" spans="2:7" x14ac:dyDescent="0.2">
      <c r="B345" s="1">
        <f>data!B345</f>
        <v>7</v>
      </c>
      <c r="C345" s="1">
        <f>data!C345</f>
        <v>11</v>
      </c>
      <c r="D345" s="1">
        <f>data!D345</f>
        <v>86.25</v>
      </c>
      <c r="E345" s="1">
        <f t="shared" si="3"/>
        <v>234.5</v>
      </c>
      <c r="F345" s="1">
        <f t="shared" si="4"/>
        <v>496</v>
      </c>
      <c r="G345" s="1">
        <f t="shared" si="5"/>
        <v>140</v>
      </c>
    </row>
    <row r="346" spans="2:7" x14ac:dyDescent="0.2">
      <c r="B346" s="1">
        <f>data!B346</f>
        <v>18</v>
      </c>
      <c r="C346" s="1">
        <f>data!C346</f>
        <v>623</v>
      </c>
      <c r="D346" s="1">
        <f>data!D346</f>
        <v>42.53</v>
      </c>
      <c r="E346" s="1">
        <f t="shared" si="3"/>
        <v>20.5</v>
      </c>
      <c r="F346" s="1">
        <f t="shared" si="4"/>
        <v>25</v>
      </c>
      <c r="G346" s="1">
        <f t="shared" si="5"/>
        <v>565</v>
      </c>
    </row>
    <row r="347" spans="2:7" x14ac:dyDescent="0.2">
      <c r="B347" s="1">
        <f>data!B347</f>
        <v>17</v>
      </c>
      <c r="C347" s="1">
        <f>data!C347</f>
        <v>258</v>
      </c>
      <c r="D347" s="1">
        <f>data!D347</f>
        <v>46.69</v>
      </c>
      <c r="E347" s="1">
        <f t="shared" si="3"/>
        <v>23</v>
      </c>
      <c r="F347" s="1">
        <f t="shared" si="4"/>
        <v>92.5</v>
      </c>
      <c r="G347" s="1">
        <f t="shared" si="5"/>
        <v>518</v>
      </c>
    </row>
    <row r="348" spans="2:7" x14ac:dyDescent="0.2">
      <c r="B348" s="1">
        <f>data!B348</f>
        <v>12</v>
      </c>
      <c r="C348" s="1">
        <f>data!C348</f>
        <v>434</v>
      </c>
      <c r="D348" s="1">
        <f>data!D348</f>
        <v>40.79</v>
      </c>
      <c r="E348" s="1">
        <f t="shared" si="3"/>
        <v>74.5</v>
      </c>
      <c r="F348" s="1">
        <f t="shared" si="4"/>
        <v>39</v>
      </c>
      <c r="G348" s="1">
        <f t="shared" si="5"/>
        <v>579.5</v>
      </c>
    </row>
    <row r="349" spans="2:7" x14ac:dyDescent="0.2">
      <c r="B349" s="1">
        <f>data!B349</f>
        <v>10</v>
      </c>
      <c r="C349" s="1">
        <f>data!C349</f>
        <v>192</v>
      </c>
      <c r="D349" s="1">
        <f>data!D349</f>
        <v>38.26</v>
      </c>
      <c r="E349" s="1">
        <f t="shared" si="3"/>
        <v>123.5</v>
      </c>
      <c r="F349" s="1">
        <f t="shared" si="4"/>
        <v>146.5</v>
      </c>
      <c r="G349" s="1">
        <f t="shared" si="5"/>
        <v>600</v>
      </c>
    </row>
    <row r="350" spans="2:7" x14ac:dyDescent="0.2">
      <c r="B350" s="1">
        <f>data!B350</f>
        <v>15</v>
      </c>
      <c r="C350" s="1">
        <f>data!C350</f>
        <v>708</v>
      </c>
      <c r="D350" s="1">
        <f>data!D350</f>
        <v>33.020000000000003</v>
      </c>
      <c r="E350" s="1">
        <f t="shared" si="3"/>
        <v>37.5</v>
      </c>
      <c r="F350" s="1">
        <f t="shared" si="4"/>
        <v>18</v>
      </c>
      <c r="G350" s="1">
        <f t="shared" si="5"/>
        <v>627</v>
      </c>
    </row>
    <row r="351" spans="2:7" x14ac:dyDescent="0.2">
      <c r="B351" s="1">
        <f>data!B351</f>
        <v>12</v>
      </c>
      <c r="C351" s="1">
        <f>data!C351</f>
        <v>169</v>
      </c>
      <c r="D351" s="1">
        <f>data!D351</f>
        <v>49.7</v>
      </c>
      <c r="E351" s="1">
        <f t="shared" si="3"/>
        <v>74.5</v>
      </c>
      <c r="F351" s="1">
        <f t="shared" si="4"/>
        <v>171.5</v>
      </c>
      <c r="G351" s="1">
        <f t="shared" si="5"/>
        <v>465.5</v>
      </c>
    </row>
    <row r="352" spans="2:7" x14ac:dyDescent="0.2">
      <c r="B352" s="1">
        <f>data!B352</f>
        <v>10</v>
      </c>
      <c r="C352" s="1">
        <f>data!C352</f>
        <v>213</v>
      </c>
      <c r="D352" s="1">
        <f>data!D352</f>
        <v>48.67</v>
      </c>
      <c r="E352" s="1">
        <f t="shared" si="3"/>
        <v>123.5</v>
      </c>
      <c r="F352" s="1">
        <f t="shared" si="4"/>
        <v>125.5</v>
      </c>
      <c r="G352" s="1">
        <f t="shared" si="5"/>
        <v>486</v>
      </c>
    </row>
    <row r="353" spans="2:7" x14ac:dyDescent="0.2">
      <c r="B353" s="1">
        <f>data!B353</f>
        <v>19</v>
      </c>
      <c r="C353" s="1">
        <f>data!C353</f>
        <v>169</v>
      </c>
      <c r="D353" s="1">
        <f>data!D353</f>
        <v>87.26</v>
      </c>
      <c r="E353" s="1">
        <f t="shared" si="3"/>
        <v>18</v>
      </c>
      <c r="F353" s="1">
        <f t="shared" si="4"/>
        <v>171.5</v>
      </c>
      <c r="G353" s="1">
        <f t="shared" si="5"/>
        <v>121</v>
      </c>
    </row>
    <row r="354" spans="2:7" x14ac:dyDescent="0.2">
      <c r="B354" s="1">
        <f>data!B354</f>
        <v>2</v>
      </c>
      <c r="C354" s="1">
        <f>data!C354</f>
        <v>37</v>
      </c>
      <c r="D354" s="1">
        <f>data!D354</f>
        <v>79.67</v>
      </c>
      <c r="E354" s="1">
        <f t="shared" si="3"/>
        <v>585.5</v>
      </c>
      <c r="F354" s="1">
        <f t="shared" si="4"/>
        <v>418.5</v>
      </c>
      <c r="G354" s="1">
        <f t="shared" si="5"/>
        <v>175</v>
      </c>
    </row>
    <row r="355" spans="2:7" x14ac:dyDescent="0.2">
      <c r="B355" s="1">
        <f>data!B355</f>
        <v>21</v>
      </c>
      <c r="C355" s="1">
        <f>data!C355</f>
        <v>521</v>
      </c>
      <c r="D355" s="1">
        <f>data!D355</f>
        <v>51.67</v>
      </c>
      <c r="E355" s="1">
        <f t="shared" si="3"/>
        <v>13</v>
      </c>
      <c r="F355" s="1">
        <f t="shared" si="4"/>
        <v>31</v>
      </c>
      <c r="G355" s="1">
        <f t="shared" si="5"/>
        <v>431</v>
      </c>
    </row>
    <row r="356" spans="2:7" x14ac:dyDescent="0.2">
      <c r="B356" s="1">
        <f>data!B356</f>
        <v>14</v>
      </c>
      <c r="C356" s="1">
        <f>data!C356</f>
        <v>272</v>
      </c>
      <c r="D356" s="1">
        <f>data!D356</f>
        <v>51.6</v>
      </c>
      <c r="E356" s="1">
        <f t="shared" si="3"/>
        <v>46</v>
      </c>
      <c r="F356" s="1">
        <f t="shared" si="4"/>
        <v>84</v>
      </c>
      <c r="G356" s="1">
        <f t="shared" si="5"/>
        <v>434</v>
      </c>
    </row>
    <row r="357" spans="2:7" x14ac:dyDescent="0.2">
      <c r="B357" s="1">
        <f>data!B357</f>
        <v>13</v>
      </c>
      <c r="C357" s="1">
        <f>data!C357</f>
        <v>258</v>
      </c>
      <c r="D357" s="1">
        <f>data!D357</f>
        <v>44.28</v>
      </c>
      <c r="E357" s="1">
        <f t="shared" si="3"/>
        <v>56</v>
      </c>
      <c r="F357" s="1">
        <f t="shared" si="4"/>
        <v>92.5</v>
      </c>
      <c r="G357" s="1">
        <f t="shared" si="5"/>
        <v>550</v>
      </c>
    </row>
    <row r="358" spans="2:7" x14ac:dyDescent="0.2">
      <c r="B358" s="1">
        <f>data!B358</f>
        <v>11</v>
      </c>
      <c r="C358" s="1">
        <f>data!C358</f>
        <v>293</v>
      </c>
      <c r="D358" s="1">
        <f>data!D358</f>
        <v>48.14</v>
      </c>
      <c r="E358" s="1">
        <f t="shared" si="3"/>
        <v>98</v>
      </c>
      <c r="F358" s="1">
        <f t="shared" si="4"/>
        <v>76.5</v>
      </c>
      <c r="G358" s="1">
        <f t="shared" si="5"/>
        <v>496.5</v>
      </c>
    </row>
    <row r="359" spans="2:7" x14ac:dyDescent="0.2">
      <c r="B359" s="1">
        <f>data!B359</f>
        <v>15</v>
      </c>
      <c r="C359" s="1">
        <f>data!C359</f>
        <v>167</v>
      </c>
      <c r="D359" s="1">
        <f>data!D359</f>
        <v>47.15</v>
      </c>
      <c r="E359" s="1">
        <f t="shared" si="3"/>
        <v>37.5</v>
      </c>
      <c r="F359" s="1">
        <f t="shared" si="4"/>
        <v>174</v>
      </c>
      <c r="G359" s="1">
        <f t="shared" si="5"/>
        <v>508.5</v>
      </c>
    </row>
    <row r="360" spans="2:7" x14ac:dyDescent="0.2">
      <c r="B360" s="1">
        <f>data!B360</f>
        <v>10</v>
      </c>
      <c r="C360" s="1">
        <f>data!C360</f>
        <v>142</v>
      </c>
      <c r="D360" s="1">
        <f>data!D360</f>
        <v>48.74</v>
      </c>
      <c r="E360" s="1">
        <f t="shared" si="3"/>
        <v>123.5</v>
      </c>
      <c r="F360" s="1">
        <f t="shared" si="4"/>
        <v>202</v>
      </c>
      <c r="G360" s="1">
        <f t="shared" si="5"/>
        <v>484</v>
      </c>
    </row>
    <row r="361" spans="2:7" x14ac:dyDescent="0.2">
      <c r="B361" s="1">
        <f>data!B361</f>
        <v>20</v>
      </c>
      <c r="C361" s="1">
        <f>data!C361</f>
        <v>947</v>
      </c>
      <c r="D361" s="1">
        <f>data!D361</f>
        <v>42.4</v>
      </c>
      <c r="E361" s="1">
        <f t="shared" si="3"/>
        <v>15</v>
      </c>
      <c r="F361" s="1">
        <f t="shared" si="4"/>
        <v>11</v>
      </c>
      <c r="G361" s="1">
        <f t="shared" si="5"/>
        <v>566</v>
      </c>
    </row>
    <row r="362" spans="2:7" x14ac:dyDescent="0.2">
      <c r="B362" s="1">
        <f>data!B362</f>
        <v>3</v>
      </c>
      <c r="C362" s="1">
        <f>data!C362</f>
        <v>32</v>
      </c>
      <c r="D362" s="1">
        <f>data!D362</f>
        <v>68.319999999999993</v>
      </c>
      <c r="E362" s="1">
        <f t="shared" si="3"/>
        <v>502</v>
      </c>
      <c r="F362" s="1">
        <f t="shared" si="4"/>
        <v>432.5</v>
      </c>
      <c r="G362" s="1">
        <f t="shared" si="5"/>
        <v>223</v>
      </c>
    </row>
    <row r="363" spans="2:7" x14ac:dyDescent="0.2">
      <c r="B363" s="1">
        <f>data!B363</f>
        <v>2</v>
      </c>
      <c r="C363" s="1">
        <f>data!C363</f>
        <v>35</v>
      </c>
      <c r="D363" s="1">
        <f>data!D363</f>
        <v>69.3</v>
      </c>
      <c r="E363" s="1">
        <f t="shared" si="3"/>
        <v>585.5</v>
      </c>
      <c r="F363" s="1">
        <f t="shared" si="4"/>
        <v>425</v>
      </c>
      <c r="G363" s="1">
        <f t="shared" si="5"/>
        <v>216</v>
      </c>
    </row>
    <row r="364" spans="2:7" x14ac:dyDescent="0.2">
      <c r="B364" s="1">
        <f>data!B364</f>
        <v>2</v>
      </c>
      <c r="C364" s="1">
        <f>data!C364</f>
        <v>25</v>
      </c>
      <c r="D364" s="1">
        <f>data!D364</f>
        <v>69.88</v>
      </c>
      <c r="E364" s="1">
        <f t="shared" si="3"/>
        <v>585.5</v>
      </c>
      <c r="F364" s="1">
        <f t="shared" si="4"/>
        <v>445</v>
      </c>
      <c r="G364" s="1">
        <f t="shared" si="5"/>
        <v>210</v>
      </c>
    </row>
    <row r="365" spans="2:7" x14ac:dyDescent="0.2">
      <c r="B365" s="1">
        <f>data!B365</f>
        <v>2</v>
      </c>
      <c r="C365" s="1">
        <f>data!C365</f>
        <v>28</v>
      </c>
      <c r="D365" s="1">
        <f>data!D365</f>
        <v>70.83</v>
      </c>
      <c r="E365" s="1">
        <f t="shared" si="3"/>
        <v>585.5</v>
      </c>
      <c r="F365" s="1">
        <f t="shared" si="4"/>
        <v>440.5</v>
      </c>
      <c r="G365" s="1">
        <f t="shared" si="5"/>
        <v>202</v>
      </c>
    </row>
    <row r="366" spans="2:7" x14ac:dyDescent="0.2">
      <c r="B366" s="1">
        <f>data!B366</f>
        <v>2</v>
      </c>
      <c r="C366" s="1">
        <f>data!C366</f>
        <v>7</v>
      </c>
      <c r="D366" s="1">
        <f>data!D366</f>
        <v>88.14</v>
      </c>
      <c r="E366" s="1">
        <f t="shared" si="3"/>
        <v>585.5</v>
      </c>
      <c r="F366" s="1">
        <f t="shared" si="4"/>
        <v>524.5</v>
      </c>
      <c r="G366" s="1">
        <f t="shared" si="5"/>
        <v>107.5</v>
      </c>
    </row>
    <row r="367" spans="2:7" x14ac:dyDescent="0.2">
      <c r="B367" s="1">
        <f>data!B367</f>
        <v>9</v>
      </c>
      <c r="C367" s="1">
        <f>data!C367</f>
        <v>1575</v>
      </c>
      <c r="D367" s="1">
        <f>data!D367</f>
        <v>42.73</v>
      </c>
      <c r="E367" s="1">
        <f t="shared" si="3"/>
        <v>151.5</v>
      </c>
      <c r="F367" s="1">
        <f t="shared" si="4"/>
        <v>3</v>
      </c>
      <c r="G367" s="1">
        <f t="shared" si="5"/>
        <v>562</v>
      </c>
    </row>
    <row r="368" spans="2:7" x14ac:dyDescent="0.2">
      <c r="B368" s="1">
        <f>data!B368</f>
        <v>8</v>
      </c>
      <c r="C368" s="1">
        <f>data!C368</f>
        <v>398</v>
      </c>
      <c r="D368" s="1">
        <f>data!D368</f>
        <v>29.81</v>
      </c>
      <c r="E368" s="1">
        <f t="shared" si="3"/>
        <v>187.5</v>
      </c>
      <c r="F368" s="1">
        <f t="shared" si="4"/>
        <v>47</v>
      </c>
      <c r="G368" s="1">
        <f t="shared" si="5"/>
        <v>630</v>
      </c>
    </row>
    <row r="369" spans="2:7" x14ac:dyDescent="0.2">
      <c r="B369" s="1">
        <f>data!B369</f>
        <v>4</v>
      </c>
      <c r="C369" s="1">
        <f>data!C369</f>
        <v>156</v>
      </c>
      <c r="D369" s="1">
        <f>data!D369</f>
        <v>34.729999999999997</v>
      </c>
      <c r="E369" s="1">
        <f t="shared" si="3"/>
        <v>422.5</v>
      </c>
      <c r="F369" s="1">
        <f t="shared" si="4"/>
        <v>183.5</v>
      </c>
      <c r="G369" s="1">
        <f t="shared" si="5"/>
        <v>621</v>
      </c>
    </row>
    <row r="370" spans="2:7" x14ac:dyDescent="0.2">
      <c r="B370" s="1">
        <f>data!B370</f>
        <v>2</v>
      </c>
      <c r="C370" s="1">
        <f>data!C370</f>
        <v>6</v>
      </c>
      <c r="D370" s="1">
        <f>data!D370</f>
        <v>88.46</v>
      </c>
      <c r="E370" s="1">
        <f t="shared" si="3"/>
        <v>585.5</v>
      </c>
      <c r="F370" s="1">
        <f t="shared" si="4"/>
        <v>552</v>
      </c>
      <c r="G370" s="1">
        <f t="shared" si="5"/>
        <v>101.5</v>
      </c>
    </row>
    <row r="371" spans="2:7" x14ac:dyDescent="0.2">
      <c r="B371" s="1">
        <f>data!B371</f>
        <v>2</v>
      </c>
      <c r="C371" s="1">
        <f>data!C371</f>
        <v>5</v>
      </c>
      <c r="D371" s="1">
        <f>data!D371</f>
        <v>90</v>
      </c>
      <c r="E371" s="1">
        <f t="shared" si="3"/>
        <v>585.5</v>
      </c>
      <c r="F371" s="1">
        <f t="shared" si="4"/>
        <v>595</v>
      </c>
      <c r="G371" s="1">
        <f t="shared" si="5"/>
        <v>62</v>
      </c>
    </row>
    <row r="372" spans="2:7" x14ac:dyDescent="0.2">
      <c r="B372" s="1">
        <f>data!B372</f>
        <v>3</v>
      </c>
      <c r="C372" s="1">
        <f>data!C372</f>
        <v>18</v>
      </c>
      <c r="D372" s="1">
        <f>data!D372</f>
        <v>77.78</v>
      </c>
      <c r="E372" s="1">
        <f t="shared" si="3"/>
        <v>502</v>
      </c>
      <c r="F372" s="1">
        <f t="shared" si="4"/>
        <v>455.5</v>
      </c>
      <c r="G372" s="1">
        <f t="shared" si="5"/>
        <v>182</v>
      </c>
    </row>
    <row r="373" spans="2:7" x14ac:dyDescent="0.2">
      <c r="B373" s="1">
        <f>data!B373</f>
        <v>5</v>
      </c>
      <c r="C373" s="1">
        <f>data!C373</f>
        <v>221</v>
      </c>
      <c r="D373" s="1">
        <f>data!D373</f>
        <v>50.11</v>
      </c>
      <c r="E373" s="1">
        <f t="shared" si="3"/>
        <v>345</v>
      </c>
      <c r="F373" s="1">
        <f t="shared" si="4"/>
        <v>117.5</v>
      </c>
      <c r="G373" s="1">
        <f t="shared" si="5"/>
        <v>458</v>
      </c>
    </row>
    <row r="374" spans="2:7" x14ac:dyDescent="0.2">
      <c r="B374" s="1">
        <f>data!B374</f>
        <v>4</v>
      </c>
      <c r="C374" s="1">
        <f>data!C374</f>
        <v>143</v>
      </c>
      <c r="D374" s="1">
        <f>data!D374</f>
        <v>38.630000000000003</v>
      </c>
      <c r="E374" s="1">
        <f t="shared" si="3"/>
        <v>422.5</v>
      </c>
      <c r="F374" s="1">
        <f t="shared" si="4"/>
        <v>200</v>
      </c>
      <c r="G374" s="1">
        <f t="shared" si="5"/>
        <v>598</v>
      </c>
    </row>
    <row r="375" spans="2:7" x14ac:dyDescent="0.2">
      <c r="B375" s="1">
        <f>data!B375</f>
        <v>2</v>
      </c>
      <c r="C375" s="1">
        <f>data!C375</f>
        <v>10</v>
      </c>
      <c r="D375" s="1">
        <f>data!D375</f>
        <v>82.76</v>
      </c>
      <c r="E375" s="1">
        <f t="shared" si="3"/>
        <v>585.5</v>
      </c>
      <c r="F375" s="1">
        <f t="shared" si="4"/>
        <v>504.5</v>
      </c>
      <c r="G375" s="1">
        <f t="shared" si="5"/>
        <v>156</v>
      </c>
    </row>
    <row r="376" spans="2:7" x14ac:dyDescent="0.2">
      <c r="B376" s="1">
        <f>data!B376</f>
        <v>2</v>
      </c>
      <c r="C376" s="1">
        <f>data!C376</f>
        <v>82</v>
      </c>
      <c r="D376" s="1">
        <f>data!D376</f>
        <v>44.59</v>
      </c>
      <c r="E376" s="1">
        <f t="shared" si="3"/>
        <v>585.5</v>
      </c>
      <c r="F376" s="1">
        <f t="shared" si="4"/>
        <v>289</v>
      </c>
      <c r="G376" s="1">
        <f t="shared" si="5"/>
        <v>545</v>
      </c>
    </row>
    <row r="377" spans="2:7" x14ac:dyDescent="0.2">
      <c r="B377" s="1">
        <f>data!B377</f>
        <v>3</v>
      </c>
      <c r="C377" s="1">
        <f>data!C377</f>
        <v>97</v>
      </c>
      <c r="D377" s="1">
        <f>data!D377</f>
        <v>35.76</v>
      </c>
      <c r="E377" s="1">
        <f t="shared" si="3"/>
        <v>502</v>
      </c>
      <c r="F377" s="1">
        <f t="shared" si="4"/>
        <v>266</v>
      </c>
      <c r="G377" s="1">
        <f t="shared" si="5"/>
        <v>618</v>
      </c>
    </row>
    <row r="378" spans="2:7" x14ac:dyDescent="0.2">
      <c r="B378" s="1">
        <f>data!B378</f>
        <v>5</v>
      </c>
      <c r="C378" s="1">
        <f>data!C378</f>
        <v>365</v>
      </c>
      <c r="D378" s="1">
        <f>data!D378</f>
        <v>34.94</v>
      </c>
      <c r="E378" s="1">
        <f t="shared" si="3"/>
        <v>345</v>
      </c>
      <c r="F378" s="1">
        <f t="shared" si="4"/>
        <v>58</v>
      </c>
      <c r="G378" s="1">
        <f t="shared" si="5"/>
        <v>620</v>
      </c>
    </row>
    <row r="379" spans="2:7" x14ac:dyDescent="0.2">
      <c r="B379" s="1">
        <f>data!B379</f>
        <v>3</v>
      </c>
      <c r="C379" s="1">
        <f>data!C379</f>
        <v>110</v>
      </c>
      <c r="D379" s="1">
        <f>data!D379</f>
        <v>41.18</v>
      </c>
      <c r="E379" s="1">
        <f t="shared" si="3"/>
        <v>502</v>
      </c>
      <c r="F379" s="1">
        <f t="shared" si="4"/>
        <v>243</v>
      </c>
      <c r="G379" s="1">
        <f t="shared" si="5"/>
        <v>575</v>
      </c>
    </row>
    <row r="380" spans="2:7" x14ac:dyDescent="0.2">
      <c r="B380" s="1">
        <f>data!B380</f>
        <v>4</v>
      </c>
      <c r="C380" s="1">
        <f>data!C380</f>
        <v>155</v>
      </c>
      <c r="D380" s="1">
        <f>data!D380</f>
        <v>38.74</v>
      </c>
      <c r="E380" s="1">
        <f t="shared" si="3"/>
        <v>422.5</v>
      </c>
      <c r="F380" s="1">
        <f t="shared" si="4"/>
        <v>186.5</v>
      </c>
      <c r="G380" s="1">
        <f t="shared" si="5"/>
        <v>596</v>
      </c>
    </row>
    <row r="381" spans="2:7" x14ac:dyDescent="0.2">
      <c r="B381" s="1">
        <f>data!B381</f>
        <v>4</v>
      </c>
      <c r="C381" s="1">
        <f>data!C381</f>
        <v>226</v>
      </c>
      <c r="D381" s="1">
        <f>data!D381</f>
        <v>38.42</v>
      </c>
      <c r="E381" s="1">
        <f t="shared" si="3"/>
        <v>422.5</v>
      </c>
      <c r="F381" s="1">
        <f t="shared" si="4"/>
        <v>113</v>
      </c>
      <c r="G381" s="1">
        <f t="shared" si="5"/>
        <v>599</v>
      </c>
    </row>
    <row r="382" spans="2:7" x14ac:dyDescent="0.2">
      <c r="B382" s="1">
        <f>data!B382</f>
        <v>3</v>
      </c>
      <c r="C382" s="1">
        <f>data!C382</f>
        <v>113</v>
      </c>
      <c r="D382" s="1">
        <f>data!D382</f>
        <v>37.909999999999997</v>
      </c>
      <c r="E382" s="1">
        <f t="shared" si="3"/>
        <v>502</v>
      </c>
      <c r="F382" s="1">
        <f t="shared" si="4"/>
        <v>238</v>
      </c>
      <c r="G382" s="1">
        <f t="shared" si="5"/>
        <v>603</v>
      </c>
    </row>
    <row r="383" spans="2:7" x14ac:dyDescent="0.2">
      <c r="B383" s="1">
        <f>data!B383</f>
        <v>3</v>
      </c>
      <c r="C383" s="1">
        <f>data!C383</f>
        <v>29</v>
      </c>
      <c r="D383" s="1">
        <f>data!D383</f>
        <v>66.28</v>
      </c>
      <c r="E383" s="1">
        <f t="shared" si="3"/>
        <v>502</v>
      </c>
      <c r="F383" s="1">
        <f t="shared" si="4"/>
        <v>438</v>
      </c>
      <c r="G383" s="1">
        <f t="shared" si="5"/>
        <v>232</v>
      </c>
    </row>
    <row r="384" spans="2:7" x14ac:dyDescent="0.2">
      <c r="B384" s="1">
        <f>data!B384</f>
        <v>2</v>
      </c>
      <c r="C384" s="1">
        <f>data!C384</f>
        <v>147</v>
      </c>
      <c r="D384" s="1">
        <f>data!D384</f>
        <v>37.71</v>
      </c>
      <c r="E384" s="1">
        <f t="shared" si="3"/>
        <v>585.5</v>
      </c>
      <c r="F384" s="1">
        <f t="shared" si="4"/>
        <v>196</v>
      </c>
      <c r="G384" s="1">
        <f t="shared" si="5"/>
        <v>605</v>
      </c>
    </row>
    <row r="385" spans="2:7" x14ac:dyDescent="0.2">
      <c r="B385" s="1">
        <f>data!B385</f>
        <v>2</v>
      </c>
      <c r="C385" s="1">
        <f>data!C385</f>
        <v>43</v>
      </c>
      <c r="D385" s="1">
        <f>data!D385</f>
        <v>57</v>
      </c>
      <c r="E385" s="1">
        <f t="shared" si="3"/>
        <v>585.5</v>
      </c>
      <c r="F385" s="1">
        <f t="shared" si="4"/>
        <v>397.5</v>
      </c>
      <c r="G385" s="1">
        <f t="shared" si="5"/>
        <v>356</v>
      </c>
    </row>
    <row r="386" spans="2:7" x14ac:dyDescent="0.2">
      <c r="B386" s="1">
        <f>data!B386</f>
        <v>2</v>
      </c>
      <c r="C386" s="1">
        <f>data!C386</f>
        <v>30</v>
      </c>
      <c r="D386" s="1">
        <f>data!D386</f>
        <v>63.86</v>
      </c>
      <c r="E386" s="1">
        <f t="shared" si="3"/>
        <v>585.5</v>
      </c>
      <c r="F386" s="1">
        <f t="shared" si="4"/>
        <v>436</v>
      </c>
      <c r="G386" s="1">
        <f t="shared" si="5"/>
        <v>258</v>
      </c>
    </row>
    <row r="387" spans="2:7" x14ac:dyDescent="0.2">
      <c r="B387" s="1">
        <f>data!B387</f>
        <v>2</v>
      </c>
      <c r="C387" s="1">
        <f>data!C387</f>
        <v>72</v>
      </c>
      <c r="D387" s="1">
        <f>data!D387</f>
        <v>50.68</v>
      </c>
      <c r="E387" s="1">
        <f t="shared" si="3"/>
        <v>585.5</v>
      </c>
      <c r="F387" s="1">
        <f t="shared" si="4"/>
        <v>314</v>
      </c>
      <c r="G387" s="1">
        <f t="shared" si="5"/>
        <v>450</v>
      </c>
    </row>
    <row r="388" spans="2:7" x14ac:dyDescent="0.2">
      <c r="B388" s="1">
        <f>data!B388</f>
        <v>4</v>
      </c>
      <c r="C388" s="1">
        <f>data!C388</f>
        <v>65</v>
      </c>
      <c r="D388" s="1">
        <f>data!D388</f>
        <v>53.24</v>
      </c>
      <c r="E388" s="1">
        <f t="shared" si="3"/>
        <v>422.5</v>
      </c>
      <c r="F388" s="1">
        <f t="shared" si="4"/>
        <v>334</v>
      </c>
      <c r="G388" s="1">
        <f t="shared" si="5"/>
        <v>409</v>
      </c>
    </row>
    <row r="389" spans="2:7" x14ac:dyDescent="0.2">
      <c r="B389" s="1">
        <f>data!B389</f>
        <v>2</v>
      </c>
      <c r="C389" s="1">
        <f>data!C389</f>
        <v>30</v>
      </c>
      <c r="D389" s="1">
        <f>data!D389</f>
        <v>61.54</v>
      </c>
      <c r="E389" s="1">
        <f t="shared" si="3"/>
        <v>585.5</v>
      </c>
      <c r="F389" s="1">
        <f t="shared" si="4"/>
        <v>436</v>
      </c>
      <c r="G389" s="1">
        <f t="shared" si="5"/>
        <v>287.5</v>
      </c>
    </row>
    <row r="390" spans="2:7" x14ac:dyDescent="0.2">
      <c r="B390" s="1">
        <f>data!B390</f>
        <v>3</v>
      </c>
      <c r="C390" s="1">
        <f>data!C390</f>
        <v>7</v>
      </c>
      <c r="D390" s="1">
        <f>data!D390</f>
        <v>91.03</v>
      </c>
      <c r="E390" s="1">
        <f t="shared" si="3"/>
        <v>502</v>
      </c>
      <c r="F390" s="1">
        <f t="shared" si="4"/>
        <v>524.5</v>
      </c>
      <c r="G390" s="1">
        <f t="shared" si="5"/>
        <v>39</v>
      </c>
    </row>
    <row r="391" spans="2:7" x14ac:dyDescent="0.2">
      <c r="B391" s="1">
        <f>data!B391</f>
        <v>2</v>
      </c>
      <c r="C391" s="1">
        <f>data!C391</f>
        <v>7</v>
      </c>
      <c r="D391" s="1">
        <f>data!D391</f>
        <v>86</v>
      </c>
      <c r="E391" s="1">
        <f t="shared" si="3"/>
        <v>585.5</v>
      </c>
      <c r="F391" s="1">
        <f t="shared" si="4"/>
        <v>524.5</v>
      </c>
      <c r="G391" s="1">
        <f t="shared" si="5"/>
        <v>144</v>
      </c>
    </row>
    <row r="392" spans="2:7" x14ac:dyDescent="0.2">
      <c r="B392" s="1">
        <f>data!B392</f>
        <v>2</v>
      </c>
      <c r="C392" s="1">
        <f>data!C392</f>
        <v>5</v>
      </c>
      <c r="D392" s="1">
        <f>data!D392</f>
        <v>89.58</v>
      </c>
      <c r="E392" s="1">
        <f t="shared" si="3"/>
        <v>585.5</v>
      </c>
      <c r="F392" s="1">
        <f t="shared" si="4"/>
        <v>595</v>
      </c>
      <c r="G392" s="1">
        <f t="shared" si="5"/>
        <v>74</v>
      </c>
    </row>
    <row r="393" spans="2:7" x14ac:dyDescent="0.2">
      <c r="B393" s="1">
        <f>data!B393</f>
        <v>2</v>
      </c>
      <c r="C393" s="1">
        <f>data!C393</f>
        <v>116</v>
      </c>
      <c r="D393" s="1">
        <f>data!D393</f>
        <v>46.05</v>
      </c>
      <c r="E393" s="1">
        <f t="shared" si="3"/>
        <v>585.5</v>
      </c>
      <c r="F393" s="1">
        <f t="shared" si="4"/>
        <v>234</v>
      </c>
      <c r="G393" s="1">
        <f t="shared" si="5"/>
        <v>529</v>
      </c>
    </row>
    <row r="394" spans="2:7" x14ac:dyDescent="0.2">
      <c r="B394" s="1">
        <f>data!B394</f>
        <v>4</v>
      </c>
      <c r="C394" s="1">
        <f>data!C394</f>
        <v>24</v>
      </c>
      <c r="D394" s="1">
        <f>data!D394</f>
        <v>85</v>
      </c>
      <c r="E394" s="1">
        <f t="shared" si="3"/>
        <v>422.5</v>
      </c>
      <c r="F394" s="1">
        <f t="shared" si="4"/>
        <v>448</v>
      </c>
      <c r="G394" s="1">
        <f t="shared" si="5"/>
        <v>148</v>
      </c>
    </row>
    <row r="395" spans="2:7" x14ac:dyDescent="0.2">
      <c r="B395" s="1">
        <f>data!B395</f>
        <v>2</v>
      </c>
      <c r="C395" s="1">
        <f>data!C395</f>
        <v>85</v>
      </c>
      <c r="D395" s="1">
        <f>data!D395</f>
        <v>53.04</v>
      </c>
      <c r="E395" s="1">
        <f t="shared" si="3"/>
        <v>585.5</v>
      </c>
      <c r="F395" s="1">
        <f t="shared" si="4"/>
        <v>283</v>
      </c>
      <c r="G395" s="1">
        <f t="shared" si="5"/>
        <v>411</v>
      </c>
    </row>
    <row r="396" spans="2:7" x14ac:dyDescent="0.2">
      <c r="B396" s="1">
        <f>data!B396</f>
        <v>3</v>
      </c>
      <c r="C396" s="1">
        <f>data!C396</f>
        <v>43</v>
      </c>
      <c r="D396" s="1">
        <f>data!D396</f>
        <v>51.14</v>
      </c>
      <c r="E396" s="1">
        <f t="shared" si="3"/>
        <v>502</v>
      </c>
      <c r="F396" s="1">
        <f t="shared" si="4"/>
        <v>397.5</v>
      </c>
      <c r="G396" s="1">
        <f t="shared" si="5"/>
        <v>440</v>
      </c>
    </row>
    <row r="397" spans="2:7" x14ac:dyDescent="0.2">
      <c r="B397" s="1">
        <f>data!B397</f>
        <v>2</v>
      </c>
      <c r="C397" s="1">
        <f>data!C397</f>
        <v>46</v>
      </c>
      <c r="D397" s="1">
        <f>data!D397</f>
        <v>66.180000000000007</v>
      </c>
      <c r="E397" s="1">
        <f t="shared" si="3"/>
        <v>585.5</v>
      </c>
      <c r="F397" s="1">
        <f t="shared" si="4"/>
        <v>390</v>
      </c>
      <c r="G397" s="1">
        <f t="shared" si="5"/>
        <v>233</v>
      </c>
    </row>
    <row r="398" spans="2:7" x14ac:dyDescent="0.2">
      <c r="B398" s="1">
        <f>data!B398</f>
        <v>2</v>
      </c>
      <c r="C398" s="1">
        <f>data!C398</f>
        <v>32</v>
      </c>
      <c r="D398" s="1">
        <f>data!D398</f>
        <v>69.52</v>
      </c>
      <c r="E398" s="1">
        <f t="shared" si="3"/>
        <v>585.5</v>
      </c>
      <c r="F398" s="1">
        <f t="shared" si="4"/>
        <v>432.5</v>
      </c>
      <c r="G398" s="1">
        <f t="shared" si="5"/>
        <v>215</v>
      </c>
    </row>
    <row r="399" spans="2:7" x14ac:dyDescent="0.2">
      <c r="B399" s="1">
        <f>data!B399</f>
        <v>2</v>
      </c>
      <c r="C399" s="1">
        <f>data!C399</f>
        <v>98</v>
      </c>
      <c r="D399" s="1">
        <f>data!D399</f>
        <v>55.86</v>
      </c>
      <c r="E399" s="1">
        <f t="shared" si="3"/>
        <v>585.5</v>
      </c>
      <c r="F399" s="1">
        <f t="shared" si="4"/>
        <v>263</v>
      </c>
      <c r="G399" s="1">
        <f t="shared" si="5"/>
        <v>364</v>
      </c>
    </row>
    <row r="400" spans="2:7" x14ac:dyDescent="0.2">
      <c r="B400" s="1">
        <f>data!B400</f>
        <v>2</v>
      </c>
      <c r="C400" s="1">
        <f>data!C400</f>
        <v>229</v>
      </c>
      <c r="D400" s="1">
        <f>data!D400</f>
        <v>54.29</v>
      </c>
      <c r="E400" s="1">
        <f t="shared" si="3"/>
        <v>585.5</v>
      </c>
      <c r="F400" s="1">
        <f t="shared" si="4"/>
        <v>111</v>
      </c>
      <c r="G400" s="1">
        <f t="shared" si="5"/>
        <v>389</v>
      </c>
    </row>
    <row r="401" spans="2:7" x14ac:dyDescent="0.2">
      <c r="B401" s="1">
        <f>data!B401</f>
        <v>3</v>
      </c>
      <c r="C401" s="1">
        <f>data!C401</f>
        <v>18</v>
      </c>
      <c r="D401" s="1">
        <f>data!D401</f>
        <v>71.430000000000007</v>
      </c>
      <c r="E401" s="1">
        <f t="shared" si="3"/>
        <v>502</v>
      </c>
      <c r="F401" s="1">
        <f t="shared" si="4"/>
        <v>455.5</v>
      </c>
      <c r="G401" s="1">
        <f t="shared" si="5"/>
        <v>199</v>
      </c>
    </row>
    <row r="402" spans="2:7" x14ac:dyDescent="0.2">
      <c r="B402" s="1">
        <f>data!B402</f>
        <v>3</v>
      </c>
      <c r="C402" s="1">
        <f>data!C402</f>
        <v>51</v>
      </c>
      <c r="D402" s="1">
        <f>data!D402</f>
        <v>64.83</v>
      </c>
      <c r="E402" s="1">
        <f t="shared" si="3"/>
        <v>502</v>
      </c>
      <c r="F402" s="1">
        <f t="shared" si="4"/>
        <v>374</v>
      </c>
      <c r="G402" s="1">
        <f t="shared" si="5"/>
        <v>247</v>
      </c>
    </row>
    <row r="403" spans="2:7" x14ac:dyDescent="0.2">
      <c r="B403" s="1">
        <f>data!B403</f>
        <v>11</v>
      </c>
      <c r="C403" s="1">
        <f>data!C403</f>
        <v>137</v>
      </c>
      <c r="D403" s="1">
        <f>data!D403</f>
        <v>49.63</v>
      </c>
      <c r="E403" s="1">
        <f t="shared" si="3"/>
        <v>98</v>
      </c>
      <c r="F403" s="1">
        <f t="shared" si="4"/>
        <v>207.5</v>
      </c>
      <c r="G403" s="1">
        <f t="shared" si="5"/>
        <v>470.5</v>
      </c>
    </row>
    <row r="404" spans="2:7" x14ac:dyDescent="0.2">
      <c r="B404" s="1">
        <f>data!B404</f>
        <v>5</v>
      </c>
      <c r="C404" s="1">
        <f>data!C404</f>
        <v>12</v>
      </c>
      <c r="D404" s="1">
        <f>data!D404</f>
        <v>78.180000000000007</v>
      </c>
      <c r="E404" s="1">
        <f t="shared" si="3"/>
        <v>345</v>
      </c>
      <c r="F404" s="1">
        <f t="shared" si="4"/>
        <v>481.5</v>
      </c>
      <c r="G404" s="1">
        <f t="shared" si="5"/>
        <v>180</v>
      </c>
    </row>
    <row r="405" spans="2:7" x14ac:dyDescent="0.2">
      <c r="B405" s="1">
        <f>data!B405</f>
        <v>8</v>
      </c>
      <c r="C405" s="1">
        <f>data!C405</f>
        <v>204</v>
      </c>
      <c r="D405" s="1">
        <f>data!D405</f>
        <v>46.03</v>
      </c>
      <c r="E405" s="1">
        <f t="shared" si="3"/>
        <v>187.5</v>
      </c>
      <c r="F405" s="1">
        <f t="shared" si="4"/>
        <v>133.5</v>
      </c>
      <c r="G405" s="1">
        <f t="shared" si="5"/>
        <v>530</v>
      </c>
    </row>
    <row r="406" spans="2:7" x14ac:dyDescent="0.2">
      <c r="B406" s="1">
        <f>data!B406</f>
        <v>9</v>
      </c>
      <c r="C406" s="1">
        <f>data!C406</f>
        <v>126</v>
      </c>
      <c r="D406" s="1">
        <f>data!D406</f>
        <v>52.99</v>
      </c>
      <c r="E406" s="1">
        <f t="shared" si="3"/>
        <v>151.5</v>
      </c>
      <c r="F406" s="1">
        <f t="shared" si="4"/>
        <v>221</v>
      </c>
      <c r="G406" s="1">
        <f t="shared" si="5"/>
        <v>413</v>
      </c>
    </row>
    <row r="407" spans="2:7" x14ac:dyDescent="0.2">
      <c r="B407" s="1">
        <f>data!B407</f>
        <v>10</v>
      </c>
      <c r="C407" s="1">
        <f>data!C407</f>
        <v>108</v>
      </c>
      <c r="D407" s="1">
        <f>data!D407</f>
        <v>51.35</v>
      </c>
      <c r="E407" s="1">
        <f t="shared" si="3"/>
        <v>123.5</v>
      </c>
      <c r="F407" s="1">
        <f t="shared" si="4"/>
        <v>248.5</v>
      </c>
      <c r="G407" s="1">
        <f t="shared" si="5"/>
        <v>436</v>
      </c>
    </row>
    <row r="408" spans="2:7" x14ac:dyDescent="0.2">
      <c r="B408" s="1">
        <f>data!B408</f>
        <v>4</v>
      </c>
      <c r="C408" s="1">
        <f>data!C408</f>
        <v>4</v>
      </c>
      <c r="D408" s="1">
        <f>data!D408</f>
        <v>90.91</v>
      </c>
      <c r="E408" s="1">
        <f t="shared" si="3"/>
        <v>422.5</v>
      </c>
      <c r="F408" s="1">
        <f t="shared" si="4"/>
        <v>624.5</v>
      </c>
      <c r="G408" s="1">
        <f t="shared" si="5"/>
        <v>42</v>
      </c>
    </row>
    <row r="409" spans="2:7" x14ac:dyDescent="0.2">
      <c r="B409" s="1">
        <f>data!B409</f>
        <v>6</v>
      </c>
      <c r="C409" s="1">
        <f>data!C409</f>
        <v>393</v>
      </c>
      <c r="D409" s="1">
        <f>data!D409</f>
        <v>43.78</v>
      </c>
      <c r="E409" s="1">
        <f t="shared" si="3"/>
        <v>284.5</v>
      </c>
      <c r="F409" s="1">
        <f t="shared" si="4"/>
        <v>49</v>
      </c>
      <c r="G409" s="1">
        <f t="shared" si="5"/>
        <v>554</v>
      </c>
    </row>
    <row r="410" spans="2:7" x14ac:dyDescent="0.2">
      <c r="B410" s="1">
        <f>data!B410</f>
        <v>8</v>
      </c>
      <c r="C410" s="1">
        <f>data!C410</f>
        <v>97</v>
      </c>
      <c r="D410" s="1">
        <f>data!D410</f>
        <v>56.5</v>
      </c>
      <c r="E410" s="1">
        <f t="shared" si="3"/>
        <v>187.5</v>
      </c>
      <c r="F410" s="1">
        <f t="shared" si="4"/>
        <v>266</v>
      </c>
      <c r="G410" s="1">
        <f t="shared" si="5"/>
        <v>360</v>
      </c>
    </row>
    <row r="411" spans="2:7" x14ac:dyDescent="0.2">
      <c r="B411" s="1">
        <f>data!B411</f>
        <v>7</v>
      </c>
      <c r="C411" s="1">
        <f>data!C411</f>
        <v>37</v>
      </c>
      <c r="D411" s="1">
        <f>data!D411</f>
        <v>75.97</v>
      </c>
      <c r="E411" s="1">
        <f t="shared" si="3"/>
        <v>234.5</v>
      </c>
      <c r="F411" s="1">
        <f t="shared" si="4"/>
        <v>418.5</v>
      </c>
      <c r="G411" s="1">
        <f t="shared" si="5"/>
        <v>189</v>
      </c>
    </row>
    <row r="412" spans="2:7" x14ac:dyDescent="0.2">
      <c r="B412" s="1">
        <f>data!B412</f>
        <v>7</v>
      </c>
      <c r="C412" s="1">
        <f>data!C412</f>
        <v>176</v>
      </c>
      <c r="D412" s="1">
        <f>data!D412</f>
        <v>46.67</v>
      </c>
      <c r="E412" s="1">
        <f t="shared" si="3"/>
        <v>234.5</v>
      </c>
      <c r="F412" s="1">
        <f t="shared" si="4"/>
        <v>163.5</v>
      </c>
      <c r="G412" s="1">
        <f t="shared" si="5"/>
        <v>519</v>
      </c>
    </row>
    <row r="413" spans="2:7" x14ac:dyDescent="0.2">
      <c r="B413" s="1">
        <f>data!B413</f>
        <v>6</v>
      </c>
      <c r="C413" s="1">
        <f>data!C413</f>
        <v>119</v>
      </c>
      <c r="D413" s="1">
        <f>data!D413</f>
        <v>46.64</v>
      </c>
      <c r="E413" s="1">
        <f t="shared" si="3"/>
        <v>284.5</v>
      </c>
      <c r="F413" s="1">
        <f t="shared" si="4"/>
        <v>229</v>
      </c>
      <c r="G413" s="1">
        <f t="shared" si="5"/>
        <v>520</v>
      </c>
    </row>
    <row r="414" spans="2:7" x14ac:dyDescent="0.2">
      <c r="B414" s="1">
        <f>data!B414</f>
        <v>13</v>
      </c>
      <c r="C414" s="1">
        <f>data!C414</f>
        <v>469</v>
      </c>
      <c r="D414" s="1">
        <f>data!D414</f>
        <v>41.38</v>
      </c>
      <c r="E414" s="1">
        <f t="shared" si="3"/>
        <v>56</v>
      </c>
      <c r="F414" s="1">
        <f t="shared" si="4"/>
        <v>34</v>
      </c>
      <c r="G414" s="1">
        <f t="shared" si="5"/>
        <v>573</v>
      </c>
    </row>
    <row r="415" spans="2:7" x14ac:dyDescent="0.2">
      <c r="B415" s="1">
        <f>data!B415</f>
        <v>9</v>
      </c>
      <c r="C415" s="1">
        <f>data!C415</f>
        <v>180</v>
      </c>
      <c r="D415" s="1">
        <f>data!D415</f>
        <v>54.55</v>
      </c>
      <c r="E415" s="1">
        <f t="shared" si="3"/>
        <v>151.5</v>
      </c>
      <c r="F415" s="1">
        <f t="shared" si="4"/>
        <v>158</v>
      </c>
      <c r="G415" s="1">
        <f t="shared" si="5"/>
        <v>385</v>
      </c>
    </row>
    <row r="416" spans="2:7" x14ac:dyDescent="0.2">
      <c r="B416" s="1">
        <f>data!B416</f>
        <v>4</v>
      </c>
      <c r="C416" s="1">
        <f>data!C416</f>
        <v>6</v>
      </c>
      <c r="D416" s="1">
        <f>data!D416</f>
        <v>91.78</v>
      </c>
      <c r="E416" s="1">
        <f t="shared" si="3"/>
        <v>422.5</v>
      </c>
      <c r="F416" s="1">
        <f t="shared" si="4"/>
        <v>552</v>
      </c>
      <c r="G416" s="1">
        <f t="shared" si="5"/>
        <v>18</v>
      </c>
    </row>
    <row r="417" spans="2:7" x14ac:dyDescent="0.2">
      <c r="B417" s="1">
        <f>data!B417</f>
        <v>5</v>
      </c>
      <c r="C417" s="1">
        <f>data!C417</f>
        <v>88</v>
      </c>
      <c r="D417" s="1">
        <f>data!D417</f>
        <v>50.84</v>
      </c>
      <c r="E417" s="1">
        <f t="shared" si="3"/>
        <v>345</v>
      </c>
      <c r="F417" s="1">
        <f t="shared" si="4"/>
        <v>278</v>
      </c>
      <c r="G417" s="1">
        <f t="shared" si="5"/>
        <v>446</v>
      </c>
    </row>
    <row r="418" spans="2:7" x14ac:dyDescent="0.2">
      <c r="B418" s="1">
        <f>data!B418</f>
        <v>8</v>
      </c>
      <c r="C418" s="1">
        <f>data!C418</f>
        <v>95</v>
      </c>
      <c r="D418" s="1">
        <f>data!D418</f>
        <v>53.43</v>
      </c>
      <c r="E418" s="1">
        <f t="shared" si="3"/>
        <v>187.5</v>
      </c>
      <c r="F418" s="1">
        <f t="shared" si="4"/>
        <v>269.5</v>
      </c>
      <c r="G418" s="1">
        <f t="shared" si="5"/>
        <v>405</v>
      </c>
    </row>
    <row r="419" spans="2:7" x14ac:dyDescent="0.2">
      <c r="B419" s="1">
        <f>data!B419</f>
        <v>4</v>
      </c>
      <c r="C419" s="1">
        <f>data!C419</f>
        <v>89</v>
      </c>
      <c r="D419" s="1">
        <f>data!D419</f>
        <v>53.89</v>
      </c>
      <c r="E419" s="1">
        <f t="shared" si="3"/>
        <v>422.5</v>
      </c>
      <c r="F419" s="1">
        <f t="shared" si="4"/>
        <v>276</v>
      </c>
      <c r="G419" s="1">
        <f t="shared" si="5"/>
        <v>397</v>
      </c>
    </row>
    <row r="420" spans="2:7" x14ac:dyDescent="0.2">
      <c r="B420" s="1">
        <f>data!B420</f>
        <v>5</v>
      </c>
      <c r="C420" s="1">
        <f>data!C420</f>
        <v>5</v>
      </c>
      <c r="D420" s="1">
        <f>data!D420</f>
        <v>92.19</v>
      </c>
      <c r="E420" s="1">
        <f t="shared" si="3"/>
        <v>345</v>
      </c>
      <c r="F420" s="1">
        <f t="shared" si="4"/>
        <v>595</v>
      </c>
      <c r="G420" s="1">
        <f t="shared" si="5"/>
        <v>8</v>
      </c>
    </row>
    <row r="421" spans="2:7" x14ac:dyDescent="0.2">
      <c r="B421" s="1">
        <f>data!B421</f>
        <v>6</v>
      </c>
      <c r="C421" s="1">
        <f>data!C421</f>
        <v>86</v>
      </c>
      <c r="D421" s="1">
        <f>data!D421</f>
        <v>51.96</v>
      </c>
      <c r="E421" s="1">
        <f t="shared" si="3"/>
        <v>284.5</v>
      </c>
      <c r="F421" s="1">
        <f t="shared" si="4"/>
        <v>280.5</v>
      </c>
      <c r="G421" s="1">
        <f t="shared" si="5"/>
        <v>429</v>
      </c>
    </row>
    <row r="422" spans="2:7" x14ac:dyDescent="0.2">
      <c r="B422" s="1">
        <f>data!B422</f>
        <v>6</v>
      </c>
      <c r="C422" s="1">
        <f>data!C422</f>
        <v>70</v>
      </c>
      <c r="D422" s="1">
        <f>data!D422</f>
        <v>53.64</v>
      </c>
      <c r="E422" s="1">
        <f t="shared" si="3"/>
        <v>284.5</v>
      </c>
      <c r="F422" s="1">
        <f t="shared" si="4"/>
        <v>321</v>
      </c>
      <c r="G422" s="1">
        <f t="shared" si="5"/>
        <v>403</v>
      </c>
    </row>
    <row r="423" spans="2:7" x14ac:dyDescent="0.2">
      <c r="B423" s="1">
        <f>data!B423</f>
        <v>8</v>
      </c>
      <c r="C423" s="1">
        <f>data!C423</f>
        <v>58</v>
      </c>
      <c r="D423" s="1">
        <f>data!D423</f>
        <v>58.57</v>
      </c>
      <c r="E423" s="1">
        <f t="shared" si="3"/>
        <v>187.5</v>
      </c>
      <c r="F423" s="1">
        <f t="shared" si="4"/>
        <v>351.5</v>
      </c>
      <c r="G423" s="1">
        <f t="shared" si="5"/>
        <v>332</v>
      </c>
    </row>
    <row r="424" spans="2:7" x14ac:dyDescent="0.2">
      <c r="B424" s="1">
        <f>data!B424</f>
        <v>2</v>
      </c>
      <c r="C424" s="1">
        <f>data!C424</f>
        <v>9</v>
      </c>
      <c r="D424" s="1">
        <f>data!D424</f>
        <v>85</v>
      </c>
      <c r="E424" s="1">
        <f t="shared" si="3"/>
        <v>585.5</v>
      </c>
      <c r="F424" s="1">
        <f t="shared" si="4"/>
        <v>509</v>
      </c>
      <c r="G424" s="1">
        <f t="shared" si="5"/>
        <v>148</v>
      </c>
    </row>
    <row r="425" spans="2:7" x14ac:dyDescent="0.2">
      <c r="B425" s="1">
        <f>data!B425</f>
        <v>5</v>
      </c>
      <c r="C425" s="1">
        <f>data!C425</f>
        <v>90</v>
      </c>
      <c r="D425" s="1">
        <f>data!D425</f>
        <v>50.82</v>
      </c>
      <c r="E425" s="1">
        <f t="shared" si="3"/>
        <v>345</v>
      </c>
      <c r="F425" s="1">
        <f t="shared" si="4"/>
        <v>274</v>
      </c>
      <c r="G425" s="1">
        <f t="shared" si="5"/>
        <v>447</v>
      </c>
    </row>
    <row r="426" spans="2:7" x14ac:dyDescent="0.2">
      <c r="B426" s="1">
        <f>data!B426</f>
        <v>3</v>
      </c>
      <c r="C426" s="1">
        <f>data!C426</f>
        <v>5</v>
      </c>
      <c r="D426" s="1">
        <f>data!D426</f>
        <v>92.42</v>
      </c>
      <c r="E426" s="1">
        <f t="shared" si="3"/>
        <v>502</v>
      </c>
      <c r="F426" s="1">
        <f t="shared" si="4"/>
        <v>595</v>
      </c>
      <c r="G426" s="1">
        <f t="shared" si="5"/>
        <v>6</v>
      </c>
    </row>
    <row r="427" spans="2:7" x14ac:dyDescent="0.2">
      <c r="B427" s="1">
        <f>data!B427</f>
        <v>3</v>
      </c>
      <c r="C427" s="1">
        <f>data!C427</f>
        <v>5</v>
      </c>
      <c r="D427" s="1">
        <f>data!D427</f>
        <v>91.8</v>
      </c>
      <c r="E427" s="1">
        <f t="shared" si="3"/>
        <v>502</v>
      </c>
      <c r="F427" s="1">
        <f t="shared" si="4"/>
        <v>595</v>
      </c>
      <c r="G427" s="1">
        <f t="shared" si="5"/>
        <v>15.5</v>
      </c>
    </row>
    <row r="428" spans="2:7" x14ac:dyDescent="0.2">
      <c r="B428" s="1">
        <f>data!B428</f>
        <v>8</v>
      </c>
      <c r="C428" s="1">
        <f>data!C428</f>
        <v>182</v>
      </c>
      <c r="D428" s="1">
        <f>data!D428</f>
        <v>39.130000000000003</v>
      </c>
      <c r="E428" s="1">
        <f t="shared" si="3"/>
        <v>187.5</v>
      </c>
      <c r="F428" s="1">
        <f t="shared" si="4"/>
        <v>153</v>
      </c>
      <c r="G428" s="1">
        <f t="shared" si="5"/>
        <v>592</v>
      </c>
    </row>
    <row r="429" spans="2:7" x14ac:dyDescent="0.2">
      <c r="B429" s="1">
        <f>data!B429</f>
        <v>8</v>
      </c>
      <c r="C429" s="1">
        <f>data!C429</f>
        <v>158</v>
      </c>
      <c r="D429" s="1">
        <f>data!D429</f>
        <v>44.37</v>
      </c>
      <c r="E429" s="1">
        <f t="shared" si="3"/>
        <v>187.5</v>
      </c>
      <c r="F429" s="1">
        <f t="shared" si="4"/>
        <v>180</v>
      </c>
      <c r="G429" s="1">
        <f t="shared" si="5"/>
        <v>547</v>
      </c>
    </row>
    <row r="430" spans="2:7" x14ac:dyDescent="0.2">
      <c r="B430" s="1">
        <f>data!B430</f>
        <v>6</v>
      </c>
      <c r="C430" s="1">
        <f>data!C430</f>
        <v>48</v>
      </c>
      <c r="D430" s="1">
        <f>data!D430</f>
        <v>61.6</v>
      </c>
      <c r="E430" s="1">
        <f t="shared" si="3"/>
        <v>284.5</v>
      </c>
      <c r="F430" s="1">
        <f t="shared" si="4"/>
        <v>385.5</v>
      </c>
      <c r="G430" s="1">
        <f t="shared" si="5"/>
        <v>285</v>
      </c>
    </row>
    <row r="431" spans="2:7" x14ac:dyDescent="0.2">
      <c r="B431" s="1">
        <f>data!B431</f>
        <v>12</v>
      </c>
      <c r="C431" s="1">
        <f>data!C431</f>
        <v>112</v>
      </c>
      <c r="D431" s="1">
        <f>data!D431</f>
        <v>46.92</v>
      </c>
      <c r="E431" s="1">
        <f t="shared" si="3"/>
        <v>74.5</v>
      </c>
      <c r="F431" s="1">
        <f t="shared" si="4"/>
        <v>239.5</v>
      </c>
      <c r="G431" s="1">
        <f t="shared" si="5"/>
        <v>515</v>
      </c>
    </row>
    <row r="432" spans="2:7" x14ac:dyDescent="0.2">
      <c r="B432" s="1">
        <f>data!B432</f>
        <v>2</v>
      </c>
      <c r="C432" s="1">
        <f>data!C432</f>
        <v>6</v>
      </c>
      <c r="D432" s="1">
        <f>data!D432</f>
        <v>87.23</v>
      </c>
      <c r="E432" s="1">
        <f t="shared" si="3"/>
        <v>585.5</v>
      </c>
      <c r="F432" s="1">
        <f t="shared" si="4"/>
        <v>552</v>
      </c>
      <c r="G432" s="1">
        <f t="shared" si="5"/>
        <v>124.5</v>
      </c>
    </row>
    <row r="433" spans="2:7" x14ac:dyDescent="0.2">
      <c r="B433" s="1">
        <f>data!B433</f>
        <v>2</v>
      </c>
      <c r="C433" s="1">
        <f>data!C433</f>
        <v>7</v>
      </c>
      <c r="D433" s="1">
        <f>data!D433</f>
        <v>82.5</v>
      </c>
      <c r="E433" s="1">
        <f t="shared" si="3"/>
        <v>585.5</v>
      </c>
      <c r="F433" s="1">
        <f t="shared" si="4"/>
        <v>524.5</v>
      </c>
      <c r="G433" s="1">
        <f t="shared" si="5"/>
        <v>157</v>
      </c>
    </row>
    <row r="434" spans="2:7" x14ac:dyDescent="0.2">
      <c r="B434" s="1">
        <f>data!B434</f>
        <v>5</v>
      </c>
      <c r="C434" s="1">
        <f>data!C434</f>
        <v>144</v>
      </c>
      <c r="D434" s="1">
        <f>data!D434</f>
        <v>59.44</v>
      </c>
      <c r="E434" s="1">
        <f t="shared" si="3"/>
        <v>345</v>
      </c>
      <c r="F434" s="1">
        <f t="shared" si="4"/>
        <v>198</v>
      </c>
      <c r="G434" s="1">
        <f t="shared" si="5"/>
        <v>313.5</v>
      </c>
    </row>
    <row r="435" spans="2:7" x14ac:dyDescent="0.2">
      <c r="B435" s="1">
        <f>data!B435</f>
        <v>4</v>
      </c>
      <c r="C435" s="1">
        <f>data!C435</f>
        <v>7</v>
      </c>
      <c r="D435" s="1">
        <f>data!D435</f>
        <v>89.71</v>
      </c>
      <c r="E435" s="1">
        <f t="shared" si="3"/>
        <v>422.5</v>
      </c>
      <c r="F435" s="1">
        <f t="shared" si="4"/>
        <v>524.5</v>
      </c>
      <c r="G435" s="1">
        <f t="shared" si="5"/>
        <v>69.5</v>
      </c>
    </row>
    <row r="436" spans="2:7" x14ac:dyDescent="0.2">
      <c r="B436" s="1">
        <f>data!B436</f>
        <v>2</v>
      </c>
      <c r="C436" s="1">
        <f>data!C436</f>
        <v>79</v>
      </c>
      <c r="D436" s="1">
        <f>data!D436</f>
        <v>49.36</v>
      </c>
      <c r="E436" s="1">
        <f t="shared" si="3"/>
        <v>585.5</v>
      </c>
      <c r="F436" s="1">
        <f t="shared" si="4"/>
        <v>298</v>
      </c>
      <c r="G436" s="1">
        <f t="shared" si="5"/>
        <v>472</v>
      </c>
    </row>
    <row r="437" spans="2:7" x14ac:dyDescent="0.2">
      <c r="B437" s="1">
        <f>data!B437</f>
        <v>5</v>
      </c>
      <c r="C437" s="1">
        <f>data!C437</f>
        <v>25</v>
      </c>
      <c r="D437" s="1">
        <f>data!D437</f>
        <v>71.260000000000005</v>
      </c>
      <c r="E437" s="1">
        <f t="shared" si="3"/>
        <v>345</v>
      </c>
      <c r="F437" s="1">
        <f t="shared" si="4"/>
        <v>445</v>
      </c>
      <c r="G437" s="1">
        <f t="shared" si="5"/>
        <v>201</v>
      </c>
    </row>
    <row r="438" spans="2:7" x14ac:dyDescent="0.2">
      <c r="B438" s="1">
        <f>data!B438</f>
        <v>4</v>
      </c>
      <c r="C438" s="1">
        <f>data!C438</f>
        <v>6</v>
      </c>
      <c r="D438" s="1">
        <f>data!D438</f>
        <v>90.77</v>
      </c>
      <c r="E438" s="1">
        <f t="shared" si="3"/>
        <v>422.5</v>
      </c>
      <c r="F438" s="1">
        <f t="shared" si="4"/>
        <v>552</v>
      </c>
      <c r="G438" s="1">
        <f t="shared" si="5"/>
        <v>46</v>
      </c>
    </row>
    <row r="439" spans="2:7" x14ac:dyDescent="0.2">
      <c r="B439" s="1">
        <f>data!B439</f>
        <v>3</v>
      </c>
      <c r="C439" s="1">
        <f>data!C439</f>
        <v>7</v>
      </c>
      <c r="D439" s="1">
        <f>data!D439</f>
        <v>88.71</v>
      </c>
      <c r="E439" s="1">
        <f t="shared" si="3"/>
        <v>502</v>
      </c>
      <c r="F439" s="1">
        <f t="shared" si="4"/>
        <v>524.5</v>
      </c>
      <c r="G439" s="1">
        <f t="shared" si="5"/>
        <v>89</v>
      </c>
    </row>
    <row r="440" spans="2:7" x14ac:dyDescent="0.2">
      <c r="B440" s="1">
        <f>data!B440</f>
        <v>8</v>
      </c>
      <c r="C440" s="1">
        <f>data!C440</f>
        <v>155</v>
      </c>
      <c r="D440" s="1">
        <f>data!D440</f>
        <v>48.68</v>
      </c>
      <c r="E440" s="1">
        <f t="shared" si="3"/>
        <v>187.5</v>
      </c>
      <c r="F440" s="1">
        <f t="shared" si="4"/>
        <v>186.5</v>
      </c>
      <c r="G440" s="1">
        <f t="shared" si="5"/>
        <v>485</v>
      </c>
    </row>
    <row r="441" spans="2:7" x14ac:dyDescent="0.2">
      <c r="B441" s="1">
        <f>data!B441</f>
        <v>7</v>
      </c>
      <c r="C441" s="1">
        <f>data!C441</f>
        <v>146</v>
      </c>
      <c r="D441" s="1">
        <f>data!D441</f>
        <v>64.56</v>
      </c>
      <c r="E441" s="1">
        <f t="shared" si="3"/>
        <v>234.5</v>
      </c>
      <c r="F441" s="1">
        <f t="shared" si="4"/>
        <v>197</v>
      </c>
      <c r="G441" s="1">
        <f t="shared" si="5"/>
        <v>252</v>
      </c>
    </row>
    <row r="442" spans="2:7" x14ac:dyDescent="0.2">
      <c r="B442" s="1">
        <f>data!B442</f>
        <v>8</v>
      </c>
      <c r="C442" s="1">
        <f>data!C442</f>
        <v>380</v>
      </c>
      <c r="D442" s="1">
        <f>data!D442</f>
        <v>48.79</v>
      </c>
      <c r="E442" s="1">
        <f t="shared" si="3"/>
        <v>187.5</v>
      </c>
      <c r="F442" s="1">
        <f t="shared" si="4"/>
        <v>53</v>
      </c>
      <c r="G442" s="1">
        <f t="shared" si="5"/>
        <v>483</v>
      </c>
    </row>
    <row r="443" spans="2:7" x14ac:dyDescent="0.2">
      <c r="B443" s="1">
        <f>data!B443</f>
        <v>5</v>
      </c>
      <c r="C443" s="1">
        <f>data!C443</f>
        <v>8</v>
      </c>
      <c r="D443" s="1">
        <f>data!D443</f>
        <v>90.8</v>
      </c>
      <c r="E443" s="1">
        <f t="shared" si="3"/>
        <v>345</v>
      </c>
      <c r="F443" s="1">
        <f t="shared" si="4"/>
        <v>515</v>
      </c>
      <c r="G443" s="1">
        <f t="shared" si="5"/>
        <v>44</v>
      </c>
    </row>
    <row r="444" spans="2:7" x14ac:dyDescent="0.2">
      <c r="B444" s="1">
        <f>data!B444</f>
        <v>8</v>
      </c>
      <c r="C444" s="1">
        <f>data!C444</f>
        <v>152</v>
      </c>
      <c r="D444" s="1">
        <f>data!D444</f>
        <v>56.32</v>
      </c>
      <c r="E444" s="1">
        <f t="shared" si="3"/>
        <v>187.5</v>
      </c>
      <c r="F444" s="1">
        <f t="shared" si="4"/>
        <v>190.5</v>
      </c>
      <c r="G444" s="1">
        <f t="shared" si="5"/>
        <v>362</v>
      </c>
    </row>
    <row r="445" spans="2:7" x14ac:dyDescent="0.2">
      <c r="B445" s="1">
        <f>data!B445</f>
        <v>8</v>
      </c>
      <c r="C445" s="1">
        <f>data!C445</f>
        <v>56</v>
      </c>
      <c r="D445" s="1">
        <f>data!D445</f>
        <v>63.4</v>
      </c>
      <c r="E445" s="1">
        <f t="shared" si="3"/>
        <v>187.5</v>
      </c>
      <c r="F445" s="1">
        <f t="shared" si="4"/>
        <v>361</v>
      </c>
      <c r="G445" s="1">
        <f t="shared" si="5"/>
        <v>262.5</v>
      </c>
    </row>
    <row r="446" spans="2:7" x14ac:dyDescent="0.2">
      <c r="B446" s="1">
        <f>data!B446</f>
        <v>12</v>
      </c>
      <c r="C446" s="1">
        <f>data!C446</f>
        <v>209</v>
      </c>
      <c r="D446" s="1">
        <f>data!D446</f>
        <v>50.94</v>
      </c>
      <c r="E446" s="1">
        <f t="shared" si="3"/>
        <v>74.5</v>
      </c>
      <c r="F446" s="1">
        <f t="shared" si="4"/>
        <v>128</v>
      </c>
      <c r="G446" s="1">
        <f t="shared" si="5"/>
        <v>443</v>
      </c>
    </row>
    <row r="447" spans="2:7" x14ac:dyDescent="0.2">
      <c r="B447" s="1">
        <f>data!B447</f>
        <v>7</v>
      </c>
      <c r="C447" s="1">
        <f>data!C447</f>
        <v>126</v>
      </c>
      <c r="D447" s="1">
        <f>data!D447</f>
        <v>48.99</v>
      </c>
      <c r="E447" s="1">
        <f t="shared" si="3"/>
        <v>234.5</v>
      </c>
      <c r="F447" s="1">
        <f t="shared" si="4"/>
        <v>221</v>
      </c>
      <c r="G447" s="1">
        <f t="shared" si="5"/>
        <v>477.5</v>
      </c>
    </row>
    <row r="448" spans="2:7" x14ac:dyDescent="0.2">
      <c r="B448" s="1">
        <f>data!B448</f>
        <v>7</v>
      </c>
      <c r="C448" s="1">
        <f>data!C448</f>
        <v>56</v>
      </c>
      <c r="D448" s="1">
        <f>data!D448</f>
        <v>62.42</v>
      </c>
      <c r="E448" s="1">
        <f t="shared" si="3"/>
        <v>234.5</v>
      </c>
      <c r="F448" s="1">
        <f t="shared" si="4"/>
        <v>361</v>
      </c>
      <c r="G448" s="1">
        <f t="shared" si="5"/>
        <v>275</v>
      </c>
    </row>
    <row r="449" spans="2:7" x14ac:dyDescent="0.2">
      <c r="B449" s="1">
        <f>data!B449</f>
        <v>9</v>
      </c>
      <c r="C449" s="1">
        <f>data!C449</f>
        <v>203</v>
      </c>
      <c r="D449" s="1">
        <f>data!D449</f>
        <v>50.85</v>
      </c>
      <c r="E449" s="1">
        <f t="shared" si="3"/>
        <v>151.5</v>
      </c>
      <c r="F449" s="1">
        <f t="shared" si="4"/>
        <v>135.5</v>
      </c>
      <c r="G449" s="1">
        <f t="shared" si="5"/>
        <v>445</v>
      </c>
    </row>
    <row r="450" spans="2:7" x14ac:dyDescent="0.2">
      <c r="B450" s="1">
        <f>data!B450</f>
        <v>13</v>
      </c>
      <c r="C450" s="1">
        <f>data!C450</f>
        <v>255</v>
      </c>
      <c r="D450" s="1">
        <f>data!D450</f>
        <v>49.7</v>
      </c>
      <c r="E450" s="1">
        <f t="shared" si="3"/>
        <v>56</v>
      </c>
      <c r="F450" s="1">
        <f t="shared" si="4"/>
        <v>94</v>
      </c>
      <c r="G450" s="1">
        <f t="shared" si="5"/>
        <v>465.5</v>
      </c>
    </row>
    <row r="451" spans="2:7" x14ac:dyDescent="0.2">
      <c r="B451" s="1">
        <f>data!B451</f>
        <v>5</v>
      </c>
      <c r="C451" s="1">
        <f>data!C451</f>
        <v>6</v>
      </c>
      <c r="D451" s="1">
        <f>data!D451</f>
        <v>91.89</v>
      </c>
      <c r="E451" s="1">
        <f t="shared" si="3"/>
        <v>345</v>
      </c>
      <c r="F451" s="1">
        <f t="shared" si="4"/>
        <v>552</v>
      </c>
      <c r="G451" s="1">
        <f t="shared" si="5"/>
        <v>13.5</v>
      </c>
    </row>
    <row r="452" spans="2:7" x14ac:dyDescent="0.2">
      <c r="B452" s="1">
        <f>data!B452</f>
        <v>6</v>
      </c>
      <c r="C452" s="1">
        <f>data!C452</f>
        <v>6</v>
      </c>
      <c r="D452" s="1">
        <f>data!D452</f>
        <v>87.23</v>
      </c>
      <c r="E452" s="1">
        <f t="shared" si="3"/>
        <v>284.5</v>
      </c>
      <c r="F452" s="1">
        <f t="shared" si="4"/>
        <v>552</v>
      </c>
      <c r="G452" s="1">
        <f t="shared" si="5"/>
        <v>124.5</v>
      </c>
    </row>
    <row r="453" spans="2:7" x14ac:dyDescent="0.2">
      <c r="B453" s="1">
        <f>data!B453</f>
        <v>2</v>
      </c>
      <c r="C453" s="1">
        <f>data!C453</f>
        <v>181</v>
      </c>
      <c r="D453" s="1">
        <f>data!D453</f>
        <v>48.29</v>
      </c>
      <c r="E453" s="1">
        <f t="shared" si="3"/>
        <v>585.5</v>
      </c>
      <c r="F453" s="1">
        <f t="shared" si="4"/>
        <v>155</v>
      </c>
      <c r="G453" s="1">
        <f t="shared" si="5"/>
        <v>493.5</v>
      </c>
    </row>
    <row r="454" spans="2:7" x14ac:dyDescent="0.2">
      <c r="B454" s="1">
        <f>data!B454</f>
        <v>2</v>
      </c>
      <c r="C454" s="1">
        <f>data!C454</f>
        <v>14</v>
      </c>
      <c r="D454" s="1">
        <f>data!D454</f>
        <v>88.62</v>
      </c>
      <c r="E454" s="1">
        <f t="shared" si="3"/>
        <v>585.5</v>
      </c>
      <c r="F454" s="1">
        <f t="shared" si="4"/>
        <v>464</v>
      </c>
      <c r="G454" s="1">
        <f t="shared" si="5"/>
        <v>98</v>
      </c>
    </row>
    <row r="455" spans="2:7" x14ac:dyDescent="0.2">
      <c r="B455" s="1">
        <f>data!B455</f>
        <v>2</v>
      </c>
      <c r="C455" s="1">
        <f>data!C455</f>
        <v>93</v>
      </c>
      <c r="D455" s="1">
        <f>data!D455</f>
        <v>52.06</v>
      </c>
      <c r="E455" s="1">
        <f t="shared" si="3"/>
        <v>585.5</v>
      </c>
      <c r="F455" s="1">
        <f t="shared" si="4"/>
        <v>271.5</v>
      </c>
      <c r="G455" s="1">
        <f t="shared" si="5"/>
        <v>428</v>
      </c>
    </row>
    <row r="456" spans="2:7" x14ac:dyDescent="0.2">
      <c r="B456" s="1">
        <f>data!B456</f>
        <v>2</v>
      </c>
      <c r="C456" s="1">
        <f>data!C456</f>
        <v>66</v>
      </c>
      <c r="D456" s="1">
        <f>data!D456</f>
        <v>57.69</v>
      </c>
      <c r="E456" s="1">
        <f t="shared" si="3"/>
        <v>585.5</v>
      </c>
      <c r="F456" s="1">
        <f t="shared" si="4"/>
        <v>329.5</v>
      </c>
      <c r="G456" s="1">
        <f t="shared" si="5"/>
        <v>347.5</v>
      </c>
    </row>
    <row r="457" spans="2:7" x14ac:dyDescent="0.2">
      <c r="B457" s="1">
        <f>data!B457</f>
        <v>2</v>
      </c>
      <c r="C457" s="1">
        <f>data!C457</f>
        <v>56</v>
      </c>
      <c r="D457" s="1">
        <f>data!D457</f>
        <v>60</v>
      </c>
      <c r="E457" s="1">
        <f t="shared" si="3"/>
        <v>585.5</v>
      </c>
      <c r="F457" s="1">
        <f t="shared" si="4"/>
        <v>361</v>
      </c>
      <c r="G457" s="1">
        <f t="shared" si="5"/>
        <v>309.5</v>
      </c>
    </row>
    <row r="458" spans="2:7" x14ac:dyDescent="0.2">
      <c r="B458" s="1">
        <f>data!B458</f>
        <v>4</v>
      </c>
      <c r="C458" s="1">
        <f>data!C458</f>
        <v>4</v>
      </c>
      <c r="D458" s="1">
        <f>data!D458</f>
        <v>92.59</v>
      </c>
      <c r="E458" s="1">
        <f t="shared" si="3"/>
        <v>422.5</v>
      </c>
      <c r="F458" s="1">
        <f t="shared" si="4"/>
        <v>624.5</v>
      </c>
      <c r="G458" s="1">
        <f t="shared" si="5"/>
        <v>3.5</v>
      </c>
    </row>
    <row r="459" spans="2:7" x14ac:dyDescent="0.2">
      <c r="B459" s="1">
        <f>data!B459</f>
        <v>4</v>
      </c>
      <c r="C459" s="1">
        <f>data!C459</f>
        <v>42</v>
      </c>
      <c r="D459" s="1">
        <f>data!D459</f>
        <v>65.290000000000006</v>
      </c>
      <c r="E459" s="1">
        <f t="shared" si="3"/>
        <v>422.5</v>
      </c>
      <c r="F459" s="1">
        <f t="shared" si="4"/>
        <v>402.5</v>
      </c>
      <c r="G459" s="1">
        <f t="shared" si="5"/>
        <v>243.5</v>
      </c>
    </row>
    <row r="460" spans="2:7" x14ac:dyDescent="0.2">
      <c r="B460" s="1">
        <f>data!B460</f>
        <v>4</v>
      </c>
      <c r="C460" s="1">
        <f>data!C460</f>
        <v>50</v>
      </c>
      <c r="D460" s="1">
        <f>data!D460</f>
        <v>61.24</v>
      </c>
      <c r="E460" s="1">
        <f t="shared" si="3"/>
        <v>422.5</v>
      </c>
      <c r="F460" s="1">
        <f t="shared" si="4"/>
        <v>376.5</v>
      </c>
      <c r="G460" s="1">
        <f t="shared" si="5"/>
        <v>290</v>
      </c>
    </row>
    <row r="461" spans="2:7" x14ac:dyDescent="0.2">
      <c r="B461" s="1">
        <f>data!B461</f>
        <v>6</v>
      </c>
      <c r="C461" s="1">
        <f>data!C461</f>
        <v>38</v>
      </c>
      <c r="D461" s="1">
        <f>data!D461</f>
        <v>67.52</v>
      </c>
      <c r="E461" s="1">
        <f t="shared" si="3"/>
        <v>284.5</v>
      </c>
      <c r="F461" s="1">
        <f t="shared" si="4"/>
        <v>415</v>
      </c>
      <c r="G461" s="1">
        <f t="shared" si="5"/>
        <v>226</v>
      </c>
    </row>
    <row r="462" spans="2:7" x14ac:dyDescent="0.2">
      <c r="B462" s="1">
        <f>data!B462</f>
        <v>4</v>
      </c>
      <c r="C462" s="1">
        <f>data!C462</f>
        <v>42</v>
      </c>
      <c r="D462" s="1">
        <f>data!D462</f>
        <v>65.290000000000006</v>
      </c>
      <c r="E462" s="1">
        <f t="shared" si="3"/>
        <v>422.5</v>
      </c>
      <c r="F462" s="1">
        <f t="shared" si="4"/>
        <v>402.5</v>
      </c>
      <c r="G462" s="1">
        <f t="shared" si="5"/>
        <v>243.5</v>
      </c>
    </row>
    <row r="463" spans="2:7" x14ac:dyDescent="0.2">
      <c r="B463" s="1">
        <f>data!B463</f>
        <v>4</v>
      </c>
      <c r="C463" s="1">
        <f>data!C463</f>
        <v>15</v>
      </c>
      <c r="D463" s="1">
        <f>data!D463</f>
        <v>90.63</v>
      </c>
      <c r="E463" s="1">
        <f t="shared" si="3"/>
        <v>422.5</v>
      </c>
      <c r="F463" s="1">
        <f t="shared" si="4"/>
        <v>460</v>
      </c>
      <c r="G463" s="1">
        <f t="shared" si="5"/>
        <v>51</v>
      </c>
    </row>
    <row r="464" spans="2:7" x14ac:dyDescent="0.2">
      <c r="B464" s="1">
        <f>data!B464</f>
        <v>6</v>
      </c>
      <c r="C464" s="1">
        <f>data!C464</f>
        <v>283</v>
      </c>
      <c r="D464" s="1">
        <f>data!D464</f>
        <v>54.13</v>
      </c>
      <c r="E464" s="1">
        <f t="shared" si="3"/>
        <v>284.5</v>
      </c>
      <c r="F464" s="1">
        <f t="shared" si="4"/>
        <v>80</v>
      </c>
      <c r="G464" s="1">
        <f t="shared" si="5"/>
        <v>394</v>
      </c>
    </row>
    <row r="465" spans="2:7" x14ac:dyDescent="0.2">
      <c r="B465" s="1">
        <f>data!B465</f>
        <v>8</v>
      </c>
      <c r="C465" s="1">
        <f>data!C465</f>
        <v>98</v>
      </c>
      <c r="D465" s="1">
        <f>data!D465</f>
        <v>57.21</v>
      </c>
      <c r="E465" s="1">
        <f t="shared" si="3"/>
        <v>187.5</v>
      </c>
      <c r="F465" s="1">
        <f t="shared" si="4"/>
        <v>263</v>
      </c>
      <c r="G465" s="1">
        <f t="shared" si="5"/>
        <v>352</v>
      </c>
    </row>
    <row r="466" spans="2:7" x14ac:dyDescent="0.2">
      <c r="B466" s="1">
        <f>data!B466</f>
        <v>8</v>
      </c>
      <c r="C466" s="1">
        <f>data!C466</f>
        <v>79</v>
      </c>
      <c r="D466" s="1">
        <f>data!D466</f>
        <v>57.07</v>
      </c>
      <c r="E466" s="1">
        <f t="shared" si="3"/>
        <v>187.5</v>
      </c>
      <c r="F466" s="1">
        <f t="shared" si="4"/>
        <v>298</v>
      </c>
      <c r="G466" s="1">
        <f t="shared" si="5"/>
        <v>353</v>
      </c>
    </row>
    <row r="467" spans="2:7" x14ac:dyDescent="0.2">
      <c r="B467" s="1">
        <f>data!B467</f>
        <v>11</v>
      </c>
      <c r="C467" s="1">
        <f>data!C467</f>
        <v>316</v>
      </c>
      <c r="D467" s="1">
        <f>data!D467</f>
        <v>50.08</v>
      </c>
      <c r="E467" s="1">
        <f t="shared" si="3"/>
        <v>98</v>
      </c>
      <c r="F467" s="1">
        <f t="shared" si="4"/>
        <v>72</v>
      </c>
      <c r="G467" s="1">
        <f t="shared" si="5"/>
        <v>459</v>
      </c>
    </row>
    <row r="468" spans="2:7" x14ac:dyDescent="0.2">
      <c r="B468" s="1">
        <f>data!B468</f>
        <v>6</v>
      </c>
      <c r="C468" s="1">
        <f>data!C468</f>
        <v>203</v>
      </c>
      <c r="D468" s="1">
        <f>data!D468</f>
        <v>54.38</v>
      </c>
      <c r="E468" s="1">
        <f t="shared" si="3"/>
        <v>284.5</v>
      </c>
      <c r="F468" s="1">
        <f t="shared" si="4"/>
        <v>135.5</v>
      </c>
      <c r="G468" s="1">
        <f t="shared" si="5"/>
        <v>387</v>
      </c>
    </row>
    <row r="469" spans="2:7" x14ac:dyDescent="0.2">
      <c r="B469" s="1">
        <f>data!B469</f>
        <v>7</v>
      </c>
      <c r="C469" s="1">
        <f>data!C469</f>
        <v>70</v>
      </c>
      <c r="D469" s="1">
        <f>data!D469</f>
        <v>68.33</v>
      </c>
      <c r="E469" s="1">
        <f t="shared" si="3"/>
        <v>234.5</v>
      </c>
      <c r="F469" s="1">
        <f t="shared" si="4"/>
        <v>321</v>
      </c>
      <c r="G469" s="1">
        <f t="shared" si="5"/>
        <v>222</v>
      </c>
    </row>
    <row r="470" spans="2:7" x14ac:dyDescent="0.2">
      <c r="B470" s="1">
        <f>data!B470</f>
        <v>3</v>
      </c>
      <c r="C470" s="1">
        <f>data!C470</f>
        <v>28</v>
      </c>
      <c r="D470" s="1">
        <f>data!D470</f>
        <v>72</v>
      </c>
      <c r="E470" s="1">
        <f t="shared" si="3"/>
        <v>502</v>
      </c>
      <c r="F470" s="1">
        <f t="shared" si="4"/>
        <v>440.5</v>
      </c>
      <c r="G470" s="1">
        <f t="shared" si="5"/>
        <v>198</v>
      </c>
    </row>
    <row r="471" spans="2:7" x14ac:dyDescent="0.2">
      <c r="B471" s="1">
        <f>data!B471</f>
        <v>4</v>
      </c>
      <c r="C471" s="1">
        <f>data!C471</f>
        <v>5</v>
      </c>
      <c r="D471" s="1">
        <f>data!D471</f>
        <v>91.23</v>
      </c>
      <c r="E471" s="1">
        <f t="shared" si="3"/>
        <v>422.5</v>
      </c>
      <c r="F471" s="1">
        <f t="shared" si="4"/>
        <v>595</v>
      </c>
      <c r="G471" s="1">
        <f t="shared" si="5"/>
        <v>36</v>
      </c>
    </row>
    <row r="472" spans="2:7" x14ac:dyDescent="0.2">
      <c r="B472" s="1">
        <f>data!B472</f>
        <v>3</v>
      </c>
      <c r="C472" s="1">
        <f>data!C472</f>
        <v>11</v>
      </c>
      <c r="D472" s="1">
        <f>data!D472</f>
        <v>86.25</v>
      </c>
      <c r="E472" s="1">
        <f t="shared" si="3"/>
        <v>502</v>
      </c>
      <c r="F472" s="1">
        <f t="shared" si="4"/>
        <v>496</v>
      </c>
      <c r="G472" s="1">
        <f t="shared" si="5"/>
        <v>140</v>
      </c>
    </row>
    <row r="473" spans="2:7" x14ac:dyDescent="0.2">
      <c r="B473" s="1">
        <f>data!B473</f>
        <v>3</v>
      </c>
      <c r="C473" s="1">
        <f>data!C473</f>
        <v>5</v>
      </c>
      <c r="D473" s="1">
        <f>data!D473</f>
        <v>91.23</v>
      </c>
      <c r="E473" s="1">
        <f t="shared" si="3"/>
        <v>502</v>
      </c>
      <c r="F473" s="1">
        <f t="shared" si="4"/>
        <v>595</v>
      </c>
      <c r="G473" s="1">
        <f t="shared" si="5"/>
        <v>36</v>
      </c>
    </row>
    <row r="474" spans="2:7" x14ac:dyDescent="0.2">
      <c r="B474" s="1">
        <f>data!B474</f>
        <v>13</v>
      </c>
      <c r="C474" s="1">
        <f>data!C474</f>
        <v>1459</v>
      </c>
      <c r="D474" s="1">
        <f>data!D474</f>
        <v>37.270000000000003</v>
      </c>
      <c r="E474" s="1">
        <f t="shared" si="3"/>
        <v>56</v>
      </c>
      <c r="F474" s="1">
        <f t="shared" si="4"/>
        <v>5</v>
      </c>
      <c r="G474" s="1">
        <f t="shared" si="5"/>
        <v>610</v>
      </c>
    </row>
    <row r="475" spans="2:7" x14ac:dyDescent="0.2">
      <c r="B475" s="1">
        <f>data!B475</f>
        <v>7</v>
      </c>
      <c r="C475" s="1">
        <f>data!C475</f>
        <v>136</v>
      </c>
      <c r="D475" s="1">
        <f>data!D475</f>
        <v>55.7</v>
      </c>
      <c r="E475" s="1">
        <f t="shared" si="3"/>
        <v>234.5</v>
      </c>
      <c r="F475" s="1">
        <f t="shared" si="4"/>
        <v>209</v>
      </c>
      <c r="G475" s="1">
        <f t="shared" si="5"/>
        <v>370</v>
      </c>
    </row>
    <row r="476" spans="2:7" x14ac:dyDescent="0.2">
      <c r="B476" s="1">
        <f>data!B476</f>
        <v>4</v>
      </c>
      <c r="C476" s="1">
        <f>data!C476</f>
        <v>78</v>
      </c>
      <c r="D476" s="1">
        <f>data!D476</f>
        <v>56.91</v>
      </c>
      <c r="E476" s="1">
        <f t="shared" si="3"/>
        <v>422.5</v>
      </c>
      <c r="F476" s="1">
        <f t="shared" si="4"/>
        <v>302.5</v>
      </c>
      <c r="G476" s="1">
        <f t="shared" si="5"/>
        <v>357</v>
      </c>
    </row>
    <row r="477" spans="2:7" x14ac:dyDescent="0.2">
      <c r="B477" s="1">
        <f>data!B477</f>
        <v>3</v>
      </c>
      <c r="C477" s="1">
        <f>data!C477</f>
        <v>8</v>
      </c>
      <c r="D477" s="1">
        <f>data!D477</f>
        <v>85.96</v>
      </c>
      <c r="E477" s="1">
        <f t="shared" si="3"/>
        <v>502</v>
      </c>
      <c r="F477" s="1">
        <f t="shared" si="4"/>
        <v>515</v>
      </c>
      <c r="G477" s="1">
        <f t="shared" si="5"/>
        <v>145</v>
      </c>
    </row>
    <row r="478" spans="2:7" x14ac:dyDescent="0.2">
      <c r="B478" s="1">
        <f>data!B478</f>
        <v>3</v>
      </c>
      <c r="C478" s="1">
        <f>data!C478</f>
        <v>5</v>
      </c>
      <c r="D478" s="1">
        <f>data!D478</f>
        <v>89.13</v>
      </c>
      <c r="E478" s="1">
        <f t="shared" si="3"/>
        <v>502</v>
      </c>
      <c r="F478" s="1">
        <f t="shared" si="4"/>
        <v>595</v>
      </c>
      <c r="G478" s="1">
        <f t="shared" si="5"/>
        <v>78</v>
      </c>
    </row>
    <row r="479" spans="2:7" x14ac:dyDescent="0.2">
      <c r="B479" s="1">
        <f>data!B479</f>
        <v>14</v>
      </c>
      <c r="C479" s="1">
        <f>data!C479</f>
        <v>127</v>
      </c>
      <c r="D479" s="1">
        <f>data!D479</f>
        <v>60.68</v>
      </c>
      <c r="E479" s="1">
        <f t="shared" si="3"/>
        <v>46</v>
      </c>
      <c r="F479" s="1">
        <f t="shared" si="4"/>
        <v>218.5</v>
      </c>
      <c r="G479" s="1">
        <f t="shared" si="5"/>
        <v>297</v>
      </c>
    </row>
    <row r="480" spans="2:7" x14ac:dyDescent="0.2">
      <c r="B480" s="1">
        <f>data!B480</f>
        <v>6</v>
      </c>
      <c r="C480" s="1">
        <f>data!C480</f>
        <v>42</v>
      </c>
      <c r="D480" s="1">
        <f>data!D480</f>
        <v>67.19</v>
      </c>
      <c r="E480" s="1">
        <f t="shared" si="3"/>
        <v>284.5</v>
      </c>
      <c r="F480" s="1">
        <f t="shared" si="4"/>
        <v>402.5</v>
      </c>
      <c r="G480" s="1">
        <f t="shared" si="5"/>
        <v>229</v>
      </c>
    </row>
    <row r="481" spans="2:7" x14ac:dyDescent="0.2">
      <c r="B481" s="1">
        <f>data!B481</f>
        <v>3</v>
      </c>
      <c r="C481" s="1">
        <f>data!C481</f>
        <v>13</v>
      </c>
      <c r="D481" s="1">
        <f>data!D481</f>
        <v>90.78</v>
      </c>
      <c r="E481" s="1">
        <f t="shared" si="3"/>
        <v>502</v>
      </c>
      <c r="F481" s="1">
        <f t="shared" si="4"/>
        <v>470</v>
      </c>
      <c r="G481" s="1">
        <f t="shared" si="5"/>
        <v>45</v>
      </c>
    </row>
    <row r="482" spans="2:7" x14ac:dyDescent="0.2">
      <c r="B482" s="1">
        <f>data!B482</f>
        <v>4</v>
      </c>
      <c r="C482" s="1">
        <f>data!C482</f>
        <v>50</v>
      </c>
      <c r="D482" s="1">
        <f>data!D482</f>
        <v>57.98</v>
      </c>
      <c r="E482" s="1">
        <f t="shared" si="3"/>
        <v>422.5</v>
      </c>
      <c r="F482" s="1">
        <f t="shared" si="4"/>
        <v>376.5</v>
      </c>
      <c r="G482" s="1">
        <f t="shared" si="5"/>
        <v>346</v>
      </c>
    </row>
    <row r="483" spans="2:7" x14ac:dyDescent="0.2">
      <c r="B483" s="1">
        <f>data!B483</f>
        <v>2</v>
      </c>
      <c r="C483" s="1">
        <f>data!C483</f>
        <v>4</v>
      </c>
      <c r="D483" s="1">
        <f>data!D483</f>
        <v>91.49</v>
      </c>
      <c r="E483" s="1">
        <f t="shared" si="3"/>
        <v>585.5</v>
      </c>
      <c r="F483" s="1">
        <f t="shared" si="4"/>
        <v>624.5</v>
      </c>
      <c r="G483" s="1">
        <f t="shared" si="5"/>
        <v>28</v>
      </c>
    </row>
    <row r="484" spans="2:7" x14ac:dyDescent="0.2">
      <c r="B484" s="1">
        <f>data!B484</f>
        <v>3</v>
      </c>
      <c r="C484" s="1">
        <f>data!C484</f>
        <v>4</v>
      </c>
      <c r="D484" s="1">
        <f>data!D484</f>
        <v>91.49</v>
      </c>
      <c r="E484" s="1">
        <f t="shared" si="3"/>
        <v>502</v>
      </c>
      <c r="F484" s="1">
        <f t="shared" si="4"/>
        <v>624.5</v>
      </c>
      <c r="G484" s="1">
        <f t="shared" si="5"/>
        <v>28</v>
      </c>
    </row>
    <row r="485" spans="2:7" x14ac:dyDescent="0.2">
      <c r="B485" s="1">
        <f>data!B485</f>
        <v>3</v>
      </c>
      <c r="C485" s="1">
        <f>data!C485</f>
        <v>4</v>
      </c>
      <c r="D485" s="1">
        <f>data!D485</f>
        <v>90.7</v>
      </c>
      <c r="E485" s="1">
        <f t="shared" si="3"/>
        <v>502</v>
      </c>
      <c r="F485" s="1">
        <f t="shared" si="4"/>
        <v>624.5</v>
      </c>
      <c r="G485" s="1">
        <f t="shared" si="5"/>
        <v>50</v>
      </c>
    </row>
    <row r="486" spans="2:7" x14ac:dyDescent="0.2">
      <c r="B486" s="1">
        <f>data!B486</f>
        <v>5</v>
      </c>
      <c r="C486" s="1">
        <f>data!C486</f>
        <v>5</v>
      </c>
      <c r="D486" s="1">
        <f>data!D486</f>
        <v>89.8</v>
      </c>
      <c r="E486" s="1">
        <f t="shared" si="3"/>
        <v>345</v>
      </c>
      <c r="F486" s="1">
        <f t="shared" si="4"/>
        <v>595</v>
      </c>
      <c r="G486" s="1">
        <f t="shared" si="5"/>
        <v>67</v>
      </c>
    </row>
    <row r="487" spans="2:7" x14ac:dyDescent="0.2">
      <c r="B487" s="1">
        <f>data!B487</f>
        <v>12</v>
      </c>
      <c r="C487" s="1">
        <f>data!C487</f>
        <v>79</v>
      </c>
      <c r="D487" s="1">
        <f>data!D487</f>
        <v>64.25</v>
      </c>
      <c r="E487" s="1">
        <f t="shared" si="3"/>
        <v>74.5</v>
      </c>
      <c r="F487" s="1">
        <f t="shared" si="4"/>
        <v>298</v>
      </c>
      <c r="G487" s="1">
        <f t="shared" si="5"/>
        <v>255</v>
      </c>
    </row>
    <row r="488" spans="2:7" x14ac:dyDescent="0.2">
      <c r="B488" s="1">
        <f>data!B488</f>
        <v>2</v>
      </c>
      <c r="C488" s="1">
        <f>data!C488</f>
        <v>9</v>
      </c>
      <c r="D488" s="1">
        <f>data!D488</f>
        <v>84.48</v>
      </c>
      <c r="E488" s="1">
        <f t="shared" si="3"/>
        <v>585.5</v>
      </c>
      <c r="F488" s="1">
        <f t="shared" si="4"/>
        <v>509</v>
      </c>
      <c r="G488" s="1">
        <f t="shared" si="5"/>
        <v>150</v>
      </c>
    </row>
    <row r="489" spans="2:7" x14ac:dyDescent="0.2">
      <c r="B489" s="1">
        <f>data!B489</f>
        <v>3</v>
      </c>
      <c r="C489" s="1">
        <f>data!C489</f>
        <v>5</v>
      </c>
      <c r="D489" s="1">
        <f>data!D489</f>
        <v>90.74</v>
      </c>
      <c r="E489" s="1">
        <f t="shared" si="3"/>
        <v>502</v>
      </c>
      <c r="F489" s="1">
        <f t="shared" si="4"/>
        <v>595</v>
      </c>
      <c r="G489" s="1">
        <f t="shared" si="5"/>
        <v>48</v>
      </c>
    </row>
    <row r="490" spans="2:7" x14ac:dyDescent="0.2">
      <c r="B490" s="1">
        <f>data!B490</f>
        <v>6</v>
      </c>
      <c r="C490" s="1">
        <f>data!C490</f>
        <v>11</v>
      </c>
      <c r="D490" s="1">
        <f>data!D490</f>
        <v>85.9</v>
      </c>
      <c r="E490" s="1">
        <f t="shared" si="3"/>
        <v>284.5</v>
      </c>
      <c r="F490" s="1">
        <f t="shared" si="4"/>
        <v>496</v>
      </c>
      <c r="G490" s="1">
        <f t="shared" si="5"/>
        <v>146</v>
      </c>
    </row>
    <row r="491" spans="2:7" x14ac:dyDescent="0.2">
      <c r="B491" s="1">
        <f>data!B491</f>
        <v>2</v>
      </c>
      <c r="C491" s="1">
        <f>data!C491</f>
        <v>8</v>
      </c>
      <c r="D491" s="1">
        <f>data!D491</f>
        <v>86.21</v>
      </c>
      <c r="E491" s="1">
        <f t="shared" si="3"/>
        <v>585.5</v>
      </c>
      <c r="F491" s="1">
        <f t="shared" si="4"/>
        <v>515</v>
      </c>
      <c r="G491" s="1">
        <f t="shared" si="5"/>
        <v>142</v>
      </c>
    </row>
    <row r="492" spans="2:7" x14ac:dyDescent="0.2">
      <c r="B492" s="1">
        <f>data!B492</f>
        <v>2</v>
      </c>
      <c r="C492" s="1">
        <f>data!C492</f>
        <v>4</v>
      </c>
      <c r="D492" s="1">
        <f>data!D492</f>
        <v>91.49</v>
      </c>
      <c r="E492" s="1">
        <f t="shared" si="3"/>
        <v>585.5</v>
      </c>
      <c r="F492" s="1">
        <f t="shared" si="4"/>
        <v>624.5</v>
      </c>
      <c r="G492" s="1">
        <f t="shared" si="5"/>
        <v>28</v>
      </c>
    </row>
    <row r="493" spans="2:7" x14ac:dyDescent="0.2">
      <c r="B493" s="1">
        <f>data!B493</f>
        <v>5</v>
      </c>
      <c r="C493" s="1">
        <f>data!C493</f>
        <v>109</v>
      </c>
      <c r="D493" s="1">
        <f>data!D493</f>
        <v>60.07</v>
      </c>
      <c r="E493" s="1">
        <f t="shared" si="3"/>
        <v>345</v>
      </c>
      <c r="F493" s="1">
        <f t="shared" si="4"/>
        <v>246</v>
      </c>
      <c r="G493" s="1">
        <f t="shared" si="5"/>
        <v>308</v>
      </c>
    </row>
    <row r="494" spans="2:7" x14ac:dyDescent="0.2">
      <c r="B494" s="1">
        <f>data!B494</f>
        <v>2</v>
      </c>
      <c r="C494" s="1">
        <f>data!C494</f>
        <v>96</v>
      </c>
      <c r="D494" s="1">
        <f>data!D494</f>
        <v>48.39</v>
      </c>
      <c r="E494" s="1">
        <f t="shared" si="3"/>
        <v>585.5</v>
      </c>
      <c r="F494" s="1">
        <f t="shared" si="4"/>
        <v>268</v>
      </c>
      <c r="G494" s="1">
        <f t="shared" si="5"/>
        <v>491</v>
      </c>
    </row>
    <row r="495" spans="2:7" x14ac:dyDescent="0.2">
      <c r="B495" s="1">
        <f>data!B495</f>
        <v>4</v>
      </c>
      <c r="C495" s="1">
        <f>data!C495</f>
        <v>4</v>
      </c>
      <c r="D495" s="1">
        <f>data!D495</f>
        <v>91.49</v>
      </c>
      <c r="E495" s="1">
        <f t="shared" si="3"/>
        <v>422.5</v>
      </c>
      <c r="F495" s="1">
        <f t="shared" si="4"/>
        <v>624.5</v>
      </c>
      <c r="G495" s="1">
        <f t="shared" si="5"/>
        <v>28</v>
      </c>
    </row>
    <row r="496" spans="2:7" x14ac:dyDescent="0.2">
      <c r="B496" s="1">
        <f>data!B496</f>
        <v>4</v>
      </c>
      <c r="C496" s="1">
        <f>data!C496</f>
        <v>72</v>
      </c>
      <c r="D496" s="1">
        <f>data!D496</f>
        <v>50</v>
      </c>
      <c r="E496" s="1">
        <f t="shared" si="3"/>
        <v>422.5</v>
      </c>
      <c r="F496" s="1">
        <f t="shared" si="4"/>
        <v>314</v>
      </c>
      <c r="G496" s="1">
        <f t="shared" si="5"/>
        <v>461.5</v>
      </c>
    </row>
    <row r="497" spans="2:7" x14ac:dyDescent="0.2">
      <c r="B497" s="1">
        <f>data!B497</f>
        <v>2</v>
      </c>
      <c r="C497" s="1">
        <f>data!C497</f>
        <v>4</v>
      </c>
      <c r="D497" s="1">
        <f>data!D497</f>
        <v>90.24</v>
      </c>
      <c r="E497" s="1">
        <f t="shared" si="3"/>
        <v>585.5</v>
      </c>
      <c r="F497" s="1">
        <f t="shared" si="4"/>
        <v>624.5</v>
      </c>
      <c r="G497" s="1">
        <f t="shared" si="5"/>
        <v>58</v>
      </c>
    </row>
    <row r="498" spans="2:7" x14ac:dyDescent="0.2">
      <c r="B498" s="1">
        <f>data!B498</f>
        <v>4</v>
      </c>
      <c r="C498" s="1">
        <f>data!C498</f>
        <v>85</v>
      </c>
      <c r="D498" s="1">
        <f>data!D498</f>
        <v>51.43</v>
      </c>
      <c r="E498" s="1">
        <f t="shared" si="3"/>
        <v>422.5</v>
      </c>
      <c r="F498" s="1">
        <f t="shared" si="4"/>
        <v>283</v>
      </c>
      <c r="G498" s="1">
        <f t="shared" si="5"/>
        <v>435</v>
      </c>
    </row>
    <row r="499" spans="2:7" x14ac:dyDescent="0.2">
      <c r="B499" s="1">
        <f>data!B499</f>
        <v>3</v>
      </c>
      <c r="C499" s="1">
        <f>data!C499</f>
        <v>6</v>
      </c>
      <c r="D499" s="1">
        <f>data!D499</f>
        <v>86.96</v>
      </c>
      <c r="E499" s="1">
        <f t="shared" si="3"/>
        <v>502</v>
      </c>
      <c r="F499" s="1">
        <f t="shared" si="4"/>
        <v>552</v>
      </c>
      <c r="G499" s="1">
        <f t="shared" si="5"/>
        <v>131</v>
      </c>
    </row>
    <row r="500" spans="2:7" x14ac:dyDescent="0.2">
      <c r="B500" s="1">
        <f>data!B500</f>
        <v>4</v>
      </c>
      <c r="C500" s="1">
        <f>data!C500</f>
        <v>156</v>
      </c>
      <c r="D500" s="1">
        <f>data!D500</f>
        <v>50.32</v>
      </c>
      <c r="E500" s="1">
        <f t="shared" si="3"/>
        <v>422.5</v>
      </c>
      <c r="F500" s="1">
        <f t="shared" si="4"/>
        <v>183.5</v>
      </c>
      <c r="G500" s="1">
        <f t="shared" si="5"/>
        <v>456</v>
      </c>
    </row>
    <row r="501" spans="2:7" x14ac:dyDescent="0.2">
      <c r="B501" s="1">
        <f>data!B501</f>
        <v>7</v>
      </c>
      <c r="C501" s="1">
        <f>data!C501</f>
        <v>102</v>
      </c>
      <c r="D501" s="1">
        <f>data!D501</f>
        <v>45.45</v>
      </c>
      <c r="E501" s="1">
        <f t="shared" si="3"/>
        <v>234.5</v>
      </c>
      <c r="F501" s="1">
        <f t="shared" si="4"/>
        <v>257.5</v>
      </c>
      <c r="G501" s="1">
        <f t="shared" si="5"/>
        <v>536</v>
      </c>
    </row>
    <row r="502" spans="2:7" x14ac:dyDescent="0.2">
      <c r="B502" s="1">
        <f>data!B502</f>
        <v>8</v>
      </c>
      <c r="C502" s="1">
        <f>data!C502</f>
        <v>56</v>
      </c>
      <c r="D502" s="1">
        <f>data!D502</f>
        <v>58.52</v>
      </c>
      <c r="E502" s="1">
        <f t="shared" si="3"/>
        <v>187.5</v>
      </c>
      <c r="F502" s="1">
        <f t="shared" si="4"/>
        <v>361</v>
      </c>
      <c r="G502" s="1">
        <f t="shared" si="5"/>
        <v>334</v>
      </c>
    </row>
    <row r="503" spans="2:7" x14ac:dyDescent="0.2">
      <c r="B503" s="1">
        <f>data!B503</f>
        <v>8</v>
      </c>
      <c r="C503" s="1">
        <f>data!C503</f>
        <v>149</v>
      </c>
      <c r="D503" s="1">
        <f>data!D503</f>
        <v>52.7</v>
      </c>
      <c r="E503" s="1">
        <f t="shared" si="3"/>
        <v>187.5</v>
      </c>
      <c r="F503" s="1">
        <f t="shared" si="4"/>
        <v>193</v>
      </c>
      <c r="G503" s="1">
        <f t="shared" si="5"/>
        <v>419</v>
      </c>
    </row>
    <row r="504" spans="2:7" x14ac:dyDescent="0.2">
      <c r="B504" s="1">
        <f>data!B504</f>
        <v>7</v>
      </c>
      <c r="C504" s="1">
        <f>data!C504</f>
        <v>244</v>
      </c>
      <c r="D504" s="1">
        <f>data!D504</f>
        <v>47.19</v>
      </c>
      <c r="E504" s="1">
        <f t="shared" si="3"/>
        <v>234.5</v>
      </c>
      <c r="F504" s="1">
        <f t="shared" si="4"/>
        <v>98</v>
      </c>
      <c r="G504" s="1">
        <f t="shared" si="5"/>
        <v>506</v>
      </c>
    </row>
    <row r="505" spans="2:7" x14ac:dyDescent="0.2">
      <c r="B505" s="1">
        <f>data!B505</f>
        <v>4</v>
      </c>
      <c r="C505" s="1">
        <f>data!C505</f>
        <v>4</v>
      </c>
      <c r="D505" s="1">
        <f>data!D505</f>
        <v>92</v>
      </c>
      <c r="E505" s="1">
        <f t="shared" si="3"/>
        <v>422.5</v>
      </c>
      <c r="F505" s="1">
        <f t="shared" si="4"/>
        <v>624.5</v>
      </c>
      <c r="G505" s="1">
        <f t="shared" si="5"/>
        <v>11</v>
      </c>
    </row>
    <row r="506" spans="2:7" x14ac:dyDescent="0.2">
      <c r="B506" s="1">
        <f>data!B506</f>
        <v>9</v>
      </c>
      <c r="C506" s="1">
        <f>data!C506</f>
        <v>84</v>
      </c>
      <c r="D506" s="1">
        <f>data!D506</f>
        <v>44.37</v>
      </c>
      <c r="E506" s="1">
        <f t="shared" si="3"/>
        <v>151.5</v>
      </c>
      <c r="F506" s="1">
        <f t="shared" si="4"/>
        <v>286</v>
      </c>
      <c r="G506" s="1">
        <f t="shared" si="5"/>
        <v>547</v>
      </c>
    </row>
    <row r="507" spans="2:7" x14ac:dyDescent="0.2">
      <c r="B507" s="1">
        <f>data!B507</f>
        <v>5</v>
      </c>
      <c r="C507" s="1">
        <f>data!C507</f>
        <v>5</v>
      </c>
      <c r="D507" s="1">
        <f>data!D507</f>
        <v>90.38</v>
      </c>
      <c r="E507" s="1">
        <f t="shared" si="3"/>
        <v>345</v>
      </c>
      <c r="F507" s="1">
        <f t="shared" si="4"/>
        <v>595</v>
      </c>
      <c r="G507" s="1">
        <f t="shared" si="5"/>
        <v>56.5</v>
      </c>
    </row>
    <row r="508" spans="2:7" x14ac:dyDescent="0.2">
      <c r="B508" s="1">
        <f>data!B508</f>
        <v>5</v>
      </c>
      <c r="C508" s="1">
        <f>data!C508</f>
        <v>8</v>
      </c>
      <c r="D508" s="1">
        <f>data!D508</f>
        <v>91.01</v>
      </c>
      <c r="E508" s="1">
        <f t="shared" si="3"/>
        <v>345</v>
      </c>
      <c r="F508" s="1">
        <f t="shared" si="4"/>
        <v>515</v>
      </c>
      <c r="G508" s="1">
        <f t="shared" si="5"/>
        <v>40</v>
      </c>
    </row>
    <row r="509" spans="2:7" x14ac:dyDescent="0.2">
      <c r="B509" s="1">
        <f>data!B509</f>
        <v>6</v>
      </c>
      <c r="C509" s="1">
        <f>data!C509</f>
        <v>12</v>
      </c>
      <c r="D509" s="1">
        <f>data!D509</f>
        <v>88.35</v>
      </c>
      <c r="E509" s="1">
        <f t="shared" si="3"/>
        <v>284.5</v>
      </c>
      <c r="F509" s="1">
        <f t="shared" si="4"/>
        <v>481.5</v>
      </c>
      <c r="G509" s="1">
        <f t="shared" si="5"/>
        <v>105</v>
      </c>
    </row>
    <row r="510" spans="2:7" x14ac:dyDescent="0.2">
      <c r="B510" s="1">
        <f>data!B510</f>
        <v>9</v>
      </c>
      <c r="C510" s="1">
        <f>data!C510</f>
        <v>72</v>
      </c>
      <c r="D510" s="1">
        <f>data!D510</f>
        <v>48.94</v>
      </c>
      <c r="E510" s="1">
        <f t="shared" si="3"/>
        <v>151.5</v>
      </c>
      <c r="F510" s="1">
        <f t="shared" si="4"/>
        <v>314</v>
      </c>
      <c r="G510" s="1">
        <f t="shared" si="5"/>
        <v>481</v>
      </c>
    </row>
    <row r="511" spans="2:7" x14ac:dyDescent="0.2">
      <c r="B511" s="1">
        <f>data!B511</f>
        <v>7</v>
      </c>
      <c r="C511" s="1">
        <f>data!C511</f>
        <v>49</v>
      </c>
      <c r="D511" s="1">
        <f>data!D511</f>
        <v>54.21</v>
      </c>
      <c r="E511" s="1">
        <f t="shared" si="3"/>
        <v>234.5</v>
      </c>
      <c r="F511" s="1">
        <f t="shared" si="4"/>
        <v>380.5</v>
      </c>
      <c r="G511" s="1">
        <f t="shared" si="5"/>
        <v>391</v>
      </c>
    </row>
    <row r="512" spans="2:7" x14ac:dyDescent="0.2">
      <c r="B512" s="1">
        <f>data!B512</f>
        <v>16</v>
      </c>
      <c r="C512" s="1">
        <f>data!C512</f>
        <v>162</v>
      </c>
      <c r="D512" s="1">
        <f>data!D512</f>
        <v>43.55</v>
      </c>
      <c r="E512" s="1">
        <f t="shared" ref="E512:E633" si="6">_xlfn.RANK.AVG(B512,$B$2:$B$633,0)</f>
        <v>29</v>
      </c>
      <c r="F512" s="1">
        <f t="shared" ref="F512:F633" si="7">_xlfn.RANK.AVG(C512,$C$2:$C$633,0)</f>
        <v>176</v>
      </c>
      <c r="G512" s="1">
        <f t="shared" ref="G512:G633" si="8">_xlfn.RANK.AVG(D512,$D$2:$D$633,0)</f>
        <v>558</v>
      </c>
    </row>
    <row r="513" spans="2:7" x14ac:dyDescent="0.2">
      <c r="B513" s="1">
        <f>data!B513</f>
        <v>8</v>
      </c>
      <c r="C513" s="1">
        <f>data!C513</f>
        <v>196</v>
      </c>
      <c r="D513" s="1">
        <f>data!D513</f>
        <v>53.77</v>
      </c>
      <c r="E513" s="1">
        <f t="shared" si="6"/>
        <v>187.5</v>
      </c>
      <c r="F513" s="1">
        <f t="shared" si="7"/>
        <v>143</v>
      </c>
      <c r="G513" s="1">
        <f t="shared" si="8"/>
        <v>400</v>
      </c>
    </row>
    <row r="514" spans="2:7" x14ac:dyDescent="0.2">
      <c r="B514" s="1">
        <f>data!B514</f>
        <v>4</v>
      </c>
      <c r="C514" s="1">
        <f>data!C514</f>
        <v>6</v>
      </c>
      <c r="D514" s="1">
        <f>data!D514</f>
        <v>91.43</v>
      </c>
      <c r="E514" s="1">
        <f t="shared" si="6"/>
        <v>422.5</v>
      </c>
      <c r="F514" s="1">
        <f t="shared" si="7"/>
        <v>552</v>
      </c>
      <c r="G514" s="1">
        <f t="shared" si="8"/>
        <v>31</v>
      </c>
    </row>
    <row r="515" spans="2:7" x14ac:dyDescent="0.2">
      <c r="B515" s="1">
        <f>data!B515</f>
        <v>5</v>
      </c>
      <c r="C515" s="1">
        <f>data!C515</f>
        <v>6</v>
      </c>
      <c r="D515" s="1">
        <f>data!D515</f>
        <v>88.68</v>
      </c>
      <c r="E515" s="1">
        <f t="shared" si="6"/>
        <v>345</v>
      </c>
      <c r="F515" s="1">
        <f t="shared" si="7"/>
        <v>552</v>
      </c>
      <c r="G515" s="1">
        <f t="shared" si="8"/>
        <v>92</v>
      </c>
    </row>
    <row r="516" spans="2:7" x14ac:dyDescent="0.2">
      <c r="B516" s="1">
        <f>data!B516</f>
        <v>2</v>
      </c>
      <c r="C516" s="1">
        <f>data!C516</f>
        <v>12</v>
      </c>
      <c r="D516" s="1">
        <f>data!D516</f>
        <v>80.650000000000006</v>
      </c>
      <c r="E516" s="1">
        <f t="shared" si="6"/>
        <v>585.5</v>
      </c>
      <c r="F516" s="1">
        <f t="shared" si="7"/>
        <v>481.5</v>
      </c>
      <c r="G516" s="1">
        <f t="shared" si="8"/>
        <v>169</v>
      </c>
    </row>
    <row r="517" spans="2:7" x14ac:dyDescent="0.2">
      <c r="B517" s="1">
        <f>data!B517</f>
        <v>2</v>
      </c>
      <c r="C517" s="1">
        <f>data!C517</f>
        <v>12</v>
      </c>
      <c r="D517" s="1">
        <f>data!D517</f>
        <v>80.650000000000006</v>
      </c>
      <c r="E517" s="1">
        <f t="shared" si="6"/>
        <v>585.5</v>
      </c>
      <c r="F517" s="1">
        <f t="shared" si="7"/>
        <v>481.5</v>
      </c>
      <c r="G517" s="1">
        <f t="shared" si="8"/>
        <v>169</v>
      </c>
    </row>
    <row r="518" spans="2:7" x14ac:dyDescent="0.2">
      <c r="B518" s="1">
        <f>data!B518</f>
        <v>2</v>
      </c>
      <c r="C518" s="1">
        <f>data!C518</f>
        <v>12</v>
      </c>
      <c r="D518" s="1">
        <f>data!D518</f>
        <v>80.650000000000006</v>
      </c>
      <c r="E518" s="1">
        <f t="shared" si="6"/>
        <v>585.5</v>
      </c>
      <c r="F518" s="1">
        <f t="shared" si="7"/>
        <v>481.5</v>
      </c>
      <c r="G518" s="1">
        <f t="shared" si="8"/>
        <v>169</v>
      </c>
    </row>
    <row r="519" spans="2:7" x14ac:dyDescent="0.2">
      <c r="B519" s="1">
        <f>data!B519</f>
        <v>2</v>
      </c>
      <c r="C519" s="1">
        <f>data!C519</f>
        <v>12</v>
      </c>
      <c r="D519" s="1">
        <f>data!D519</f>
        <v>80.33</v>
      </c>
      <c r="E519" s="1">
        <f t="shared" si="6"/>
        <v>585.5</v>
      </c>
      <c r="F519" s="1">
        <f t="shared" si="7"/>
        <v>481.5</v>
      </c>
      <c r="G519" s="1">
        <f t="shared" si="8"/>
        <v>173.5</v>
      </c>
    </row>
    <row r="520" spans="2:7" x14ac:dyDescent="0.2">
      <c r="B520" s="1">
        <f>data!B520</f>
        <v>2</v>
      </c>
      <c r="C520" s="1">
        <f>data!C520</f>
        <v>12</v>
      </c>
      <c r="D520" s="1">
        <f>data!D520</f>
        <v>80.95</v>
      </c>
      <c r="E520" s="1">
        <f t="shared" si="6"/>
        <v>585.5</v>
      </c>
      <c r="F520" s="1">
        <f t="shared" si="7"/>
        <v>481.5</v>
      </c>
      <c r="G520" s="1">
        <f t="shared" si="8"/>
        <v>164.5</v>
      </c>
    </row>
    <row r="521" spans="2:7" x14ac:dyDescent="0.2">
      <c r="B521" s="1">
        <f>data!B521</f>
        <v>2</v>
      </c>
      <c r="C521" s="1">
        <f>data!C521</f>
        <v>12</v>
      </c>
      <c r="D521" s="1">
        <f>data!D521</f>
        <v>79.66</v>
      </c>
      <c r="E521" s="1">
        <f t="shared" si="6"/>
        <v>585.5</v>
      </c>
      <c r="F521" s="1">
        <f t="shared" si="7"/>
        <v>481.5</v>
      </c>
      <c r="G521" s="1">
        <f t="shared" si="8"/>
        <v>176</v>
      </c>
    </row>
    <row r="522" spans="2:7" x14ac:dyDescent="0.2">
      <c r="B522" s="1">
        <f>data!B522</f>
        <v>7</v>
      </c>
      <c r="C522" s="1">
        <f>data!C522</f>
        <v>110</v>
      </c>
      <c r="D522" s="1">
        <f>data!D522</f>
        <v>44.72</v>
      </c>
      <c r="E522" s="1">
        <f t="shared" si="6"/>
        <v>234.5</v>
      </c>
      <c r="F522" s="1">
        <f t="shared" si="7"/>
        <v>243</v>
      </c>
      <c r="G522" s="1">
        <f t="shared" si="8"/>
        <v>543</v>
      </c>
    </row>
    <row r="523" spans="2:7" x14ac:dyDescent="0.2">
      <c r="B523" s="1">
        <f>data!B523</f>
        <v>4</v>
      </c>
      <c r="C523" s="1">
        <f>data!C523</f>
        <v>24</v>
      </c>
      <c r="D523" s="1">
        <f>data!D523</f>
        <v>88.99</v>
      </c>
      <c r="E523" s="1">
        <f t="shared" si="6"/>
        <v>422.5</v>
      </c>
      <c r="F523" s="1">
        <f t="shared" si="7"/>
        <v>448</v>
      </c>
      <c r="G523" s="1">
        <f t="shared" si="8"/>
        <v>82</v>
      </c>
    </row>
    <row r="524" spans="2:7" x14ac:dyDescent="0.2">
      <c r="B524" s="1">
        <f>data!B524</f>
        <v>7</v>
      </c>
      <c r="C524" s="1">
        <f>data!C524</f>
        <v>125</v>
      </c>
      <c r="D524" s="1">
        <f>data!D524</f>
        <v>52.47</v>
      </c>
      <c r="E524" s="1">
        <f t="shared" si="6"/>
        <v>234.5</v>
      </c>
      <c r="F524" s="1">
        <f t="shared" si="7"/>
        <v>223.5</v>
      </c>
      <c r="G524" s="1">
        <f t="shared" si="8"/>
        <v>425</v>
      </c>
    </row>
    <row r="525" spans="2:7" x14ac:dyDescent="0.2">
      <c r="B525" s="1">
        <f>data!B525</f>
        <v>5</v>
      </c>
      <c r="C525" s="1">
        <f>data!C525</f>
        <v>17</v>
      </c>
      <c r="D525" s="1">
        <f>data!D525</f>
        <v>89.7</v>
      </c>
      <c r="E525" s="1">
        <f t="shared" si="6"/>
        <v>345</v>
      </c>
      <c r="F525" s="1">
        <f t="shared" si="7"/>
        <v>458</v>
      </c>
      <c r="G525" s="1">
        <f t="shared" si="8"/>
        <v>71</v>
      </c>
    </row>
    <row r="526" spans="2:7" x14ac:dyDescent="0.2">
      <c r="B526" s="1">
        <f>data!B526</f>
        <v>8</v>
      </c>
      <c r="C526" s="1">
        <f>data!C526</f>
        <v>412</v>
      </c>
      <c r="D526" s="1">
        <f>data!D526</f>
        <v>52.59</v>
      </c>
      <c r="E526" s="1">
        <f t="shared" si="6"/>
        <v>187.5</v>
      </c>
      <c r="F526" s="1">
        <f t="shared" si="7"/>
        <v>45</v>
      </c>
      <c r="G526" s="1">
        <f t="shared" si="8"/>
        <v>422</v>
      </c>
    </row>
    <row r="527" spans="2:7" x14ac:dyDescent="0.2">
      <c r="B527" s="1">
        <f>data!B527</f>
        <v>7</v>
      </c>
      <c r="C527" s="1">
        <f>data!C527</f>
        <v>239</v>
      </c>
      <c r="D527" s="1">
        <f>data!D527</f>
        <v>54.3</v>
      </c>
      <c r="E527" s="1">
        <f t="shared" si="6"/>
        <v>234.5</v>
      </c>
      <c r="F527" s="1">
        <f t="shared" si="7"/>
        <v>101.5</v>
      </c>
      <c r="G527" s="1">
        <f t="shared" si="8"/>
        <v>388</v>
      </c>
    </row>
    <row r="528" spans="2:7" x14ac:dyDescent="0.2">
      <c r="B528" s="1">
        <f>data!B528</f>
        <v>7</v>
      </c>
      <c r="C528" s="1">
        <f>data!C528</f>
        <v>196</v>
      </c>
      <c r="D528" s="1">
        <f>data!D528</f>
        <v>48.42</v>
      </c>
      <c r="E528" s="1">
        <f t="shared" si="6"/>
        <v>234.5</v>
      </c>
      <c r="F528" s="1">
        <f t="shared" si="7"/>
        <v>143</v>
      </c>
      <c r="G528" s="1">
        <f t="shared" si="8"/>
        <v>490</v>
      </c>
    </row>
    <row r="529" spans="2:7" x14ac:dyDescent="0.2">
      <c r="B529" s="1">
        <f>data!B529</f>
        <v>8</v>
      </c>
      <c r="C529" s="1">
        <f>data!C529</f>
        <v>363</v>
      </c>
      <c r="D529" s="1">
        <f>data!D529</f>
        <v>46.93</v>
      </c>
      <c r="E529" s="1">
        <f t="shared" si="6"/>
        <v>187.5</v>
      </c>
      <c r="F529" s="1">
        <f t="shared" si="7"/>
        <v>59</v>
      </c>
      <c r="G529" s="1">
        <f t="shared" si="8"/>
        <v>514</v>
      </c>
    </row>
    <row r="530" spans="2:7" x14ac:dyDescent="0.2">
      <c r="B530" s="1">
        <f>data!B530</f>
        <v>3</v>
      </c>
      <c r="C530" s="1">
        <f>data!C530</f>
        <v>62</v>
      </c>
      <c r="D530" s="1">
        <f>data!D530</f>
        <v>60.26</v>
      </c>
      <c r="E530" s="1">
        <f t="shared" si="6"/>
        <v>502</v>
      </c>
      <c r="F530" s="1">
        <f t="shared" si="7"/>
        <v>341.5</v>
      </c>
      <c r="G530" s="1">
        <f t="shared" si="8"/>
        <v>307</v>
      </c>
    </row>
    <row r="531" spans="2:7" x14ac:dyDescent="0.2">
      <c r="B531" s="1">
        <f>data!B531</f>
        <v>8</v>
      </c>
      <c r="C531" s="1">
        <f>data!C531</f>
        <v>213</v>
      </c>
      <c r="D531" s="1">
        <f>data!D531</f>
        <v>54.19</v>
      </c>
      <c r="E531" s="1">
        <f t="shared" si="6"/>
        <v>187.5</v>
      </c>
      <c r="F531" s="1">
        <f t="shared" si="7"/>
        <v>125.5</v>
      </c>
      <c r="G531" s="1">
        <f t="shared" si="8"/>
        <v>392.5</v>
      </c>
    </row>
    <row r="532" spans="2:7" x14ac:dyDescent="0.2">
      <c r="B532" s="1">
        <f>data!B532</f>
        <v>5</v>
      </c>
      <c r="C532" s="1">
        <f>data!C532</f>
        <v>6</v>
      </c>
      <c r="D532" s="1">
        <f>data!D532</f>
        <v>88.46</v>
      </c>
      <c r="E532" s="1">
        <f t="shared" si="6"/>
        <v>345</v>
      </c>
      <c r="F532" s="1">
        <f t="shared" si="7"/>
        <v>552</v>
      </c>
      <c r="G532" s="1">
        <f t="shared" si="8"/>
        <v>101.5</v>
      </c>
    </row>
    <row r="533" spans="2:7" x14ac:dyDescent="0.2">
      <c r="B533" s="1">
        <f>data!B533</f>
        <v>6</v>
      </c>
      <c r="C533" s="1">
        <f>data!C533</f>
        <v>65</v>
      </c>
      <c r="D533" s="1">
        <f>data!D533</f>
        <v>60.37</v>
      </c>
      <c r="E533" s="1">
        <f t="shared" si="6"/>
        <v>284.5</v>
      </c>
      <c r="F533" s="1">
        <f t="shared" si="7"/>
        <v>334</v>
      </c>
      <c r="G533" s="1">
        <f t="shared" si="8"/>
        <v>303</v>
      </c>
    </row>
    <row r="534" spans="2:7" x14ac:dyDescent="0.2">
      <c r="B534" s="1">
        <f>data!B534</f>
        <v>4</v>
      </c>
      <c r="C534" s="1">
        <f>data!C534</f>
        <v>8</v>
      </c>
      <c r="D534" s="1">
        <f>data!D534</f>
        <v>87.88</v>
      </c>
      <c r="E534" s="1">
        <f t="shared" si="6"/>
        <v>422.5</v>
      </c>
      <c r="F534" s="1">
        <f t="shared" si="7"/>
        <v>515</v>
      </c>
      <c r="G534" s="1">
        <f t="shared" si="8"/>
        <v>112</v>
      </c>
    </row>
    <row r="535" spans="2:7" x14ac:dyDescent="0.2">
      <c r="B535" s="1">
        <f>data!B535</f>
        <v>4</v>
      </c>
      <c r="C535" s="1">
        <f>data!C535</f>
        <v>223</v>
      </c>
      <c r="D535" s="1">
        <f>data!D535</f>
        <v>32.42</v>
      </c>
      <c r="E535" s="1">
        <f t="shared" si="6"/>
        <v>422.5</v>
      </c>
      <c r="F535" s="1">
        <f t="shared" si="7"/>
        <v>115</v>
      </c>
      <c r="G535" s="1">
        <f t="shared" si="8"/>
        <v>628</v>
      </c>
    </row>
    <row r="536" spans="2:7" x14ac:dyDescent="0.2">
      <c r="B536" s="1">
        <f>data!B536</f>
        <v>7</v>
      </c>
      <c r="C536" s="1">
        <f>data!C536</f>
        <v>130</v>
      </c>
      <c r="D536" s="1">
        <f>data!D536</f>
        <v>49.81</v>
      </c>
      <c r="E536" s="1">
        <f t="shared" si="6"/>
        <v>234.5</v>
      </c>
      <c r="F536" s="1">
        <f t="shared" si="7"/>
        <v>215</v>
      </c>
      <c r="G536" s="1">
        <f t="shared" si="8"/>
        <v>464</v>
      </c>
    </row>
    <row r="537" spans="2:7" x14ac:dyDescent="0.2">
      <c r="B537" s="1">
        <f>data!B537</f>
        <v>10</v>
      </c>
      <c r="C537" s="1">
        <f>data!C537</f>
        <v>188</v>
      </c>
      <c r="D537" s="1">
        <f>data!D537</f>
        <v>58.41</v>
      </c>
      <c r="E537" s="1">
        <f t="shared" si="6"/>
        <v>123.5</v>
      </c>
      <c r="F537" s="1">
        <f t="shared" si="7"/>
        <v>149</v>
      </c>
      <c r="G537" s="1">
        <f t="shared" si="8"/>
        <v>338</v>
      </c>
    </row>
    <row r="538" spans="2:7" x14ac:dyDescent="0.2">
      <c r="B538" s="1">
        <f>data!B538</f>
        <v>4</v>
      </c>
      <c r="C538" s="1">
        <f>data!C538</f>
        <v>9</v>
      </c>
      <c r="D538" s="1">
        <f>data!D538</f>
        <v>88.75</v>
      </c>
      <c r="E538" s="1">
        <f t="shared" si="6"/>
        <v>422.5</v>
      </c>
      <c r="F538" s="1">
        <f t="shared" si="7"/>
        <v>509</v>
      </c>
      <c r="G538" s="1">
        <f t="shared" si="8"/>
        <v>88</v>
      </c>
    </row>
    <row r="539" spans="2:7" x14ac:dyDescent="0.2">
      <c r="B539" s="1">
        <f>data!B539</f>
        <v>5</v>
      </c>
      <c r="C539" s="1">
        <f>data!C539</f>
        <v>234</v>
      </c>
      <c r="D539" s="1">
        <f>data!D539</f>
        <v>44.29</v>
      </c>
      <c r="E539" s="1">
        <f t="shared" si="6"/>
        <v>345</v>
      </c>
      <c r="F539" s="1">
        <f t="shared" si="7"/>
        <v>107</v>
      </c>
      <c r="G539" s="1">
        <f t="shared" si="8"/>
        <v>549</v>
      </c>
    </row>
    <row r="540" spans="2:7" x14ac:dyDescent="0.2">
      <c r="B540" s="1">
        <f>data!B540</f>
        <v>5</v>
      </c>
      <c r="C540" s="1">
        <f>data!C540</f>
        <v>44</v>
      </c>
      <c r="D540" s="1">
        <f>data!D540</f>
        <v>70.069999999999993</v>
      </c>
      <c r="E540" s="1">
        <f t="shared" si="6"/>
        <v>345</v>
      </c>
      <c r="F540" s="1">
        <f t="shared" si="7"/>
        <v>394.5</v>
      </c>
      <c r="G540" s="1">
        <f t="shared" si="8"/>
        <v>208</v>
      </c>
    </row>
    <row r="541" spans="2:7" x14ac:dyDescent="0.2">
      <c r="B541" s="1">
        <f>data!B541</f>
        <v>11</v>
      </c>
      <c r="C541" s="1">
        <f>data!C541</f>
        <v>187</v>
      </c>
      <c r="D541" s="1">
        <f>data!D541</f>
        <v>57.01</v>
      </c>
      <c r="E541" s="1">
        <f t="shared" si="6"/>
        <v>98</v>
      </c>
      <c r="F541" s="1">
        <f t="shared" si="7"/>
        <v>150.5</v>
      </c>
      <c r="G541" s="1">
        <f t="shared" si="8"/>
        <v>355</v>
      </c>
    </row>
    <row r="542" spans="2:7" x14ac:dyDescent="0.2">
      <c r="B542" s="1">
        <f>data!B542</f>
        <v>4</v>
      </c>
      <c r="C542" s="1">
        <f>data!C542</f>
        <v>403</v>
      </c>
      <c r="D542" s="1">
        <f>data!D542</f>
        <v>53.14</v>
      </c>
      <c r="E542" s="1">
        <f t="shared" si="6"/>
        <v>422.5</v>
      </c>
      <c r="F542" s="1">
        <f t="shared" si="7"/>
        <v>46</v>
      </c>
      <c r="G542" s="1">
        <f t="shared" si="8"/>
        <v>410</v>
      </c>
    </row>
    <row r="543" spans="2:7" x14ac:dyDescent="0.2">
      <c r="B543" s="1">
        <f>data!B543</f>
        <v>4</v>
      </c>
      <c r="C543" s="1">
        <f>data!C543</f>
        <v>111</v>
      </c>
      <c r="D543" s="1">
        <f>data!D543</f>
        <v>57.31</v>
      </c>
      <c r="E543" s="1">
        <f t="shared" si="6"/>
        <v>422.5</v>
      </c>
      <c r="F543" s="1">
        <f t="shared" si="7"/>
        <v>241</v>
      </c>
      <c r="G543" s="1">
        <f t="shared" si="8"/>
        <v>351</v>
      </c>
    </row>
    <row r="544" spans="2:7" x14ac:dyDescent="0.2">
      <c r="B544" s="1">
        <f>data!B544</f>
        <v>9</v>
      </c>
      <c r="C544" s="1">
        <f>data!C544</f>
        <v>197</v>
      </c>
      <c r="D544" s="1">
        <f>data!D544</f>
        <v>55.53</v>
      </c>
      <c r="E544" s="1">
        <f t="shared" si="6"/>
        <v>151.5</v>
      </c>
      <c r="F544" s="1">
        <f t="shared" si="7"/>
        <v>140.5</v>
      </c>
      <c r="G544" s="1">
        <f t="shared" si="8"/>
        <v>373</v>
      </c>
    </row>
    <row r="545" spans="2:7" x14ac:dyDescent="0.2">
      <c r="B545" s="1">
        <f>data!B545</f>
        <v>8</v>
      </c>
      <c r="C545" s="1">
        <f>data!C545</f>
        <v>194</v>
      </c>
      <c r="D545" s="1">
        <f>data!D545</f>
        <v>52.91</v>
      </c>
      <c r="E545" s="1">
        <f t="shared" si="6"/>
        <v>187.5</v>
      </c>
      <c r="F545" s="1">
        <f t="shared" si="7"/>
        <v>145</v>
      </c>
      <c r="G545" s="1">
        <f t="shared" si="8"/>
        <v>414</v>
      </c>
    </row>
    <row r="546" spans="2:7" x14ac:dyDescent="0.2">
      <c r="B546" s="1">
        <f>data!B546</f>
        <v>9</v>
      </c>
      <c r="C546" s="1">
        <f>data!C546</f>
        <v>207</v>
      </c>
      <c r="D546" s="1">
        <f>data!D546</f>
        <v>53.79</v>
      </c>
      <c r="E546" s="1">
        <f t="shared" si="6"/>
        <v>151.5</v>
      </c>
      <c r="F546" s="1">
        <f t="shared" si="7"/>
        <v>131</v>
      </c>
      <c r="G546" s="1">
        <f t="shared" si="8"/>
        <v>398.5</v>
      </c>
    </row>
    <row r="547" spans="2:7" x14ac:dyDescent="0.2">
      <c r="B547" s="1">
        <f>data!B547</f>
        <v>8</v>
      </c>
      <c r="C547" s="1">
        <f>data!C547</f>
        <v>239</v>
      </c>
      <c r="D547" s="1">
        <f>data!D547</f>
        <v>51.72</v>
      </c>
      <c r="E547" s="1">
        <f t="shared" si="6"/>
        <v>187.5</v>
      </c>
      <c r="F547" s="1">
        <f t="shared" si="7"/>
        <v>101.5</v>
      </c>
      <c r="G547" s="1">
        <f t="shared" si="8"/>
        <v>430</v>
      </c>
    </row>
    <row r="548" spans="2:7" x14ac:dyDescent="0.2">
      <c r="B548" s="1">
        <f>data!B548</f>
        <v>8</v>
      </c>
      <c r="C548" s="1">
        <f>data!C548</f>
        <v>165</v>
      </c>
      <c r="D548" s="1">
        <f>data!D548</f>
        <v>44.26</v>
      </c>
      <c r="E548" s="1">
        <f t="shared" si="6"/>
        <v>187.5</v>
      </c>
      <c r="F548" s="1">
        <f t="shared" si="7"/>
        <v>175</v>
      </c>
      <c r="G548" s="1">
        <f t="shared" si="8"/>
        <v>551</v>
      </c>
    </row>
    <row r="549" spans="2:7" x14ac:dyDescent="0.2">
      <c r="B549" s="1">
        <f>data!B549</f>
        <v>5</v>
      </c>
      <c r="C549" s="1">
        <f>data!C549</f>
        <v>59</v>
      </c>
      <c r="D549" s="1">
        <f>data!D549</f>
        <v>59.03</v>
      </c>
      <c r="E549" s="1">
        <f t="shared" si="6"/>
        <v>345</v>
      </c>
      <c r="F549" s="1">
        <f t="shared" si="7"/>
        <v>347</v>
      </c>
      <c r="G549" s="1">
        <f t="shared" si="8"/>
        <v>319</v>
      </c>
    </row>
    <row r="550" spans="2:7" x14ac:dyDescent="0.2">
      <c r="B550" s="1">
        <f>data!B550</f>
        <v>6</v>
      </c>
      <c r="C550" s="1">
        <f>data!C550</f>
        <v>51</v>
      </c>
      <c r="D550" s="1">
        <f>data!D550</f>
        <v>60.47</v>
      </c>
      <c r="E550" s="1">
        <f t="shared" si="6"/>
        <v>284.5</v>
      </c>
      <c r="F550" s="1">
        <f t="shared" si="7"/>
        <v>374</v>
      </c>
      <c r="G550" s="1">
        <f t="shared" si="8"/>
        <v>299</v>
      </c>
    </row>
    <row r="551" spans="2:7" x14ac:dyDescent="0.2">
      <c r="B551" s="1">
        <f>data!B551</f>
        <v>6</v>
      </c>
      <c r="C551" s="1">
        <f>data!C551</f>
        <v>38</v>
      </c>
      <c r="D551" s="1">
        <f>data!D551</f>
        <v>70.08</v>
      </c>
      <c r="E551" s="1">
        <f t="shared" si="6"/>
        <v>284.5</v>
      </c>
      <c r="F551" s="1">
        <f t="shared" si="7"/>
        <v>415</v>
      </c>
      <c r="G551" s="1">
        <f t="shared" si="8"/>
        <v>207</v>
      </c>
    </row>
    <row r="552" spans="2:7" x14ac:dyDescent="0.2">
      <c r="B552" s="1">
        <f>data!B552</f>
        <v>12</v>
      </c>
      <c r="C552" s="1">
        <f>data!C552</f>
        <v>187</v>
      </c>
      <c r="D552" s="1">
        <f>data!D552</f>
        <v>58.81</v>
      </c>
      <c r="E552" s="1">
        <f t="shared" si="6"/>
        <v>74.5</v>
      </c>
      <c r="F552" s="1">
        <f t="shared" si="7"/>
        <v>150.5</v>
      </c>
      <c r="G552" s="1">
        <f t="shared" si="8"/>
        <v>324</v>
      </c>
    </row>
    <row r="553" spans="2:7" x14ac:dyDescent="0.2">
      <c r="B553" s="1">
        <f>data!B553</f>
        <v>11</v>
      </c>
      <c r="C553" s="1">
        <f>data!C553</f>
        <v>198</v>
      </c>
      <c r="D553" s="1">
        <f>data!D553</f>
        <v>55</v>
      </c>
      <c r="E553" s="1">
        <f t="shared" si="6"/>
        <v>98</v>
      </c>
      <c r="F553" s="1">
        <f t="shared" si="7"/>
        <v>138.5</v>
      </c>
      <c r="G553" s="1">
        <f t="shared" si="8"/>
        <v>378</v>
      </c>
    </row>
    <row r="554" spans="2:7" x14ac:dyDescent="0.2">
      <c r="B554" s="1">
        <f>data!B554</f>
        <v>12</v>
      </c>
      <c r="C554" s="1">
        <f>data!C554</f>
        <v>110</v>
      </c>
      <c r="D554" s="1">
        <f>data!D554</f>
        <v>69.53</v>
      </c>
      <c r="E554" s="1">
        <f t="shared" si="6"/>
        <v>74.5</v>
      </c>
      <c r="F554" s="1">
        <f t="shared" si="7"/>
        <v>243</v>
      </c>
      <c r="G554" s="1">
        <f t="shared" si="8"/>
        <v>214</v>
      </c>
    </row>
    <row r="555" spans="2:7" x14ac:dyDescent="0.2">
      <c r="B555" s="1">
        <f>data!B555</f>
        <v>9</v>
      </c>
      <c r="C555" s="1">
        <f>data!C555</f>
        <v>196</v>
      </c>
      <c r="D555" s="1">
        <f>data!D555</f>
        <v>53.33</v>
      </c>
      <c r="E555" s="1">
        <f t="shared" si="6"/>
        <v>151.5</v>
      </c>
      <c r="F555" s="1">
        <f t="shared" si="7"/>
        <v>143</v>
      </c>
      <c r="G555" s="1">
        <f t="shared" si="8"/>
        <v>406.5</v>
      </c>
    </row>
    <row r="556" spans="2:7" x14ac:dyDescent="0.2">
      <c r="B556" s="1">
        <f>data!B556</f>
        <v>6</v>
      </c>
      <c r="C556" s="1">
        <f>data!C556</f>
        <v>91</v>
      </c>
      <c r="D556" s="1">
        <f>data!D556</f>
        <v>54.73</v>
      </c>
      <c r="E556" s="1">
        <f t="shared" si="6"/>
        <v>284.5</v>
      </c>
      <c r="F556" s="1">
        <f t="shared" si="7"/>
        <v>273</v>
      </c>
      <c r="G556" s="1">
        <f t="shared" si="8"/>
        <v>381</v>
      </c>
    </row>
    <row r="557" spans="2:7" x14ac:dyDescent="0.2">
      <c r="B557" s="1">
        <f>data!B557</f>
        <v>5</v>
      </c>
      <c r="C557" s="1">
        <f>data!C557</f>
        <v>6</v>
      </c>
      <c r="D557" s="1">
        <f>data!D557</f>
        <v>89.47</v>
      </c>
      <c r="E557" s="1">
        <f t="shared" si="6"/>
        <v>345</v>
      </c>
      <c r="F557" s="1">
        <f t="shared" si="7"/>
        <v>552</v>
      </c>
      <c r="G557" s="1">
        <f t="shared" si="8"/>
        <v>75.5</v>
      </c>
    </row>
    <row r="558" spans="2:7" x14ac:dyDescent="0.2">
      <c r="B558" s="1">
        <f>data!B558</f>
        <v>7</v>
      </c>
      <c r="C558" s="1">
        <f>data!C558</f>
        <v>6</v>
      </c>
      <c r="D558" s="1">
        <f>data!D558</f>
        <v>87.5</v>
      </c>
      <c r="E558" s="1">
        <f t="shared" si="6"/>
        <v>234.5</v>
      </c>
      <c r="F558" s="1">
        <f t="shared" si="7"/>
        <v>552</v>
      </c>
      <c r="G558" s="1">
        <f t="shared" si="8"/>
        <v>117.5</v>
      </c>
    </row>
    <row r="559" spans="2:7" x14ac:dyDescent="0.2">
      <c r="B559" s="1">
        <f>data!B559</f>
        <v>3</v>
      </c>
      <c r="C559" s="1">
        <f>data!C559</f>
        <v>6</v>
      </c>
      <c r="D559" s="1">
        <f>data!D559</f>
        <v>87.76</v>
      </c>
      <c r="E559" s="1">
        <f t="shared" si="6"/>
        <v>502</v>
      </c>
      <c r="F559" s="1">
        <f t="shared" si="7"/>
        <v>552</v>
      </c>
      <c r="G559" s="1">
        <f t="shared" si="8"/>
        <v>113</v>
      </c>
    </row>
    <row r="560" spans="2:7" x14ac:dyDescent="0.2">
      <c r="B560" s="1">
        <f>data!B560</f>
        <v>7</v>
      </c>
      <c r="C560" s="1">
        <f>data!C560</f>
        <v>66</v>
      </c>
      <c r="D560" s="1">
        <f>data!D560</f>
        <v>60.71</v>
      </c>
      <c r="E560" s="1">
        <f t="shared" si="6"/>
        <v>234.5</v>
      </c>
      <c r="F560" s="1">
        <f t="shared" si="7"/>
        <v>329.5</v>
      </c>
      <c r="G560" s="1">
        <f t="shared" si="8"/>
        <v>295</v>
      </c>
    </row>
    <row r="561" spans="2:7" x14ac:dyDescent="0.2">
      <c r="B561" s="1">
        <f>data!B561</f>
        <v>12</v>
      </c>
      <c r="C561" s="1">
        <f>data!C561</f>
        <v>221</v>
      </c>
      <c r="D561" s="1">
        <f>data!D561</f>
        <v>48</v>
      </c>
      <c r="E561" s="1">
        <f t="shared" si="6"/>
        <v>74.5</v>
      </c>
      <c r="F561" s="1">
        <f t="shared" si="7"/>
        <v>117.5</v>
      </c>
      <c r="G561" s="1">
        <f t="shared" si="8"/>
        <v>498</v>
      </c>
    </row>
    <row r="562" spans="2:7" x14ac:dyDescent="0.2">
      <c r="B562" s="1">
        <f>data!B562</f>
        <v>12</v>
      </c>
      <c r="C562" s="1">
        <f>data!C562</f>
        <v>207</v>
      </c>
      <c r="D562" s="1">
        <f>data!D562</f>
        <v>49.64</v>
      </c>
      <c r="E562" s="1">
        <f t="shared" si="6"/>
        <v>74.5</v>
      </c>
      <c r="F562" s="1">
        <f t="shared" si="7"/>
        <v>131</v>
      </c>
      <c r="G562" s="1">
        <f t="shared" si="8"/>
        <v>468.5</v>
      </c>
    </row>
    <row r="563" spans="2:7" x14ac:dyDescent="0.2">
      <c r="B563" s="1">
        <f>data!B563</f>
        <v>19</v>
      </c>
      <c r="C563" s="1">
        <f>data!C563</f>
        <v>606</v>
      </c>
      <c r="D563" s="1">
        <f>data!D563</f>
        <v>48.29</v>
      </c>
      <c r="E563" s="1">
        <f t="shared" si="6"/>
        <v>18</v>
      </c>
      <c r="F563" s="1">
        <f t="shared" si="7"/>
        <v>26</v>
      </c>
      <c r="G563" s="1">
        <f t="shared" si="8"/>
        <v>493.5</v>
      </c>
    </row>
    <row r="564" spans="2:7" x14ac:dyDescent="0.2">
      <c r="B564" s="1">
        <f>data!B564</f>
        <v>18</v>
      </c>
      <c r="C564" s="1">
        <f>data!C564</f>
        <v>323</v>
      </c>
      <c r="D564" s="1">
        <f>data!D564</f>
        <v>51.28</v>
      </c>
      <c r="E564" s="1">
        <f t="shared" si="6"/>
        <v>20.5</v>
      </c>
      <c r="F564" s="1">
        <f t="shared" si="7"/>
        <v>71</v>
      </c>
      <c r="G564" s="1">
        <f t="shared" si="8"/>
        <v>437</v>
      </c>
    </row>
    <row r="565" spans="2:7" x14ac:dyDescent="0.2">
      <c r="B565" s="1">
        <f>data!B565</f>
        <v>10</v>
      </c>
      <c r="C565" s="1">
        <f>data!C565</f>
        <v>66</v>
      </c>
      <c r="D565" s="1">
        <f>data!D565</f>
        <v>65.260000000000005</v>
      </c>
      <c r="E565" s="1">
        <f t="shared" si="6"/>
        <v>123.5</v>
      </c>
      <c r="F565" s="1">
        <f t="shared" si="7"/>
        <v>329.5</v>
      </c>
      <c r="G565" s="1">
        <f t="shared" si="8"/>
        <v>245</v>
      </c>
    </row>
    <row r="566" spans="2:7" x14ac:dyDescent="0.2">
      <c r="B566" s="1">
        <f>data!B566</f>
        <v>4</v>
      </c>
      <c r="C566" s="1">
        <f>data!C566</f>
        <v>127</v>
      </c>
      <c r="D566" s="1">
        <f>data!D566</f>
        <v>47.08</v>
      </c>
      <c r="E566" s="1">
        <f t="shared" si="6"/>
        <v>422.5</v>
      </c>
      <c r="F566" s="1">
        <f t="shared" si="7"/>
        <v>218.5</v>
      </c>
      <c r="G566" s="1">
        <f t="shared" si="8"/>
        <v>511</v>
      </c>
    </row>
    <row r="567" spans="2:7" x14ac:dyDescent="0.2">
      <c r="B567" s="1">
        <f>data!B567</f>
        <v>11</v>
      </c>
      <c r="C567" s="1">
        <f>data!C567</f>
        <v>230</v>
      </c>
      <c r="D567" s="1">
        <f>data!D567</f>
        <v>59</v>
      </c>
      <c r="E567" s="1">
        <f t="shared" si="6"/>
        <v>98</v>
      </c>
      <c r="F567" s="1">
        <f t="shared" si="7"/>
        <v>110</v>
      </c>
      <c r="G567" s="1">
        <f t="shared" si="8"/>
        <v>320</v>
      </c>
    </row>
    <row r="568" spans="2:7" x14ac:dyDescent="0.2">
      <c r="B568" s="1">
        <f>data!B568</f>
        <v>9</v>
      </c>
      <c r="C568" s="1">
        <f>data!C568</f>
        <v>302</v>
      </c>
      <c r="D568" s="1">
        <f>data!D568</f>
        <v>49.24</v>
      </c>
      <c r="E568" s="1">
        <f t="shared" si="6"/>
        <v>151.5</v>
      </c>
      <c r="F568" s="1">
        <f t="shared" si="7"/>
        <v>74</v>
      </c>
      <c r="G568" s="1">
        <f t="shared" si="8"/>
        <v>475</v>
      </c>
    </row>
    <row r="569" spans="2:7" x14ac:dyDescent="0.2">
      <c r="B569" s="1">
        <f>data!B569</f>
        <v>10</v>
      </c>
      <c r="C569" s="1">
        <f>data!C569</f>
        <v>141</v>
      </c>
      <c r="D569" s="1">
        <f>data!D569</f>
        <v>61.68</v>
      </c>
      <c r="E569" s="1">
        <f t="shared" si="6"/>
        <v>123.5</v>
      </c>
      <c r="F569" s="1">
        <f t="shared" si="7"/>
        <v>203</v>
      </c>
      <c r="G569" s="1">
        <f t="shared" si="8"/>
        <v>281.5</v>
      </c>
    </row>
    <row r="570" spans="2:7" x14ac:dyDescent="0.2">
      <c r="B570" s="1">
        <f>data!B570</f>
        <v>2</v>
      </c>
      <c r="C570" s="1">
        <f>data!C570</f>
        <v>6</v>
      </c>
      <c r="D570" s="1">
        <f>data!D570</f>
        <v>88.68</v>
      </c>
      <c r="E570" s="1">
        <f t="shared" si="6"/>
        <v>585.5</v>
      </c>
      <c r="F570" s="1">
        <f t="shared" si="7"/>
        <v>552</v>
      </c>
      <c r="G570" s="1">
        <f t="shared" si="8"/>
        <v>92</v>
      </c>
    </row>
    <row r="571" spans="2:7" x14ac:dyDescent="0.2">
      <c r="B571" s="1">
        <f>data!B571</f>
        <v>3</v>
      </c>
      <c r="C571" s="1">
        <f>data!C571</f>
        <v>4</v>
      </c>
      <c r="D571" s="1">
        <f>data!D571</f>
        <v>92.31</v>
      </c>
      <c r="E571" s="1">
        <f t="shared" si="6"/>
        <v>502</v>
      </c>
      <c r="F571" s="1">
        <f t="shared" si="7"/>
        <v>624.5</v>
      </c>
      <c r="G571" s="1">
        <f t="shared" si="8"/>
        <v>7</v>
      </c>
    </row>
    <row r="572" spans="2:7" x14ac:dyDescent="0.2">
      <c r="B572" s="1">
        <f>data!B572</f>
        <v>5</v>
      </c>
      <c r="C572" s="1">
        <f>data!C572</f>
        <v>5</v>
      </c>
      <c r="D572" s="1">
        <f>data!D572</f>
        <v>91.53</v>
      </c>
      <c r="E572" s="1">
        <f t="shared" si="6"/>
        <v>345</v>
      </c>
      <c r="F572" s="1">
        <f t="shared" si="7"/>
        <v>595</v>
      </c>
      <c r="G572" s="1">
        <f t="shared" si="8"/>
        <v>25</v>
      </c>
    </row>
    <row r="573" spans="2:7" x14ac:dyDescent="0.2">
      <c r="B573" s="1">
        <f>data!B573</f>
        <v>4</v>
      </c>
      <c r="C573" s="1">
        <f>data!C573</f>
        <v>6</v>
      </c>
      <c r="D573" s="1">
        <f>data!D573</f>
        <v>91.3</v>
      </c>
      <c r="E573" s="1">
        <f t="shared" si="6"/>
        <v>422.5</v>
      </c>
      <c r="F573" s="1">
        <f t="shared" si="7"/>
        <v>552</v>
      </c>
      <c r="G573" s="1">
        <f t="shared" si="8"/>
        <v>33</v>
      </c>
    </row>
    <row r="574" spans="2:7" x14ac:dyDescent="0.2">
      <c r="B574" s="1">
        <f>data!B574</f>
        <v>3</v>
      </c>
      <c r="C574" s="1">
        <f>data!C574</f>
        <v>48</v>
      </c>
      <c r="D574" s="1">
        <f>data!D574</f>
        <v>60.33</v>
      </c>
      <c r="E574" s="1">
        <f t="shared" si="6"/>
        <v>502</v>
      </c>
      <c r="F574" s="1">
        <f t="shared" si="7"/>
        <v>385.5</v>
      </c>
      <c r="G574" s="1">
        <f t="shared" si="8"/>
        <v>305</v>
      </c>
    </row>
    <row r="575" spans="2:7" x14ac:dyDescent="0.2">
      <c r="B575" s="1">
        <f>data!B575</f>
        <v>5</v>
      </c>
      <c r="C575" s="1">
        <f>data!C575</f>
        <v>56</v>
      </c>
      <c r="D575" s="1">
        <f>data!D575</f>
        <v>58.21</v>
      </c>
      <c r="E575" s="1">
        <f t="shared" si="6"/>
        <v>345</v>
      </c>
      <c r="F575" s="1">
        <f t="shared" si="7"/>
        <v>361</v>
      </c>
      <c r="G575" s="1">
        <f t="shared" si="8"/>
        <v>342.5</v>
      </c>
    </row>
    <row r="576" spans="2:7" x14ac:dyDescent="0.2">
      <c r="B576" s="1">
        <f>data!B576</f>
        <v>5</v>
      </c>
      <c r="C576" s="1">
        <f>data!C576</f>
        <v>74</v>
      </c>
      <c r="D576" s="1">
        <f>data!D576</f>
        <v>54.04</v>
      </c>
      <c r="E576" s="1">
        <f t="shared" si="6"/>
        <v>345</v>
      </c>
      <c r="F576" s="1">
        <f t="shared" si="7"/>
        <v>309.5</v>
      </c>
      <c r="G576" s="1">
        <f t="shared" si="8"/>
        <v>395</v>
      </c>
    </row>
    <row r="577" spans="2:7" x14ac:dyDescent="0.2">
      <c r="B577" s="1">
        <f>data!B577</f>
        <v>3</v>
      </c>
      <c r="C577" s="1">
        <f>data!C577</f>
        <v>9</v>
      </c>
      <c r="D577" s="1">
        <f>data!D577</f>
        <v>84.21</v>
      </c>
      <c r="E577" s="1">
        <f t="shared" si="6"/>
        <v>502</v>
      </c>
      <c r="F577" s="1">
        <f t="shared" si="7"/>
        <v>509</v>
      </c>
      <c r="G577" s="1">
        <f t="shared" si="8"/>
        <v>151</v>
      </c>
    </row>
    <row r="578" spans="2:7" x14ac:dyDescent="0.2">
      <c r="B578" s="1">
        <f>data!B578</f>
        <v>2</v>
      </c>
      <c r="C578" s="1">
        <f>data!C578</f>
        <v>62</v>
      </c>
      <c r="D578" s="1">
        <f>data!D578</f>
        <v>58.94</v>
      </c>
      <c r="E578" s="1">
        <f t="shared" si="6"/>
        <v>585.5</v>
      </c>
      <c r="F578" s="1">
        <f t="shared" si="7"/>
        <v>341.5</v>
      </c>
      <c r="G578" s="1">
        <f t="shared" si="8"/>
        <v>321</v>
      </c>
    </row>
    <row r="579" spans="2:7" x14ac:dyDescent="0.2">
      <c r="B579" s="1">
        <f>data!B579</f>
        <v>2</v>
      </c>
      <c r="C579" s="1">
        <f>data!C579</f>
        <v>53</v>
      </c>
      <c r="D579" s="1">
        <f>data!D579</f>
        <v>62.41</v>
      </c>
      <c r="E579" s="1">
        <f t="shared" si="6"/>
        <v>585.5</v>
      </c>
      <c r="F579" s="1">
        <f t="shared" si="7"/>
        <v>369.5</v>
      </c>
      <c r="G579" s="1">
        <f t="shared" si="8"/>
        <v>276</v>
      </c>
    </row>
    <row r="580" spans="2:7" x14ac:dyDescent="0.2">
      <c r="B580" s="1">
        <f>data!B580</f>
        <v>2</v>
      </c>
      <c r="C580" s="1">
        <f>data!C580</f>
        <v>45</v>
      </c>
      <c r="D580" s="1">
        <f>data!D580</f>
        <v>62.81</v>
      </c>
      <c r="E580" s="1">
        <f t="shared" si="6"/>
        <v>585.5</v>
      </c>
      <c r="F580" s="1">
        <f t="shared" si="7"/>
        <v>392</v>
      </c>
      <c r="G580" s="1">
        <f t="shared" si="8"/>
        <v>269</v>
      </c>
    </row>
    <row r="581" spans="2:7" x14ac:dyDescent="0.2">
      <c r="B581" s="1">
        <f>data!B581</f>
        <v>2</v>
      </c>
      <c r="C581" s="1">
        <f>data!C581</f>
        <v>39</v>
      </c>
      <c r="D581" s="1">
        <f>data!D581</f>
        <v>65.790000000000006</v>
      </c>
      <c r="E581" s="1">
        <f t="shared" si="6"/>
        <v>585.5</v>
      </c>
      <c r="F581" s="1">
        <f t="shared" si="7"/>
        <v>412</v>
      </c>
      <c r="G581" s="1">
        <f t="shared" si="8"/>
        <v>238</v>
      </c>
    </row>
    <row r="582" spans="2:7" x14ac:dyDescent="0.2">
      <c r="B582" s="1">
        <f>data!B582</f>
        <v>2</v>
      </c>
      <c r="C582" s="1">
        <f>data!C582</f>
        <v>60</v>
      </c>
      <c r="D582" s="1">
        <f>data!D582</f>
        <v>59.18</v>
      </c>
      <c r="E582" s="1">
        <f t="shared" si="6"/>
        <v>585.5</v>
      </c>
      <c r="F582" s="1">
        <f t="shared" si="7"/>
        <v>344</v>
      </c>
      <c r="G582" s="1">
        <f t="shared" si="8"/>
        <v>317</v>
      </c>
    </row>
    <row r="583" spans="2:7" x14ac:dyDescent="0.2">
      <c r="B583" s="1">
        <f>data!B583</f>
        <v>3</v>
      </c>
      <c r="C583" s="1">
        <f>data!C583</f>
        <v>41</v>
      </c>
      <c r="D583" s="1">
        <f>data!D583</f>
        <v>64.66</v>
      </c>
      <c r="E583" s="1">
        <f t="shared" si="6"/>
        <v>502</v>
      </c>
      <c r="F583" s="1">
        <f t="shared" si="7"/>
        <v>407.5</v>
      </c>
      <c r="G583" s="1">
        <f t="shared" si="8"/>
        <v>250</v>
      </c>
    </row>
    <row r="584" spans="2:7" x14ac:dyDescent="0.2">
      <c r="B584" s="1">
        <f>data!B584</f>
        <v>4</v>
      </c>
      <c r="C584" s="1">
        <f>data!C584</f>
        <v>28</v>
      </c>
      <c r="D584" s="1">
        <f>data!D584</f>
        <v>68.89</v>
      </c>
      <c r="E584" s="1">
        <f t="shared" si="6"/>
        <v>422.5</v>
      </c>
      <c r="F584" s="1">
        <f t="shared" si="7"/>
        <v>440.5</v>
      </c>
      <c r="G584" s="1">
        <f t="shared" si="8"/>
        <v>219</v>
      </c>
    </row>
    <row r="585" spans="2:7" x14ac:dyDescent="0.2">
      <c r="B585" s="1">
        <f>data!B585</f>
        <v>3</v>
      </c>
      <c r="C585" s="1">
        <f>data!C585</f>
        <v>13</v>
      </c>
      <c r="D585" s="1">
        <f>data!D585</f>
        <v>78.33</v>
      </c>
      <c r="E585" s="1">
        <f t="shared" si="6"/>
        <v>502</v>
      </c>
      <c r="F585" s="1">
        <f t="shared" si="7"/>
        <v>470</v>
      </c>
      <c r="G585" s="1">
        <f t="shared" si="8"/>
        <v>179</v>
      </c>
    </row>
    <row r="586" spans="2:7" x14ac:dyDescent="0.2">
      <c r="B586" s="1">
        <f>data!B586</f>
        <v>7</v>
      </c>
      <c r="C586" s="1">
        <f>data!C586</f>
        <v>143</v>
      </c>
      <c r="D586" s="1">
        <f>data!D586</f>
        <v>62.66</v>
      </c>
      <c r="E586" s="1">
        <f t="shared" si="6"/>
        <v>234.5</v>
      </c>
      <c r="F586" s="1">
        <f t="shared" si="7"/>
        <v>200</v>
      </c>
      <c r="G586" s="1">
        <f t="shared" si="8"/>
        <v>272</v>
      </c>
    </row>
    <row r="587" spans="2:7" x14ac:dyDescent="0.2">
      <c r="B587" s="1">
        <f>data!B587</f>
        <v>9</v>
      </c>
      <c r="C587" s="1">
        <f>data!C587</f>
        <v>155</v>
      </c>
      <c r="D587" s="1">
        <f>data!D587</f>
        <v>61.06</v>
      </c>
      <c r="E587" s="1">
        <f t="shared" si="6"/>
        <v>151.5</v>
      </c>
      <c r="F587" s="1">
        <f t="shared" si="7"/>
        <v>186.5</v>
      </c>
      <c r="G587" s="1">
        <f t="shared" si="8"/>
        <v>292</v>
      </c>
    </row>
    <row r="588" spans="2:7" x14ac:dyDescent="0.2">
      <c r="B588" s="1">
        <f>data!B588</f>
        <v>8</v>
      </c>
      <c r="C588" s="1">
        <f>data!C588</f>
        <v>197</v>
      </c>
      <c r="D588" s="1">
        <f>data!D588</f>
        <v>62.48</v>
      </c>
      <c r="E588" s="1">
        <f t="shared" si="6"/>
        <v>187.5</v>
      </c>
      <c r="F588" s="1">
        <f t="shared" si="7"/>
        <v>140.5</v>
      </c>
      <c r="G588" s="1">
        <f t="shared" si="8"/>
        <v>274</v>
      </c>
    </row>
    <row r="589" spans="2:7" x14ac:dyDescent="0.2">
      <c r="B589" s="1">
        <f>data!B589</f>
        <v>6</v>
      </c>
      <c r="C589" s="1">
        <f>data!C589</f>
        <v>128</v>
      </c>
      <c r="D589" s="1">
        <f>data!D589</f>
        <v>60</v>
      </c>
      <c r="E589" s="1">
        <f t="shared" si="6"/>
        <v>284.5</v>
      </c>
      <c r="F589" s="1">
        <f t="shared" si="7"/>
        <v>216.5</v>
      </c>
      <c r="G589" s="1">
        <f t="shared" si="8"/>
        <v>309.5</v>
      </c>
    </row>
    <row r="590" spans="2:7" x14ac:dyDescent="0.2">
      <c r="B590" s="1">
        <f>data!B590</f>
        <v>12</v>
      </c>
      <c r="C590" s="1">
        <f>data!C590</f>
        <v>293</v>
      </c>
      <c r="D590" s="1">
        <f>data!D590</f>
        <v>49.66</v>
      </c>
      <c r="E590" s="1">
        <f t="shared" si="6"/>
        <v>74.5</v>
      </c>
      <c r="F590" s="1">
        <f t="shared" si="7"/>
        <v>76.5</v>
      </c>
      <c r="G590" s="1">
        <f t="shared" si="8"/>
        <v>467</v>
      </c>
    </row>
    <row r="591" spans="2:7" x14ac:dyDescent="0.2">
      <c r="B591" s="1">
        <f>data!B591</f>
        <v>7</v>
      </c>
      <c r="C591" s="1">
        <f>data!C591</f>
        <v>186</v>
      </c>
      <c r="D591" s="1">
        <f>data!D591</f>
        <v>52.79</v>
      </c>
      <c r="E591" s="1">
        <f t="shared" si="6"/>
        <v>234.5</v>
      </c>
      <c r="F591" s="1">
        <f t="shared" si="7"/>
        <v>152</v>
      </c>
      <c r="G591" s="1">
        <f t="shared" si="8"/>
        <v>418</v>
      </c>
    </row>
    <row r="592" spans="2:7" x14ac:dyDescent="0.2">
      <c r="B592" s="1">
        <f>data!B592</f>
        <v>8</v>
      </c>
      <c r="C592" s="1">
        <f>data!C592</f>
        <v>148</v>
      </c>
      <c r="D592" s="1">
        <f>data!D592</f>
        <v>58.77</v>
      </c>
      <c r="E592" s="1">
        <f t="shared" si="6"/>
        <v>187.5</v>
      </c>
      <c r="F592" s="1">
        <f t="shared" si="7"/>
        <v>195</v>
      </c>
      <c r="G592" s="1">
        <f t="shared" si="8"/>
        <v>325</v>
      </c>
    </row>
    <row r="593" spans="2:7" x14ac:dyDescent="0.2">
      <c r="B593" s="1">
        <f>data!B593</f>
        <v>7</v>
      </c>
      <c r="C593" s="1">
        <f>data!C593</f>
        <v>158</v>
      </c>
      <c r="D593" s="1">
        <f>data!D593</f>
        <v>60.7</v>
      </c>
      <c r="E593" s="1">
        <f t="shared" si="6"/>
        <v>234.5</v>
      </c>
      <c r="F593" s="1">
        <f t="shared" si="7"/>
        <v>180</v>
      </c>
      <c r="G593" s="1">
        <f t="shared" si="8"/>
        <v>296</v>
      </c>
    </row>
    <row r="594" spans="2:7" x14ac:dyDescent="0.2">
      <c r="B594" s="1">
        <f>data!B594</f>
        <v>4</v>
      </c>
      <c r="C594" s="1">
        <f>data!C594</f>
        <v>11</v>
      </c>
      <c r="D594" s="1">
        <f>data!D594</f>
        <v>91.97</v>
      </c>
      <c r="E594" s="1">
        <f t="shared" si="6"/>
        <v>422.5</v>
      </c>
      <c r="F594" s="1">
        <f t="shared" si="7"/>
        <v>496</v>
      </c>
      <c r="G594" s="1">
        <f t="shared" si="8"/>
        <v>12</v>
      </c>
    </row>
    <row r="595" spans="2:7" x14ac:dyDescent="0.2">
      <c r="B595" s="1">
        <f>data!B595</f>
        <v>9</v>
      </c>
      <c r="C595" s="1">
        <f>data!C595</f>
        <v>180</v>
      </c>
      <c r="D595" s="1">
        <f>data!D595</f>
        <v>58.72</v>
      </c>
      <c r="E595" s="1">
        <f t="shared" si="6"/>
        <v>151.5</v>
      </c>
      <c r="F595" s="1">
        <f t="shared" si="7"/>
        <v>158</v>
      </c>
      <c r="G595" s="1">
        <f t="shared" si="8"/>
        <v>326.5</v>
      </c>
    </row>
    <row r="596" spans="2:7" x14ac:dyDescent="0.2">
      <c r="B596" s="1">
        <f>data!B596</f>
        <v>4</v>
      </c>
      <c r="C596" s="1">
        <f>data!C596</f>
        <v>10</v>
      </c>
      <c r="D596" s="1">
        <f>data!D596</f>
        <v>89.69</v>
      </c>
      <c r="E596" s="1">
        <f t="shared" si="6"/>
        <v>422.5</v>
      </c>
      <c r="F596" s="1">
        <f t="shared" si="7"/>
        <v>504.5</v>
      </c>
      <c r="G596" s="1">
        <f t="shared" si="8"/>
        <v>72</v>
      </c>
    </row>
    <row r="597" spans="2:7" x14ac:dyDescent="0.2">
      <c r="B597" s="1">
        <f>data!B597</f>
        <v>4</v>
      </c>
      <c r="C597" s="1">
        <f>data!C597</f>
        <v>75</v>
      </c>
      <c r="D597" s="1">
        <f>data!D597</f>
        <v>62.5</v>
      </c>
      <c r="E597" s="1">
        <f t="shared" si="6"/>
        <v>422.5</v>
      </c>
      <c r="F597" s="1">
        <f t="shared" si="7"/>
        <v>308</v>
      </c>
      <c r="G597" s="1">
        <f t="shared" si="8"/>
        <v>273</v>
      </c>
    </row>
    <row r="598" spans="2:7" x14ac:dyDescent="0.2">
      <c r="B598" s="1">
        <f>data!B598</f>
        <v>8</v>
      </c>
      <c r="C598" s="1">
        <f>data!C598</f>
        <v>108</v>
      </c>
      <c r="D598" s="1">
        <f>data!D598</f>
        <v>60.29</v>
      </c>
      <c r="E598" s="1">
        <f t="shared" si="6"/>
        <v>187.5</v>
      </c>
      <c r="F598" s="1">
        <f t="shared" si="7"/>
        <v>248.5</v>
      </c>
      <c r="G598" s="1">
        <f t="shared" si="8"/>
        <v>306</v>
      </c>
    </row>
    <row r="599" spans="2:7" x14ac:dyDescent="0.2">
      <c r="B599" s="1">
        <f>data!B599</f>
        <v>4</v>
      </c>
      <c r="C599" s="1">
        <f>data!C599</f>
        <v>35</v>
      </c>
      <c r="D599" s="1">
        <f>data!D599</f>
        <v>73.28</v>
      </c>
      <c r="E599" s="1">
        <f t="shared" si="6"/>
        <v>422.5</v>
      </c>
      <c r="F599" s="1">
        <f t="shared" si="7"/>
        <v>425</v>
      </c>
      <c r="G599" s="1">
        <f t="shared" si="8"/>
        <v>195</v>
      </c>
    </row>
    <row r="600" spans="2:7" x14ac:dyDescent="0.2">
      <c r="B600" s="1">
        <f>data!B600</f>
        <v>5</v>
      </c>
      <c r="C600" s="1">
        <f>data!C600</f>
        <v>77</v>
      </c>
      <c r="D600" s="1">
        <f>data!D600</f>
        <v>57.69</v>
      </c>
      <c r="E600" s="1">
        <f t="shared" si="6"/>
        <v>345</v>
      </c>
      <c r="F600" s="1">
        <f t="shared" si="7"/>
        <v>305</v>
      </c>
      <c r="G600" s="1">
        <f t="shared" si="8"/>
        <v>347.5</v>
      </c>
    </row>
    <row r="601" spans="2:7" x14ac:dyDescent="0.2">
      <c r="B601" s="1">
        <f>data!B601</f>
        <v>3</v>
      </c>
      <c r="C601" s="1">
        <f>data!C601</f>
        <v>13</v>
      </c>
      <c r="D601" s="1">
        <f>data!D601</f>
        <v>91.28</v>
      </c>
      <c r="E601" s="1">
        <f t="shared" si="6"/>
        <v>502</v>
      </c>
      <c r="F601" s="1">
        <f t="shared" si="7"/>
        <v>470</v>
      </c>
      <c r="G601" s="1">
        <f t="shared" si="8"/>
        <v>34</v>
      </c>
    </row>
    <row r="602" spans="2:7" x14ac:dyDescent="0.2">
      <c r="B602" s="1">
        <f>data!B602</f>
        <v>4</v>
      </c>
      <c r="C602" s="1">
        <f>data!C602</f>
        <v>4</v>
      </c>
      <c r="D602" s="1">
        <f>data!D602</f>
        <v>92.98</v>
      </c>
      <c r="E602" s="1">
        <f t="shared" si="6"/>
        <v>422.5</v>
      </c>
      <c r="F602" s="1">
        <f t="shared" si="7"/>
        <v>624.5</v>
      </c>
      <c r="G602" s="1">
        <f t="shared" si="8"/>
        <v>2</v>
      </c>
    </row>
    <row r="603" spans="2:7" x14ac:dyDescent="0.2">
      <c r="B603" s="1">
        <f>data!B603</f>
        <v>3</v>
      </c>
      <c r="C603" s="1">
        <f>data!C603</f>
        <v>48</v>
      </c>
      <c r="D603" s="1">
        <f>data!D603</f>
        <v>64.44</v>
      </c>
      <c r="E603" s="1">
        <f t="shared" si="6"/>
        <v>502</v>
      </c>
      <c r="F603" s="1">
        <f t="shared" si="7"/>
        <v>385.5</v>
      </c>
      <c r="G603" s="1">
        <f t="shared" si="8"/>
        <v>253</v>
      </c>
    </row>
    <row r="604" spans="2:7" x14ac:dyDescent="0.2">
      <c r="B604" s="1">
        <f>data!B604</f>
        <v>3</v>
      </c>
      <c r="C604" s="1">
        <f>data!C604</f>
        <v>36</v>
      </c>
      <c r="D604" s="1">
        <f>data!D604</f>
        <v>69.23</v>
      </c>
      <c r="E604" s="1">
        <f t="shared" si="6"/>
        <v>502</v>
      </c>
      <c r="F604" s="1">
        <f t="shared" si="7"/>
        <v>421.5</v>
      </c>
      <c r="G604" s="1">
        <f t="shared" si="8"/>
        <v>217.5</v>
      </c>
    </row>
    <row r="605" spans="2:7" x14ac:dyDescent="0.2">
      <c r="B605" s="1">
        <f>data!B605</f>
        <v>3</v>
      </c>
      <c r="C605" s="1">
        <f>data!C605</f>
        <v>44</v>
      </c>
      <c r="D605" s="1">
        <f>data!D605</f>
        <v>72.84</v>
      </c>
      <c r="E605" s="1">
        <f t="shared" si="6"/>
        <v>502</v>
      </c>
      <c r="F605" s="1">
        <f t="shared" si="7"/>
        <v>394.5</v>
      </c>
      <c r="G605" s="1">
        <f t="shared" si="8"/>
        <v>197</v>
      </c>
    </row>
    <row r="606" spans="2:7" x14ac:dyDescent="0.2">
      <c r="B606" s="1">
        <f>data!B606</f>
        <v>10</v>
      </c>
      <c r="C606" s="1">
        <f>data!C606</f>
        <v>115</v>
      </c>
      <c r="D606" s="1">
        <f>data!D606</f>
        <v>62.05</v>
      </c>
      <c r="E606" s="1">
        <f t="shared" si="6"/>
        <v>123.5</v>
      </c>
      <c r="F606" s="1">
        <f t="shared" si="7"/>
        <v>235.5</v>
      </c>
      <c r="G606" s="1">
        <f t="shared" si="8"/>
        <v>279</v>
      </c>
    </row>
    <row r="607" spans="2:7" x14ac:dyDescent="0.2">
      <c r="B607" s="1">
        <f>data!B607</f>
        <v>5</v>
      </c>
      <c r="C607" s="1">
        <f>data!C607</f>
        <v>6</v>
      </c>
      <c r="D607" s="1">
        <f>data!D607</f>
        <v>91.78</v>
      </c>
      <c r="E607" s="1">
        <f t="shared" si="6"/>
        <v>345</v>
      </c>
      <c r="F607" s="1">
        <f t="shared" si="7"/>
        <v>552</v>
      </c>
      <c r="G607" s="1">
        <f t="shared" si="8"/>
        <v>18</v>
      </c>
    </row>
    <row r="608" spans="2:7" x14ac:dyDescent="0.2">
      <c r="B608" s="1">
        <f>data!B608</f>
        <v>5</v>
      </c>
      <c r="C608" s="1">
        <f>data!C608</f>
        <v>5</v>
      </c>
      <c r="D608" s="1">
        <f>data!D608</f>
        <v>92.54</v>
      </c>
      <c r="E608" s="1">
        <f t="shared" si="6"/>
        <v>345</v>
      </c>
      <c r="F608" s="1">
        <f t="shared" si="7"/>
        <v>595</v>
      </c>
      <c r="G608" s="1">
        <f t="shared" si="8"/>
        <v>5</v>
      </c>
    </row>
    <row r="609" spans="2:7" x14ac:dyDescent="0.2">
      <c r="B609" s="1">
        <f>data!B609</f>
        <v>6</v>
      </c>
      <c r="C609" s="1">
        <f>data!C609</f>
        <v>34</v>
      </c>
      <c r="D609" s="1">
        <f>data!D609</f>
        <v>67.31</v>
      </c>
      <c r="E609" s="1">
        <f t="shared" si="6"/>
        <v>284.5</v>
      </c>
      <c r="F609" s="1">
        <f t="shared" si="7"/>
        <v>429</v>
      </c>
      <c r="G609" s="1">
        <f t="shared" si="8"/>
        <v>227</v>
      </c>
    </row>
    <row r="610" spans="2:7" x14ac:dyDescent="0.2">
      <c r="B610" s="1">
        <f>data!B610</f>
        <v>3</v>
      </c>
      <c r="C610" s="1">
        <f>data!C610</f>
        <v>40</v>
      </c>
      <c r="D610" s="1">
        <f>data!D610</f>
        <v>75.31</v>
      </c>
      <c r="E610" s="1">
        <f t="shared" si="6"/>
        <v>502</v>
      </c>
      <c r="F610" s="1">
        <f t="shared" si="7"/>
        <v>410</v>
      </c>
      <c r="G610" s="1">
        <f t="shared" si="8"/>
        <v>191</v>
      </c>
    </row>
    <row r="611" spans="2:7" x14ac:dyDescent="0.2">
      <c r="B611" s="1">
        <f>data!B611</f>
        <v>11</v>
      </c>
      <c r="C611" s="1">
        <f>data!C611</f>
        <v>140</v>
      </c>
      <c r="D611" s="1">
        <f>data!D611</f>
        <v>61.11</v>
      </c>
      <c r="E611" s="1">
        <f t="shared" si="6"/>
        <v>98</v>
      </c>
      <c r="F611" s="1">
        <f t="shared" si="7"/>
        <v>205</v>
      </c>
      <c r="G611" s="1">
        <f t="shared" si="8"/>
        <v>291</v>
      </c>
    </row>
    <row r="612" spans="2:7" x14ac:dyDescent="0.2">
      <c r="B612" s="1">
        <f>data!B612</f>
        <v>4</v>
      </c>
      <c r="C612" s="1">
        <f>data!C612</f>
        <v>6</v>
      </c>
      <c r="D612" s="1">
        <f>data!D612</f>
        <v>91.67</v>
      </c>
      <c r="E612" s="1">
        <f t="shared" si="6"/>
        <v>422.5</v>
      </c>
      <c r="F612" s="1">
        <f t="shared" si="7"/>
        <v>552</v>
      </c>
      <c r="G612" s="1">
        <f t="shared" si="8"/>
        <v>22.5</v>
      </c>
    </row>
    <row r="613" spans="2:7" x14ac:dyDescent="0.2">
      <c r="B613" s="1">
        <f>data!B613</f>
        <v>6</v>
      </c>
      <c r="C613" s="1">
        <f>data!C613</f>
        <v>125</v>
      </c>
      <c r="D613" s="1">
        <f>data!D613</f>
        <v>64.790000000000006</v>
      </c>
      <c r="E613" s="1">
        <f t="shared" si="6"/>
        <v>284.5</v>
      </c>
      <c r="F613" s="1">
        <f t="shared" si="7"/>
        <v>223.5</v>
      </c>
      <c r="G613" s="1">
        <f t="shared" si="8"/>
        <v>248</v>
      </c>
    </row>
    <row r="614" spans="2:7" x14ac:dyDescent="0.2">
      <c r="B614" s="1">
        <f>data!B614</f>
        <v>3</v>
      </c>
      <c r="C614" s="1">
        <f>data!C614</f>
        <v>71</v>
      </c>
      <c r="D614" s="1">
        <f>data!D614</f>
        <v>54.19</v>
      </c>
      <c r="E614" s="1">
        <f t="shared" si="6"/>
        <v>502</v>
      </c>
      <c r="F614" s="1">
        <f t="shared" si="7"/>
        <v>317</v>
      </c>
      <c r="G614" s="1">
        <f t="shared" si="8"/>
        <v>392.5</v>
      </c>
    </row>
    <row r="615" spans="2:7" x14ac:dyDescent="0.2">
      <c r="B615" s="1">
        <f>data!B615</f>
        <v>9</v>
      </c>
      <c r="C615" s="1">
        <f>data!C615</f>
        <v>93</v>
      </c>
      <c r="D615" s="1">
        <f>data!D615</f>
        <v>58.11</v>
      </c>
      <c r="E615" s="1">
        <f t="shared" si="6"/>
        <v>151.5</v>
      </c>
      <c r="F615" s="1">
        <f t="shared" si="7"/>
        <v>271.5</v>
      </c>
      <c r="G615" s="1">
        <f t="shared" si="8"/>
        <v>344</v>
      </c>
    </row>
    <row r="616" spans="2:7" x14ac:dyDescent="0.2">
      <c r="B616" s="1">
        <f>data!B616</f>
        <v>5</v>
      </c>
      <c r="C616" s="1">
        <f>data!C616</f>
        <v>11</v>
      </c>
      <c r="D616" s="1">
        <f>data!D616</f>
        <v>89.81</v>
      </c>
      <c r="E616" s="1">
        <f t="shared" si="6"/>
        <v>345</v>
      </c>
      <c r="F616" s="1">
        <f t="shared" si="7"/>
        <v>496</v>
      </c>
      <c r="G616" s="1">
        <f t="shared" si="8"/>
        <v>65</v>
      </c>
    </row>
    <row r="617" spans="2:7" x14ac:dyDescent="0.2">
      <c r="B617" s="1">
        <f>data!B617</f>
        <v>2</v>
      </c>
      <c r="C617" s="1">
        <f>data!C617</f>
        <v>73</v>
      </c>
      <c r="D617" s="1">
        <f>data!D617</f>
        <v>69.709999999999994</v>
      </c>
      <c r="E617" s="1">
        <f t="shared" si="6"/>
        <v>585.5</v>
      </c>
      <c r="F617" s="1">
        <f t="shared" si="7"/>
        <v>311</v>
      </c>
      <c r="G617" s="1">
        <f t="shared" si="8"/>
        <v>211</v>
      </c>
    </row>
    <row r="618" spans="2:7" x14ac:dyDescent="0.2">
      <c r="B618" s="1">
        <f>data!B618</f>
        <v>5</v>
      </c>
      <c r="C618" s="1">
        <f>data!C618</f>
        <v>6</v>
      </c>
      <c r="D618" s="1">
        <f>data!D618</f>
        <v>89.09</v>
      </c>
      <c r="E618" s="1">
        <f t="shared" si="6"/>
        <v>345</v>
      </c>
      <c r="F618" s="1">
        <f t="shared" si="7"/>
        <v>552</v>
      </c>
      <c r="G618" s="1">
        <f t="shared" si="8"/>
        <v>79</v>
      </c>
    </row>
    <row r="619" spans="2:7" x14ac:dyDescent="0.2">
      <c r="B619" s="1">
        <f>data!B619</f>
        <v>4</v>
      </c>
      <c r="C619" s="1">
        <f>data!C619</f>
        <v>58</v>
      </c>
      <c r="D619" s="1">
        <f>data!D619</f>
        <v>59.44</v>
      </c>
      <c r="E619" s="1">
        <f t="shared" si="6"/>
        <v>422.5</v>
      </c>
      <c r="F619" s="1">
        <f t="shared" si="7"/>
        <v>351.5</v>
      </c>
      <c r="G619" s="1">
        <f t="shared" si="8"/>
        <v>313.5</v>
      </c>
    </row>
    <row r="620" spans="2:7" x14ac:dyDescent="0.2">
      <c r="B620" s="1">
        <f>data!B620</f>
        <v>5</v>
      </c>
      <c r="C620" s="1">
        <f>data!C620</f>
        <v>56</v>
      </c>
      <c r="D620" s="1">
        <f>data!D620</f>
        <v>58.21</v>
      </c>
      <c r="E620" s="1">
        <f t="shared" si="6"/>
        <v>345</v>
      </c>
      <c r="F620" s="1">
        <f t="shared" si="7"/>
        <v>361</v>
      </c>
      <c r="G620" s="1">
        <f t="shared" si="8"/>
        <v>342.5</v>
      </c>
    </row>
    <row r="621" spans="2:7" x14ac:dyDescent="0.2">
      <c r="B621" s="1">
        <f>data!B621</f>
        <v>3</v>
      </c>
      <c r="C621" s="1">
        <f>data!C621</f>
        <v>49</v>
      </c>
      <c r="D621" s="1">
        <f>data!D621</f>
        <v>74.069999999999993</v>
      </c>
      <c r="E621" s="1">
        <f t="shared" si="6"/>
        <v>502</v>
      </c>
      <c r="F621" s="1">
        <f t="shared" si="7"/>
        <v>380.5</v>
      </c>
      <c r="G621" s="1">
        <f t="shared" si="8"/>
        <v>193</v>
      </c>
    </row>
    <row r="622" spans="2:7" x14ac:dyDescent="0.2">
      <c r="B622" s="1">
        <f>data!B622</f>
        <v>10</v>
      </c>
      <c r="C622" s="1">
        <f>data!C622</f>
        <v>132</v>
      </c>
      <c r="D622" s="1">
        <f>data!D622</f>
        <v>63.03</v>
      </c>
      <c r="E622" s="1">
        <f t="shared" si="6"/>
        <v>123.5</v>
      </c>
      <c r="F622" s="1">
        <f t="shared" si="7"/>
        <v>213</v>
      </c>
      <c r="G622" s="1">
        <f t="shared" si="8"/>
        <v>267</v>
      </c>
    </row>
    <row r="623" spans="2:7" x14ac:dyDescent="0.2">
      <c r="B623" s="1">
        <f>data!B623</f>
        <v>8</v>
      </c>
      <c r="C623" s="1">
        <f>data!C623</f>
        <v>70</v>
      </c>
      <c r="D623" s="1">
        <f>data!D623</f>
        <v>49.28</v>
      </c>
      <c r="E623" s="1">
        <f t="shared" si="6"/>
        <v>187.5</v>
      </c>
      <c r="F623" s="1">
        <f t="shared" si="7"/>
        <v>321</v>
      </c>
      <c r="G623" s="1">
        <f t="shared" si="8"/>
        <v>473.5</v>
      </c>
    </row>
    <row r="624" spans="2:7" x14ac:dyDescent="0.2">
      <c r="B624" s="1">
        <f>data!B624</f>
        <v>4</v>
      </c>
      <c r="C624" s="1">
        <f>data!C624</f>
        <v>6</v>
      </c>
      <c r="D624" s="1">
        <f>data!D624</f>
        <v>89.29</v>
      </c>
      <c r="E624" s="1">
        <f t="shared" si="6"/>
        <v>422.5</v>
      </c>
      <c r="F624" s="1">
        <f t="shared" si="7"/>
        <v>552</v>
      </c>
      <c r="G624" s="1">
        <f t="shared" si="8"/>
        <v>77</v>
      </c>
    </row>
    <row r="625" spans="2:7" x14ac:dyDescent="0.2">
      <c r="B625" s="1">
        <f>data!B625</f>
        <v>15</v>
      </c>
      <c r="C625" s="1">
        <f>data!C625</f>
        <v>425</v>
      </c>
      <c r="D625" s="1">
        <f>data!D625</f>
        <v>52.35</v>
      </c>
      <c r="E625" s="1">
        <f t="shared" si="6"/>
        <v>37.5</v>
      </c>
      <c r="F625" s="1">
        <f t="shared" si="7"/>
        <v>41</v>
      </c>
      <c r="G625" s="1">
        <f t="shared" si="8"/>
        <v>427</v>
      </c>
    </row>
    <row r="626" spans="2:7" x14ac:dyDescent="0.2">
      <c r="B626" s="1">
        <f>data!B626</f>
        <v>14</v>
      </c>
      <c r="C626" s="1">
        <f>data!C626</f>
        <v>371</v>
      </c>
      <c r="D626" s="1">
        <f>data!D626</f>
        <v>47.6</v>
      </c>
      <c r="E626" s="1">
        <f t="shared" si="6"/>
        <v>46</v>
      </c>
      <c r="F626" s="1">
        <f t="shared" si="7"/>
        <v>56.5</v>
      </c>
      <c r="G626" s="1">
        <f t="shared" si="8"/>
        <v>501</v>
      </c>
    </row>
    <row r="627" spans="2:7" x14ac:dyDescent="0.2">
      <c r="B627" s="1">
        <f>data!B627</f>
        <v>4</v>
      </c>
      <c r="C627" s="1">
        <f>data!C627</f>
        <v>5</v>
      </c>
      <c r="D627" s="1">
        <f>data!D627</f>
        <v>91.67</v>
      </c>
      <c r="E627" s="1">
        <f t="shared" si="6"/>
        <v>422.5</v>
      </c>
      <c r="F627" s="1">
        <f t="shared" si="7"/>
        <v>595</v>
      </c>
      <c r="G627" s="1">
        <f t="shared" si="8"/>
        <v>22.5</v>
      </c>
    </row>
    <row r="628" spans="2:7" x14ac:dyDescent="0.2">
      <c r="B628" s="1">
        <f>data!B628</f>
        <v>4</v>
      </c>
      <c r="C628" s="1">
        <f>data!C628</f>
        <v>41</v>
      </c>
      <c r="D628" s="1">
        <f>data!D628</f>
        <v>63.39</v>
      </c>
      <c r="E628" s="1">
        <f t="shared" si="6"/>
        <v>422.5</v>
      </c>
      <c r="F628" s="1">
        <f t="shared" si="7"/>
        <v>407.5</v>
      </c>
      <c r="G628" s="1">
        <f t="shared" si="8"/>
        <v>264</v>
      </c>
    </row>
    <row r="629" spans="2:7" x14ac:dyDescent="0.2">
      <c r="B629" s="1">
        <f>data!B629</f>
        <v>5</v>
      </c>
      <c r="C629" s="1">
        <f>data!C629</f>
        <v>37</v>
      </c>
      <c r="D629" s="1">
        <f>data!D629</f>
        <v>64.08</v>
      </c>
      <c r="E629" s="1">
        <f t="shared" si="6"/>
        <v>345</v>
      </c>
      <c r="F629" s="1">
        <f t="shared" si="7"/>
        <v>418.5</v>
      </c>
      <c r="G629" s="1">
        <f t="shared" si="8"/>
        <v>256</v>
      </c>
    </row>
    <row r="630" spans="2:7" x14ac:dyDescent="0.2">
      <c r="B630" s="1">
        <f>data!B630</f>
        <v>3</v>
      </c>
      <c r="C630" s="1">
        <f>data!C630</f>
        <v>39</v>
      </c>
      <c r="D630" s="1">
        <f>data!D630</f>
        <v>76.069999999999993</v>
      </c>
      <c r="E630" s="1">
        <f t="shared" si="6"/>
        <v>502</v>
      </c>
      <c r="F630" s="1">
        <f t="shared" si="7"/>
        <v>412</v>
      </c>
      <c r="G630" s="1">
        <f t="shared" si="8"/>
        <v>187</v>
      </c>
    </row>
    <row r="631" spans="2:7" x14ac:dyDescent="0.2">
      <c r="B631" s="1">
        <f>data!B631</f>
        <v>12</v>
      </c>
      <c r="C631" s="1">
        <f>data!C631</f>
        <v>122</v>
      </c>
      <c r="D631" s="1">
        <f>data!D631</f>
        <v>61.99</v>
      </c>
      <c r="E631" s="1">
        <f t="shared" si="6"/>
        <v>74.5</v>
      </c>
      <c r="F631" s="1">
        <f t="shared" si="7"/>
        <v>228</v>
      </c>
      <c r="G631" s="1">
        <f t="shared" si="8"/>
        <v>280</v>
      </c>
    </row>
    <row r="632" spans="2:7" x14ac:dyDescent="0.2">
      <c r="B632" s="1">
        <f>data!B632</f>
        <v>4</v>
      </c>
      <c r="C632" s="1">
        <f>data!C632</f>
        <v>6</v>
      </c>
      <c r="D632" s="1">
        <f>data!D632</f>
        <v>91.78</v>
      </c>
      <c r="E632" s="1">
        <f t="shared" si="6"/>
        <v>422.5</v>
      </c>
      <c r="F632" s="1">
        <f t="shared" si="7"/>
        <v>552</v>
      </c>
      <c r="G632" s="1">
        <f t="shared" si="8"/>
        <v>18</v>
      </c>
    </row>
    <row r="633" spans="2:7" x14ac:dyDescent="0.2">
      <c r="B633" s="1">
        <f>data!B633</f>
        <v>4</v>
      </c>
      <c r="C633" s="1">
        <f>data!C633</f>
        <v>41</v>
      </c>
      <c r="D633" s="1">
        <f>data!D633</f>
        <v>64.66</v>
      </c>
      <c r="E633" s="1">
        <f t="shared" si="6"/>
        <v>422.5</v>
      </c>
      <c r="F633" s="1">
        <f t="shared" si="7"/>
        <v>407.5</v>
      </c>
      <c r="G633" s="1">
        <f t="shared" si="8"/>
        <v>250</v>
      </c>
    </row>
    <row r="634" spans="2:7" x14ac:dyDescent="0.2">
      <c r="B634" s="1">
        <f>data!B634</f>
        <v>0</v>
      </c>
      <c r="C634" s="1">
        <f>data!C634</f>
        <v>0</v>
      </c>
      <c r="D634" s="1">
        <f>data!D634</f>
        <v>0</v>
      </c>
    </row>
    <row r="635" spans="2:7" x14ac:dyDescent="0.2">
      <c r="C635" s="1">
        <f>data!C635</f>
        <v>0</v>
      </c>
      <c r="D635" s="1">
        <f>data!D635</f>
        <v>0</v>
      </c>
    </row>
    <row r="636" spans="2:7" x14ac:dyDescent="0.2">
      <c r="C636" s="1">
        <f>data!C636</f>
        <v>0</v>
      </c>
      <c r="D636" s="1">
        <f>data!D636</f>
        <v>0</v>
      </c>
    </row>
    <row r="637" spans="2:7" x14ac:dyDescent="0.2">
      <c r="C637" s="1">
        <f>data!C637</f>
        <v>0</v>
      </c>
      <c r="D637" s="1">
        <f>data!D637</f>
        <v>0</v>
      </c>
    </row>
    <row r="638" spans="2:7" x14ac:dyDescent="0.2">
      <c r="C638" s="1">
        <f>data!C638</f>
        <v>0</v>
      </c>
    </row>
    <row r="639" spans="2:7" x14ac:dyDescent="0.2">
      <c r="C639" s="1">
        <f>data!C639</f>
        <v>0</v>
      </c>
    </row>
    <row r="640" spans="2:7" x14ac:dyDescent="0.2">
      <c r="C640" s="1">
        <f>data!C640</f>
        <v>0</v>
      </c>
    </row>
    <row r="641" spans="3:3" x14ac:dyDescent="0.2">
      <c r="C641" s="1">
        <f>data!C641</f>
        <v>0</v>
      </c>
    </row>
    <row r="642" spans="3:3" x14ac:dyDescent="0.2">
      <c r="C642" s="1">
        <f>data!C642</f>
        <v>0</v>
      </c>
    </row>
    <row r="643" spans="3:3" x14ac:dyDescent="0.2">
      <c r="C643" s="1">
        <f>data!C643</f>
        <v>0</v>
      </c>
    </row>
    <row r="644" spans="3:3" x14ac:dyDescent="0.2">
      <c r="C644" s="1">
        <f>data!C644</f>
        <v>0</v>
      </c>
    </row>
    <row r="645" spans="3:3" x14ac:dyDescent="0.2">
      <c r="C645" s="1">
        <f>data!C645</f>
        <v>0</v>
      </c>
    </row>
    <row r="646" spans="3:3" x14ac:dyDescent="0.2">
      <c r="C646" s="1">
        <f>data!C646</f>
        <v>0</v>
      </c>
    </row>
    <row r="647" spans="3:3" x14ac:dyDescent="0.2">
      <c r="C647" s="1">
        <f>data!C647</f>
        <v>0</v>
      </c>
    </row>
    <row r="648" spans="3:3" x14ac:dyDescent="0.2">
      <c r="C648" s="1">
        <f>data!C648</f>
        <v>0</v>
      </c>
    </row>
    <row r="649" spans="3:3" x14ac:dyDescent="0.2">
      <c r="C649" s="1">
        <f>data!C649</f>
        <v>0</v>
      </c>
    </row>
    <row r="650" spans="3:3" x14ac:dyDescent="0.2">
      <c r="C650" s="1">
        <f>data!C650</f>
        <v>0</v>
      </c>
    </row>
    <row r="651" spans="3:3" x14ac:dyDescent="0.2">
      <c r="C651" s="1">
        <f>data!C651</f>
        <v>0</v>
      </c>
    </row>
    <row r="652" spans="3:3" x14ac:dyDescent="0.2">
      <c r="C652" s="1">
        <f>data!C652</f>
        <v>0</v>
      </c>
    </row>
    <row r="653" spans="3:3" x14ac:dyDescent="0.2">
      <c r="C653" s="1">
        <f>data!C653</f>
        <v>0</v>
      </c>
    </row>
    <row r="654" spans="3:3" x14ac:dyDescent="0.2">
      <c r="C654" s="1">
        <f>data!C654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NoComNormal</vt:lpstr>
      <vt:lpstr>NCLOCNormal</vt:lpstr>
      <vt:lpstr>DCPNormal</vt:lpstr>
      <vt:lpstr>Spearman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 Kai Qin</cp:lastModifiedBy>
  <dcterms:modified xsi:type="dcterms:W3CDTF">2022-11-19T04:33:15Z</dcterms:modified>
</cp:coreProperties>
</file>