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Cash Flow" sheetId="2" r:id="rId5"/>
    <sheet state="visible" name="DCF" sheetId="3" r:id="rId6"/>
    <sheet state="visible" name="Shares" sheetId="4" r:id="rId7"/>
    <sheet state="visible" name="WACC" sheetId="5" r:id="rId8"/>
  </sheets>
  <definedNames/>
  <calcPr/>
</workbook>
</file>

<file path=xl/sharedStrings.xml><?xml version="1.0" encoding="utf-8"?>
<sst xmlns="http://schemas.openxmlformats.org/spreadsheetml/2006/main" count="197" uniqueCount="118">
  <si>
    <t>Rs in Crores</t>
  </si>
  <si>
    <t>Income Statement</t>
  </si>
  <si>
    <t>Particulars</t>
  </si>
  <si>
    <t>2019A</t>
  </si>
  <si>
    <t>2020A</t>
  </si>
  <si>
    <t>2021A</t>
  </si>
  <si>
    <t>2022A</t>
  </si>
  <si>
    <t>2023A</t>
  </si>
  <si>
    <t>2024A</t>
  </si>
  <si>
    <t>2025E</t>
  </si>
  <si>
    <t>2026E</t>
  </si>
  <si>
    <t>2027E</t>
  </si>
  <si>
    <t>Revenue From Operations</t>
  </si>
  <si>
    <t>Other Income</t>
  </si>
  <si>
    <t>Total Revenue</t>
  </si>
  <si>
    <t>Cost of materials consumed</t>
  </si>
  <si>
    <t>Purchases of Stock-in-Trade</t>
  </si>
  <si>
    <t>Changes in CA &amp; FA</t>
  </si>
  <si>
    <t>Excise duty</t>
  </si>
  <si>
    <t>Employee benefits expense</t>
  </si>
  <si>
    <t>Finance costs</t>
  </si>
  <si>
    <t>Depreciation and amortization expense</t>
  </si>
  <si>
    <t>Other expenses</t>
  </si>
  <si>
    <t>Total Expense</t>
  </si>
  <si>
    <t>EBIT</t>
  </si>
  <si>
    <t>Exceptional Items</t>
  </si>
  <si>
    <t>EBT</t>
  </si>
  <si>
    <t>Current Tax</t>
  </si>
  <si>
    <t>Deferred Tax</t>
  </si>
  <si>
    <t>Net Profit</t>
  </si>
  <si>
    <t>Cash Flow</t>
  </si>
  <si>
    <t>Capex</t>
  </si>
  <si>
    <t xml:space="preserve">Cash from Operating Activity </t>
  </si>
  <si>
    <t xml:space="preserve">Cash from Investing Activity </t>
  </si>
  <si>
    <t xml:space="preserve">Cash from Financing Activity </t>
  </si>
  <si>
    <t>Net Cash Flow</t>
  </si>
  <si>
    <t>ITC DCF</t>
  </si>
  <si>
    <t>Ticker</t>
  </si>
  <si>
    <t>Impliced price per share</t>
  </si>
  <si>
    <t>Date</t>
  </si>
  <si>
    <t>Current Share Price</t>
  </si>
  <si>
    <t>Year end</t>
  </si>
  <si>
    <t>Implied upside/ (downside)</t>
  </si>
  <si>
    <t>Assumptions</t>
  </si>
  <si>
    <t>Switches</t>
  </si>
  <si>
    <t>Conservative</t>
  </si>
  <si>
    <t>Base</t>
  </si>
  <si>
    <t>Optimistic</t>
  </si>
  <si>
    <t xml:space="preserve">Year </t>
  </si>
  <si>
    <t>Metric</t>
  </si>
  <si>
    <t>Revenue</t>
  </si>
  <si>
    <t>26-28</t>
  </si>
  <si>
    <t>26'-28</t>
  </si>
  <si>
    <t>WACC</t>
  </si>
  <si>
    <t>TGR</t>
  </si>
  <si>
    <t>Valuation</t>
  </si>
  <si>
    <t>TAGR</t>
  </si>
  <si>
    <t xml:space="preserve">Revenue </t>
  </si>
  <si>
    <t>% growth</t>
  </si>
  <si>
    <t>% of sales</t>
  </si>
  <si>
    <t>Taxes</t>
  </si>
  <si>
    <t>Tax Rate</t>
  </si>
  <si>
    <t>D&amp;A Expense</t>
  </si>
  <si>
    <t>Changes in NWC</t>
  </si>
  <si>
    <t>% of change in sales</t>
  </si>
  <si>
    <t>DCF</t>
  </si>
  <si>
    <t>% of growth</t>
  </si>
  <si>
    <t>Base (Street)</t>
  </si>
  <si>
    <t>EBAIT</t>
  </si>
  <si>
    <t>Unlevered DCF</t>
  </si>
  <si>
    <t>PV of Unlevered DCF</t>
  </si>
  <si>
    <t xml:space="preserve">Period </t>
  </si>
  <si>
    <t>Discount Period</t>
  </si>
  <si>
    <t>Terminal Value</t>
  </si>
  <si>
    <t xml:space="preserve"> </t>
  </si>
  <si>
    <t>PV of Terminal Value</t>
  </si>
  <si>
    <t>Enterprise Value</t>
  </si>
  <si>
    <t>(-) Debt</t>
  </si>
  <si>
    <t>(-) Cash</t>
  </si>
  <si>
    <t>Equity Value</t>
  </si>
  <si>
    <t>FDSO</t>
  </si>
  <si>
    <t>Implied Price per Share</t>
  </si>
  <si>
    <t>Diluted Share Count Calculation</t>
  </si>
  <si>
    <t>Full Diluted Share Price</t>
  </si>
  <si>
    <t>Current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</si>
  <si>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</si>
  <si>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</si>
  <si>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</si>
  <si>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</si>
  <si>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</si>
  <si>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>RSUs</t>
  </si>
  <si>
    <t>PSUs</t>
  </si>
  <si>
    <t>Net diluted shares outstanding</t>
  </si>
  <si>
    <t>Tranche</t>
  </si>
  <si>
    <t>Outstanding</t>
  </si>
  <si>
    <t>Exercise Price</t>
  </si>
  <si>
    <t>Dilutive Shares</t>
  </si>
  <si>
    <t>Tranche 1</t>
  </si>
  <si>
    <t>Tranche 2</t>
  </si>
  <si>
    <t>Tranche 3</t>
  </si>
  <si>
    <t>Tranche 4</t>
  </si>
  <si>
    <t>Tranche 5</t>
  </si>
  <si>
    <t>Tranche 6</t>
  </si>
  <si>
    <t>Tranche 7</t>
  </si>
  <si>
    <t>Tranche 8</t>
  </si>
  <si>
    <t>Tranche 9</t>
  </si>
  <si>
    <t>Tranche 10</t>
  </si>
  <si>
    <t>Total</t>
  </si>
  <si>
    <t>Value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</si>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</sst>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d/m/yyyy"/>
    <numFmt numFmtId="166" formatCode="0.000%"/>
  </numFmts>
  <fonts count="27">
    <font>
      <sz val="10.0"/>
      <color rgb="FF000000"/>
      <name val="Arial"/>
      <scheme val="minor"/>
    </font>
    <font>
      <color theme="1"/>
      <name val="Calibri"/>
    </font>
    <font>
      <b/>
      <sz val="11.0"/>
      <color theme="1"/>
      <name val="Calibri"/>
    </font>
    <font>
      <b/>
      <color theme="1"/>
      <name val="Calibri"/>
    </font>
    <font>
      <b/>
      <sz val="11.0"/>
      <color rgb="FF000000"/>
      <name val="Calibri"/>
    </font>
    <font>
      <color rgb="FF22222F"/>
      <name val="Calibri"/>
    </font>
    <font>
      <b/>
      <color rgb="FF22222F"/>
      <name val="Calibri"/>
    </font>
    <font>
      <b/>
      <sz val="30.0"/>
      <color theme="1"/>
      <name val="Calibri"/>
    </font>
    <font/>
    <font>
      <b/>
      <sz val="11.0"/>
      <color rgb="FFF3F3F3"/>
      <name val="Calibri"/>
    </font>
    <font>
      <b/>
      <color rgb="FFFFFFFF"/>
      <name val="Calibri"/>
    </font>
    <font>
      <b/>
      <u/>
      <color theme="1"/>
      <name val="Calibri"/>
    </font>
    <font>
      <b/>
      <sz val="11.0"/>
      <color rgb="FFFFFFFF"/>
      <name val="Calibri"/>
    </font>
    <font>
      <color rgb="FF6AA84F"/>
      <name val="Calibri"/>
    </font>
    <font>
      <i/>
      <color theme="1"/>
      <name val="Calibri"/>
    </font>
    <font>
      <color rgb="FF38761D"/>
      <name val="Calibri"/>
    </font>
    <font>
      <color theme="7"/>
      <name val="Calibri"/>
    </font>
    <font>
      <color rgb="FF34A853"/>
      <name val="Calibri"/>
    </font>
    <font>
      <color rgb="FF1155CC"/>
      <name val="Calibri"/>
    </font>
    <font>
      <color rgb="FF4C1130"/>
      <name val="Calibri"/>
    </font>
    <font>
      <i/>
      <color rgb="FF38761D"/>
      <name val="Calibri"/>
    </font>
    <font>
      <i/>
      <color rgb="FFFF0000"/>
      <name val="Calibri"/>
    </font>
    <font>
      <color rgb="FF741B47"/>
      <name val="Calibri"/>
    </font>
    <font>
      <b/>
      <sz val="13.0"/>
      <color theme="1"/>
      <name val="Calibri"/>
    </font>
    <font>
      <b/>
      <sz val="16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C"/>
        <bgColor rgb="FFF8F8FC"/>
      </patternFill>
    </fill>
    <fill>
      <patternFill patternType="solid">
        <fgColor rgb="FFFFE599"/>
        <bgColor rgb="FFFFE599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</fills>
  <borders count="11">
    <border/>
    <border>
      <bottom style="thin">
        <color rgb="FFDBE4F0"/>
      </bottom>
    </border>
    <border>
      <top style="medium">
        <color rgb="FFDBE4F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2" fontId="4" numFmtId="0" xfId="0" applyAlignment="1" applyBorder="1" applyFill="1" applyFont="1">
      <alignment horizontal="left" readingOrder="0"/>
    </xf>
    <xf borderId="1" fillId="2" fontId="4" numFmtId="0" xfId="0" applyAlignment="1" applyBorder="1" applyFont="1">
      <alignment horizontal="right" readingOrder="0"/>
    </xf>
    <xf borderId="0" fillId="0" fontId="1" numFmtId="0" xfId="0" applyAlignment="1" applyFont="1">
      <alignment horizontal="left" readingOrder="0" shrinkToFit="0" wrapText="0"/>
    </xf>
    <xf borderId="0" fillId="0" fontId="1" numFmtId="3" xfId="0" applyAlignment="1" applyFont="1" applyNumberFormat="1">
      <alignment readingOrder="0"/>
    </xf>
    <xf borderId="0" fillId="3" fontId="5" numFmtId="164" xfId="0" applyAlignment="1" applyFill="1" applyFont="1" applyNumberFormat="1">
      <alignment horizontal="right" readingOrder="0"/>
    </xf>
    <xf borderId="0" fillId="2" fontId="5" numFmtId="164" xfId="0" applyAlignment="1" applyFont="1" applyNumberFormat="1">
      <alignment horizontal="right" readingOrder="0"/>
    </xf>
    <xf borderId="2" fillId="0" fontId="6" numFmtId="0" xfId="0" applyAlignment="1" applyBorder="1" applyFont="1">
      <alignment horizontal="left" readingOrder="0" shrinkToFit="0" wrapText="0"/>
    </xf>
    <xf borderId="2" fillId="2" fontId="6" numFmtId="164" xfId="0" applyAlignment="1" applyBorder="1" applyFont="1" applyNumberFormat="1">
      <alignment horizontal="right" readingOrder="0"/>
    </xf>
    <xf borderId="0" fillId="0" fontId="7" numFmtId="0" xfId="0" applyAlignment="1" applyFont="1">
      <alignment readingOrder="0"/>
    </xf>
    <xf borderId="3" fillId="0" fontId="8" numFmtId="0" xfId="0" applyBorder="1" applyFont="1"/>
    <xf borderId="0" fillId="4" fontId="1" numFmtId="0" xfId="0" applyFill="1" applyFont="1"/>
    <xf borderId="0" fillId="4" fontId="1" numFmtId="165" xfId="0" applyAlignment="1" applyFont="1" applyNumberFormat="1">
      <alignment readingOrder="0"/>
    </xf>
    <xf borderId="0" fillId="0" fontId="1" numFmtId="9" xfId="0" applyFont="1" applyNumberFormat="1"/>
    <xf borderId="0" fillId="5" fontId="9" numFmtId="0" xfId="0" applyAlignment="1" applyFill="1" applyFont="1">
      <alignment readingOrder="0"/>
    </xf>
    <xf borderId="0" fillId="5" fontId="1" numFmtId="0" xfId="0" applyFont="1"/>
    <xf borderId="0" fillId="6" fontId="10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9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4" fontId="1" numFmtId="10" xfId="0" applyFont="1" applyNumberFormat="1"/>
    <xf borderId="0" fillId="4" fontId="1" numFmtId="10" xfId="0" applyAlignment="1" applyFont="1" applyNumberFormat="1">
      <alignment readingOrder="0"/>
    </xf>
    <xf borderId="0" fillId="5" fontId="12" numFmtId="0" xfId="0" applyAlignment="1" applyFont="1">
      <alignment readingOrder="0"/>
    </xf>
    <xf borderId="0" fillId="5" fontId="12" numFmtId="0" xfId="0" applyAlignment="1" applyFont="1">
      <alignment horizontal="right" readingOrder="0"/>
    </xf>
    <xf borderId="0" fillId="0" fontId="13" numFmtId="164" xfId="0" applyAlignment="1" applyFont="1" applyNumberFormat="1">
      <alignment readingOrder="0"/>
    </xf>
    <xf borderId="0" fillId="0" fontId="13" numFmtId="164" xfId="0" applyFont="1" applyNumberFormat="1"/>
    <xf borderId="0" fillId="0" fontId="1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4" numFmtId="10" xfId="0" applyFont="1" applyNumberFormat="1"/>
    <xf borderId="0" fillId="0" fontId="15" numFmtId="164" xfId="0" applyFont="1" applyNumberFormat="1"/>
    <xf borderId="0" fillId="0" fontId="16" numFmtId="164" xfId="0" applyAlignment="1" applyFont="1" applyNumberFormat="1">
      <alignment readingOrder="0"/>
    </xf>
    <xf borderId="0" fillId="0" fontId="16" numFmtId="164" xfId="0" applyFont="1" applyNumberFormat="1"/>
    <xf borderId="0" fillId="0" fontId="16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2" fillId="3" fontId="17" numFmtId="164" xfId="0" applyAlignment="1" applyBorder="1" applyFont="1" applyNumberFormat="1">
      <alignment horizontal="right" readingOrder="0"/>
    </xf>
    <xf borderId="2" fillId="3" fontId="16" numFmtId="164" xfId="0" applyAlignment="1" applyBorder="1" applyFont="1" applyNumberFormat="1">
      <alignment horizontal="right" readingOrder="0"/>
    </xf>
    <xf borderId="2" fillId="3" fontId="5" numFmtId="3" xfId="0" applyAlignment="1" applyBorder="1" applyFont="1" applyNumberFormat="1">
      <alignment horizontal="right" readingOrder="0"/>
    </xf>
    <xf borderId="0" fillId="0" fontId="18" numFmtId="164" xfId="0" applyFont="1" applyNumberFormat="1"/>
    <xf borderId="0" fillId="0" fontId="19" numFmtId="164" xfId="0" applyFont="1" applyNumberFormat="1"/>
    <xf borderId="0" fillId="0" fontId="14" numFmtId="0" xfId="0" applyAlignment="1" applyFont="1">
      <alignment horizontal="right" readingOrder="0"/>
    </xf>
    <xf borderId="0" fillId="0" fontId="20" numFmtId="10" xfId="0" applyFont="1" applyNumberFormat="1"/>
    <xf borderId="0" fillId="0" fontId="20" numFmtId="9" xfId="0" applyFont="1" applyNumberFormat="1"/>
    <xf borderId="0" fillId="4" fontId="14" numFmtId="10" xfId="0" applyFont="1" applyNumberFormat="1"/>
    <xf borderId="0" fillId="4" fontId="1" numFmtId="9" xfId="0" applyFont="1" applyNumberFormat="1"/>
    <xf borderId="0" fillId="4" fontId="21" numFmtId="10" xfId="0" applyFont="1" applyNumberFormat="1"/>
    <xf borderId="0" fillId="4" fontId="21" numFmtId="9" xfId="0" applyFont="1" applyNumberFormat="1"/>
    <xf borderId="0" fillId="0" fontId="22" numFmtId="164" xfId="0" applyFont="1" applyNumberFormat="1"/>
    <xf borderId="0" fillId="4" fontId="14" numFmtId="9" xfId="0" applyFont="1" applyNumberFormat="1"/>
    <xf borderId="0" fillId="0" fontId="1" numFmtId="10" xfId="0" applyFont="1" applyNumberFormat="1"/>
    <xf borderId="4" fillId="0" fontId="1" numFmtId="0" xfId="0" applyBorder="1" applyFont="1"/>
    <xf borderId="5" fillId="0" fontId="1" numFmtId="0" xfId="0" applyBorder="1" applyFont="1"/>
    <xf borderId="5" fillId="0" fontId="1" numFmtId="164" xfId="0" applyBorder="1" applyFont="1" applyNumberFormat="1"/>
    <xf borderId="0" fillId="0" fontId="1" numFmtId="3" xfId="0" applyFont="1" applyNumberFormat="1"/>
    <xf borderId="6" fillId="0" fontId="14" numFmtId="0" xfId="0" applyAlignment="1" applyBorder="1" applyFont="1">
      <alignment readingOrder="0"/>
    </xf>
    <xf borderId="7" fillId="0" fontId="1" numFmtId="0" xfId="0" applyBorder="1" applyFont="1"/>
    <xf borderId="7" fillId="0" fontId="1" numFmtId="164" xfId="0" applyBorder="1" applyFont="1" applyNumberFormat="1"/>
    <xf borderId="8" fillId="0" fontId="1" numFmtId="164" xfId="0" applyBorder="1" applyFont="1" applyNumberFormat="1"/>
    <xf borderId="9" fillId="0" fontId="14" numFmtId="0" xfId="0" applyAlignment="1" applyBorder="1" applyFont="1">
      <alignment readingOrder="0"/>
    </xf>
    <xf borderId="3" fillId="0" fontId="1" numFmtId="0" xfId="0" applyBorder="1" applyFont="1"/>
    <xf borderId="3" fillId="0" fontId="1" numFmtId="164" xfId="0" applyBorder="1" applyFont="1" applyNumberFormat="1"/>
    <xf borderId="0" fillId="0" fontId="23" numFmtId="0" xfId="0" applyAlignment="1" applyFont="1">
      <alignment readingOrder="0"/>
    </xf>
    <xf borderId="0" fillId="4" fontId="18" numFmtId="164" xfId="0" applyAlignment="1" applyFont="1" applyNumberFormat="1">
      <alignment readingOrder="0"/>
    </xf>
    <xf borderId="0" fillId="4" fontId="18" numFmtId="164" xfId="0" applyAlignment="1" applyFont="1" applyNumberFormat="1">
      <alignment horizontal="right" readingOrder="0"/>
    </xf>
    <xf borderId="0" fillId="2" fontId="1" numFmtId="164" xfId="0" applyFont="1" applyNumberFormat="1"/>
    <xf borderId="0" fillId="4" fontId="1" numFmtId="164" xfId="0" applyFont="1" applyNumberFormat="1"/>
    <xf borderId="0" fillId="4" fontId="1" numFmtId="164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10" fillId="0" fontId="4" numFmtId="0" xfId="0" applyAlignment="1" applyBorder="1" applyFont="1">
      <alignment horizontal="center" readingOrder="0" shrinkToFit="0" vertical="top" wrapText="0"/>
    </xf>
    <xf borderId="0" fillId="0" fontId="26" numFmtId="0" xfId="0" applyAlignment="1" applyFont="1">
      <alignment readingOrder="0" shrinkToFit="0" vertical="bottom" wrapText="0"/>
    </xf>
    <xf borderId="0" fillId="0" fontId="26" numFmtId="164" xfId="0" applyAlignment="1" applyFont="1" applyNumberFormat="1">
      <alignment horizontal="right" readingOrder="0" shrinkToFit="0" vertical="bottom" wrapText="0"/>
    </xf>
    <xf borderId="0" fillId="0" fontId="26" numFmtId="10" xfId="0" applyAlignment="1" applyFont="1" applyNumberFormat="1">
      <alignment readingOrder="0" shrinkToFit="0" vertical="bottom" wrapText="0"/>
    </xf>
    <xf borderId="0" fillId="4" fontId="26" numFmtId="10" xfId="0" applyAlignment="1" applyFont="1" applyNumberFormat="1">
      <alignment readingOrder="0" shrinkToFit="0" vertical="bottom" wrapText="0"/>
    </xf>
    <xf borderId="0" fillId="4" fontId="26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4" fontId="26" numFmtId="166" xfId="0" applyAlignment="1" applyFont="1" applyNumberFormat="1">
      <alignment readingOrder="0" shrinkToFit="0" vertical="bottom" wrapText="0"/>
    </xf>
    <xf borderId="0" fillId="4" fontId="26" numFmtId="9" xfId="0" applyAlignment="1" applyFont="1" applyNumberFormat="1">
      <alignment readingOrder="0" shrinkToFit="0" vertical="bottom" wrapText="0"/>
    </xf>
    <xf borderId="0" fillId="0" fontId="2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13"/>
    <col customWidth="1" min="4" max="5" width="16.5"/>
    <col customWidth="1" min="6" max="6" width="15.75"/>
    <col customWidth="1" min="7" max="7" width="14.38"/>
    <col customWidth="1" min="8" max="8" width="18.25"/>
    <col customWidth="1" min="9" max="9" width="16.5"/>
    <col customWidth="1" min="11" max="11" width="15.75"/>
    <col customWidth="1" min="12" max="12" width="16.25"/>
    <col customWidth="1" min="13" max="13" width="22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"/>
      <c r="B3" s="2"/>
      <c r="C3" s="3" t="s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2"/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6"/>
      <c r="N4" s="6"/>
      <c r="O4" s="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2"/>
      <c r="C5" s="1" t="s">
        <v>12</v>
      </c>
      <c r="D5" s="7">
        <v>45784.39</v>
      </c>
      <c r="E5" s="7">
        <v>46807.34</v>
      </c>
      <c r="F5" s="7">
        <v>48524.56</v>
      </c>
      <c r="G5" s="7">
        <v>59745.56</v>
      </c>
      <c r="H5" s="7">
        <v>70251.28</v>
      </c>
      <c r="I5" s="7">
        <v>70105.29</v>
      </c>
      <c r="J5" s="8">
        <f t="shared" ref="J5:L5" si="1">I5*(1+5%)</f>
        <v>73610.5545</v>
      </c>
      <c r="K5" s="8">
        <f t="shared" si="1"/>
        <v>77291.08223</v>
      </c>
      <c r="L5" s="8">
        <f t="shared" si="1"/>
        <v>81155.63634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2"/>
      <c r="B6" s="2"/>
      <c r="C6" s="1" t="s">
        <v>13</v>
      </c>
      <c r="D6" s="7">
        <v>2484.54</v>
      </c>
      <c r="E6" s="7">
        <v>3013.66</v>
      </c>
      <c r="F6" s="7">
        <v>3250.99</v>
      </c>
      <c r="G6" s="7">
        <v>2589.97</v>
      </c>
      <c r="H6" s="7">
        <v>2437.61</v>
      </c>
      <c r="I6" s="7">
        <v>3538.28</v>
      </c>
      <c r="J6" s="8">
        <f t="shared" ref="J6:L6" si="2">AVERAGE(D6:I6)</f>
        <v>2885.841667</v>
      </c>
      <c r="K6" s="8">
        <f t="shared" si="2"/>
        <v>2952.725278</v>
      </c>
      <c r="L6" s="8">
        <f t="shared" si="2"/>
        <v>2942.569491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2"/>
      <c r="B7" s="2"/>
      <c r="C7" s="9" t="s">
        <v>14</v>
      </c>
      <c r="D7" s="10">
        <f t="shared" ref="D7:F7" si="3">SUM(D5:D6)</f>
        <v>48268.93</v>
      </c>
      <c r="E7" s="10">
        <f t="shared" si="3"/>
        <v>49821</v>
      </c>
      <c r="F7" s="10">
        <f t="shared" si="3"/>
        <v>51775.55</v>
      </c>
      <c r="G7" s="11">
        <f t="shared" ref="G7:L7" si="4">sum(G5:G6)</f>
        <v>62335.53</v>
      </c>
      <c r="H7" s="11">
        <f t="shared" si="4"/>
        <v>72688.89</v>
      </c>
      <c r="I7" s="11">
        <f t="shared" si="4"/>
        <v>73643.57</v>
      </c>
      <c r="J7" s="11">
        <f t="shared" si="4"/>
        <v>76496.39617</v>
      </c>
      <c r="K7" s="11">
        <f t="shared" si="4"/>
        <v>80243.8075</v>
      </c>
      <c r="L7" s="11">
        <f t="shared" si="4"/>
        <v>84098.20583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2"/>
      <c r="B8" s="2"/>
      <c r="C8" s="1" t="s">
        <v>15</v>
      </c>
      <c r="D8" s="7">
        <v>13184.97</v>
      </c>
      <c r="E8" s="7">
        <v>13121.76</v>
      </c>
      <c r="F8" s="7">
        <v>13605.07</v>
      </c>
      <c r="G8" s="7">
        <v>16064.5</v>
      </c>
      <c r="H8" s="7">
        <v>19809.89</v>
      </c>
      <c r="I8" s="7">
        <v>21309.84</v>
      </c>
      <c r="J8" s="8">
        <f t="shared" ref="J8:L8" si="5">I8*(1+6.5%)</f>
        <v>22694.9796</v>
      </c>
      <c r="K8" s="8">
        <f t="shared" si="5"/>
        <v>24170.15327</v>
      </c>
      <c r="L8" s="8">
        <f t="shared" si="5"/>
        <v>25741.21324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1" t="s">
        <v>16</v>
      </c>
      <c r="D9" s="7">
        <v>4300.32</v>
      </c>
      <c r="E9" s="7">
        <v>4289.71</v>
      </c>
      <c r="F9" s="7">
        <v>6896.41</v>
      </c>
      <c r="G9" s="7">
        <v>10734.48</v>
      </c>
      <c r="H9" s="7">
        <v>9109.85</v>
      </c>
      <c r="I9" s="7">
        <v>6042.97</v>
      </c>
      <c r="J9" s="8">
        <f t="shared" ref="J9:L9" si="6">AVERAGE(E9:I9)</f>
        <v>7414.684</v>
      </c>
      <c r="K9" s="8">
        <f t="shared" si="6"/>
        <v>8039.6788</v>
      </c>
      <c r="L9" s="8">
        <f t="shared" si="6"/>
        <v>8268.33256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1" t="s">
        <v>17</v>
      </c>
      <c r="D10" s="7">
        <v>-180.14</v>
      </c>
      <c r="E10" s="7">
        <v>-176.34</v>
      </c>
      <c r="F10" s="7">
        <v>-526.86</v>
      </c>
      <c r="G10" s="7">
        <v>-566.46</v>
      </c>
      <c r="H10" s="7">
        <v>-39.5</v>
      </c>
      <c r="I10" s="7">
        <v>-370.71</v>
      </c>
      <c r="J10" s="8">
        <f t="shared" ref="J10:L10" si="7">AVERAGE(E10:I10)</f>
        <v>-335.974</v>
      </c>
      <c r="K10" s="8">
        <f t="shared" si="7"/>
        <v>-367.9008</v>
      </c>
      <c r="L10" s="8">
        <f t="shared" si="7"/>
        <v>-336.10896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"/>
      <c r="B11" s="2"/>
      <c r="C11" s="1" t="s">
        <v>18</v>
      </c>
      <c r="D11" s="7">
        <v>788.74</v>
      </c>
      <c r="E11" s="7">
        <v>1187.64</v>
      </c>
      <c r="F11" s="7">
        <v>3039.43</v>
      </c>
      <c r="G11" s="7">
        <v>3404.29</v>
      </c>
      <c r="H11" s="7">
        <v>4208.01</v>
      </c>
      <c r="I11" s="7">
        <v>4664.48</v>
      </c>
      <c r="J11" s="8">
        <f t="shared" ref="J11:L11" si="8">I11*(1-10%)</f>
        <v>4198.032</v>
      </c>
      <c r="K11" s="8">
        <f t="shared" si="8"/>
        <v>3778.2288</v>
      </c>
      <c r="L11" s="8">
        <f t="shared" si="8"/>
        <v>3400.40592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2"/>
      <c r="B12" s="2"/>
      <c r="C12" s="1" t="s">
        <v>19</v>
      </c>
      <c r="D12" s="7">
        <v>2728.44</v>
      </c>
      <c r="E12" s="7">
        <v>2658.21</v>
      </c>
      <c r="F12" s="7">
        <v>2820.95</v>
      </c>
      <c r="G12" s="7">
        <v>3061.99</v>
      </c>
      <c r="H12" s="7">
        <v>3569.46</v>
      </c>
      <c r="I12" s="7">
        <v>3732.23</v>
      </c>
      <c r="J12" s="8">
        <f t="shared" ref="J12:L12" si="9">I12*(1-10%)</f>
        <v>3359.007</v>
      </c>
      <c r="K12" s="8">
        <f t="shared" si="9"/>
        <v>3023.1063</v>
      </c>
      <c r="L12" s="8">
        <f t="shared" si="9"/>
        <v>2720.79567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2"/>
      <c r="B13" s="2"/>
      <c r="C13" s="1" t="s">
        <v>20</v>
      </c>
      <c r="D13" s="7">
        <v>34.19</v>
      </c>
      <c r="E13" s="7">
        <v>55.72</v>
      </c>
      <c r="F13" s="7">
        <v>47.47</v>
      </c>
      <c r="G13" s="7">
        <v>41.95</v>
      </c>
      <c r="H13" s="7">
        <v>41.81</v>
      </c>
      <c r="I13" s="7">
        <v>45.73</v>
      </c>
      <c r="J13" s="8">
        <f t="shared" ref="J13:L13" si="10">I13*(1-10%)</f>
        <v>41.157</v>
      </c>
      <c r="K13" s="8">
        <f t="shared" si="10"/>
        <v>37.0413</v>
      </c>
      <c r="L13" s="8">
        <f t="shared" si="10"/>
        <v>33.33717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2"/>
      <c r="B14" s="2"/>
      <c r="C14" s="1" t="s">
        <v>21</v>
      </c>
      <c r="D14" s="7">
        <v>1311.7</v>
      </c>
      <c r="E14" s="7">
        <v>1563.27</v>
      </c>
      <c r="F14" s="7">
        <v>1561.83</v>
      </c>
      <c r="G14" s="7">
        <v>1652.15</v>
      </c>
      <c r="H14" s="7">
        <v>1662.72</v>
      </c>
      <c r="I14" s="7">
        <v>1647.87</v>
      </c>
      <c r="J14" s="8">
        <f t="shared" ref="J14:L14" si="11">AVERAGE(D14:I14)</f>
        <v>1566.59</v>
      </c>
      <c r="K14" s="8">
        <f t="shared" si="11"/>
        <v>1609.071667</v>
      </c>
      <c r="L14" s="8">
        <f t="shared" si="11"/>
        <v>1616.705278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2"/>
      <c r="B15" s="2"/>
      <c r="C15" s="1" t="s">
        <v>22</v>
      </c>
      <c r="D15" s="7">
        <v>7656.55</v>
      </c>
      <c r="E15" s="7">
        <v>7822.11</v>
      </c>
      <c r="F15" s="7">
        <v>7167.06</v>
      </c>
      <c r="G15" s="7">
        <v>8113.1</v>
      </c>
      <c r="H15" s="7">
        <v>9649.16</v>
      </c>
      <c r="I15" s="7">
        <v>10247.87</v>
      </c>
      <c r="J15" s="8">
        <f t="shared" ref="J15:L15" si="12">I15*(1+10%)</f>
        <v>11272.657</v>
      </c>
      <c r="K15" s="8">
        <f t="shared" si="12"/>
        <v>12399.9227</v>
      </c>
      <c r="L15" s="8">
        <f t="shared" si="12"/>
        <v>13639.91497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9" t="s">
        <v>23</v>
      </c>
      <c r="D16" s="10">
        <f t="shared" ref="D16:L16" si="13">sum(D8:D15)</f>
        <v>29824.77</v>
      </c>
      <c r="E16" s="10">
        <f t="shared" si="13"/>
        <v>30522.08</v>
      </c>
      <c r="F16" s="10">
        <f t="shared" si="13"/>
        <v>34611.36</v>
      </c>
      <c r="G16" s="10">
        <f t="shared" si="13"/>
        <v>42506</v>
      </c>
      <c r="H16" s="11">
        <f t="shared" si="13"/>
        <v>48011.4</v>
      </c>
      <c r="I16" s="11">
        <f t="shared" si="13"/>
        <v>47320.28</v>
      </c>
      <c r="J16" s="11">
        <f t="shared" si="13"/>
        <v>50211.1326</v>
      </c>
      <c r="K16" s="11">
        <f t="shared" si="13"/>
        <v>52689.30204</v>
      </c>
      <c r="L16" s="11">
        <f t="shared" si="13"/>
        <v>55084.59584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9" t="s">
        <v>24</v>
      </c>
      <c r="D17" s="11">
        <f t="shared" ref="D17:L17" si="14">D7-D16</f>
        <v>18444.16</v>
      </c>
      <c r="E17" s="11">
        <f t="shared" si="14"/>
        <v>19298.92</v>
      </c>
      <c r="F17" s="11">
        <f t="shared" si="14"/>
        <v>17164.19</v>
      </c>
      <c r="G17" s="11">
        <f t="shared" si="14"/>
        <v>19829.53</v>
      </c>
      <c r="H17" s="11">
        <f t="shared" si="14"/>
        <v>24677.49</v>
      </c>
      <c r="I17" s="11">
        <f t="shared" si="14"/>
        <v>26323.29</v>
      </c>
      <c r="J17" s="11">
        <f t="shared" si="14"/>
        <v>26285.26357</v>
      </c>
      <c r="K17" s="11">
        <f t="shared" si="14"/>
        <v>27554.50546</v>
      </c>
      <c r="L17" s="11">
        <f t="shared" si="14"/>
        <v>29013.60998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1" t="s">
        <v>25</v>
      </c>
      <c r="D18" s="8"/>
      <c r="E18" s="7">
        <v>-132.11</v>
      </c>
      <c r="F18" s="10"/>
      <c r="G18" s="8"/>
      <c r="H18" s="7">
        <v>72.87</v>
      </c>
      <c r="I18" s="7">
        <v>-7.57</v>
      </c>
      <c r="J18" s="8"/>
      <c r="K18" s="7">
        <v>4.0</v>
      </c>
      <c r="L18" s="7">
        <v>-30.0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9" t="s">
        <v>26</v>
      </c>
      <c r="D19" s="10">
        <f t="shared" ref="D19:L19" si="15">D17-D18</f>
        <v>18444.16</v>
      </c>
      <c r="E19" s="10">
        <f t="shared" si="15"/>
        <v>19431.03</v>
      </c>
      <c r="F19" s="10">
        <f t="shared" si="15"/>
        <v>17164.19</v>
      </c>
      <c r="G19" s="10">
        <f t="shared" si="15"/>
        <v>19829.53</v>
      </c>
      <c r="H19" s="10">
        <f t="shared" si="15"/>
        <v>24604.62</v>
      </c>
      <c r="I19" s="10">
        <f t="shared" si="15"/>
        <v>26330.86</v>
      </c>
      <c r="J19" s="10">
        <f t="shared" si="15"/>
        <v>26285.26357</v>
      </c>
      <c r="K19" s="10">
        <f t="shared" si="15"/>
        <v>27550.50546</v>
      </c>
      <c r="L19" s="10">
        <f t="shared" si="15"/>
        <v>29043.60998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1" t="s">
        <v>27</v>
      </c>
      <c r="D20" s="7">
        <v>5849.24</v>
      </c>
      <c r="E20" s="7">
        <v>4441.97</v>
      </c>
      <c r="F20" s="7">
        <v>4035.36</v>
      </c>
      <c r="G20" s="7">
        <v>4833.88</v>
      </c>
      <c r="H20" s="7">
        <v>6025.32</v>
      </c>
      <c r="I20" s="7">
        <v>5661.21</v>
      </c>
      <c r="J20" s="8">
        <f t="shared" ref="J20:L20" si="16">AVERAGE(D20:I20)</f>
        <v>5141.163333</v>
      </c>
      <c r="K20" s="8">
        <f t="shared" si="16"/>
        <v>5023.150556</v>
      </c>
      <c r="L20" s="8">
        <f t="shared" si="16"/>
        <v>5120.013981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1" t="s">
        <v>28</v>
      </c>
      <c r="D21" s="7">
        <v>130.6</v>
      </c>
      <c r="E21" s="7">
        <v>-411.21</v>
      </c>
      <c r="F21" s="7">
        <v>97.15</v>
      </c>
      <c r="G21" s="7">
        <v>-62.18</v>
      </c>
      <c r="H21" s="7">
        <v>292.22</v>
      </c>
      <c r="I21" s="7">
        <v>232.59</v>
      </c>
      <c r="J21" s="8">
        <f t="shared" ref="J21:L21" si="17">I21</f>
        <v>232.59</v>
      </c>
      <c r="K21" s="8">
        <f t="shared" si="17"/>
        <v>232.59</v>
      </c>
      <c r="L21" s="8">
        <f t="shared" si="17"/>
        <v>232.59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9" t="s">
        <v>29</v>
      </c>
      <c r="D22" s="10">
        <f t="shared" ref="D22:L22" si="18">D19-D20-D21</f>
        <v>12464.32</v>
      </c>
      <c r="E22" s="10">
        <f t="shared" si="18"/>
        <v>15400.27</v>
      </c>
      <c r="F22" s="10">
        <f t="shared" si="18"/>
        <v>13031.68</v>
      </c>
      <c r="G22" s="10">
        <f t="shared" si="18"/>
        <v>15057.83</v>
      </c>
      <c r="H22" s="10">
        <f t="shared" si="18"/>
        <v>18287.08</v>
      </c>
      <c r="I22" s="10">
        <f t="shared" si="18"/>
        <v>20437.06</v>
      </c>
      <c r="J22" s="10">
        <f t="shared" si="18"/>
        <v>20911.51023</v>
      </c>
      <c r="K22" s="10">
        <f t="shared" si="18"/>
        <v>22294.76491</v>
      </c>
      <c r="L22" s="10">
        <f t="shared" si="18"/>
        <v>23691.006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8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8"/>
      <c r="H24" s="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7"/>
      <c r="H25" s="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7"/>
      <c r="H26" s="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7"/>
      <c r="H27" s="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7"/>
      <c r="H28" s="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8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8"/>
      <c r="H37" s="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</sheetData>
  <mergeCells count="1">
    <mergeCell ref="C3:I3"/>
  </mergeCells>
  <conditionalFormatting sqref="F4:I22 D7:E7 J7:L7 D16:E17 J16:L17 D19:E19 J19:L19 D22:E22 J22:L22">
    <cfRule type="cellIs" dxfId="0" priority="1" operator="lessThan">
      <formula>0</formula>
    </cfRule>
  </conditionalFormatting>
  <conditionalFormatting sqref="D5:E22">
    <cfRule type="cellIs" dxfId="0" priority="2" operator="lessThan">
      <formula>0</formula>
    </cfRule>
  </conditionalFormatting>
  <conditionalFormatting sqref="J5:L22">
    <cfRule type="cellIs" dxfId="1" priority="3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2"/>
      <c r="B3" s="12" t="s">
        <v>30</v>
      </c>
      <c r="C3" s="13">
        <v>2019.0</v>
      </c>
      <c r="D3" s="13">
        <v>2020.0</v>
      </c>
      <c r="E3" s="13">
        <v>2021.0</v>
      </c>
      <c r="F3" s="13">
        <v>2022.0</v>
      </c>
      <c r="G3" s="13">
        <v>2023.0</v>
      </c>
      <c r="H3" s="13">
        <v>2024.0</v>
      </c>
      <c r="I3" s="13">
        <v>2025.0</v>
      </c>
      <c r="J3" s="13">
        <v>2026.0</v>
      </c>
      <c r="K3" s="13">
        <v>2027.0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2"/>
      <c r="B4" s="14" t="s">
        <v>31</v>
      </c>
      <c r="C4" s="15">
        <v>1478.0</v>
      </c>
      <c r="D4" s="15">
        <v>1459.0</v>
      </c>
      <c r="E4" s="15">
        <v>2340.0</v>
      </c>
      <c r="F4" s="1">
        <v>149.0</v>
      </c>
      <c r="G4" s="15">
        <v>1396.0</v>
      </c>
      <c r="H4" s="15">
        <v>1827.0</v>
      </c>
      <c r="I4" s="1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2"/>
      <c r="B5" s="14" t="s">
        <v>32</v>
      </c>
      <c r="C5" s="16">
        <v>12583.0</v>
      </c>
      <c r="D5" s="16">
        <v>14690.0</v>
      </c>
      <c r="E5" s="16">
        <v>12527.0</v>
      </c>
      <c r="F5" s="16">
        <v>15776.0</v>
      </c>
      <c r="G5" s="16">
        <v>18878.0</v>
      </c>
      <c r="H5" s="16">
        <v>17179.0</v>
      </c>
      <c r="I5" s="1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2"/>
      <c r="B6" s="14" t="s">
        <v>33</v>
      </c>
      <c r="C6" s="17">
        <v>-5546.0</v>
      </c>
      <c r="D6" s="17">
        <v>-6174.0</v>
      </c>
      <c r="E6" s="17">
        <v>5740.0</v>
      </c>
      <c r="F6" s="17">
        <v>-2238.0</v>
      </c>
      <c r="G6" s="17">
        <v>-5732.0</v>
      </c>
      <c r="H6" s="17">
        <v>1563.0</v>
      </c>
      <c r="I6" s="1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14" t="s">
        <v>34</v>
      </c>
      <c r="C7" s="16">
        <v>-6869.0</v>
      </c>
      <c r="D7" s="16">
        <v>-8181.0</v>
      </c>
      <c r="E7" s="16">
        <v>-18634.0</v>
      </c>
      <c r="F7" s="16">
        <v>-13580.0</v>
      </c>
      <c r="G7" s="16">
        <v>-13006.0</v>
      </c>
      <c r="H7" s="16">
        <v>-18551.0</v>
      </c>
      <c r="I7" s="1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18" t="s">
        <v>35</v>
      </c>
      <c r="C8" s="19">
        <f t="shared" ref="C8:H8" si="1">SUM(C5:C7)</f>
        <v>168</v>
      </c>
      <c r="D8" s="19">
        <f t="shared" si="1"/>
        <v>335</v>
      </c>
      <c r="E8" s="19">
        <f t="shared" si="1"/>
        <v>-367</v>
      </c>
      <c r="F8" s="19">
        <f t="shared" si="1"/>
        <v>-42</v>
      </c>
      <c r="G8" s="19">
        <f t="shared" si="1"/>
        <v>140</v>
      </c>
      <c r="H8" s="19">
        <f t="shared" si="1"/>
        <v>191</v>
      </c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2"/>
      <c r="B17" s="2"/>
      <c r="C17" s="2"/>
      <c r="D17" s="2"/>
      <c r="E17" s="2"/>
      <c r="F17" s="2"/>
      <c r="G17" s="2"/>
      <c r="H17" s="2"/>
      <c r="I17" s="1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conditionalFormatting sqref="I4:I8 C5:H8">
    <cfRule type="cellIs" dxfId="0" priority="1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5" max="5" width="15.38"/>
    <col customWidth="1" min="9" max="9" width="15.63"/>
    <col customWidth="1" min="13" max="13" width="21.13"/>
  </cols>
  <sheetData>
    <row r="1">
      <c r="A1" s="20" t="s">
        <v>36</v>
      </c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 t="s">
        <v>37</v>
      </c>
      <c r="C7" s="22"/>
      <c r="D7" s="2"/>
      <c r="E7" s="1" t="s">
        <v>38</v>
      </c>
      <c r="H7" s="8">
        <f>K90</f>
        <v>269.5877927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 t="s">
        <v>39</v>
      </c>
      <c r="C8" s="23">
        <v>45500.0</v>
      </c>
      <c r="D8" s="2"/>
      <c r="E8" s="1" t="s">
        <v>40</v>
      </c>
      <c r="H8" s="1">
        <v>460.0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" t="s">
        <v>41</v>
      </c>
      <c r="C9" s="23">
        <v>45657.0</v>
      </c>
      <c r="D9" s="2"/>
      <c r="E9" s="1" t="s">
        <v>42</v>
      </c>
      <c r="H9" s="24">
        <f>H7/H8-1</f>
        <v>-0.4139395811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5" t="s">
        <v>43</v>
      </c>
      <c r="C14" s="26"/>
      <c r="D14" s="26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7" t="s">
        <v>44</v>
      </c>
      <c r="D15" s="2"/>
      <c r="E15" s="27" t="s">
        <v>45</v>
      </c>
      <c r="H15" s="2"/>
      <c r="I15" s="28" t="s">
        <v>46</v>
      </c>
      <c r="L15" s="2"/>
      <c r="M15" s="28" t="s">
        <v>47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9" t="s">
        <v>43</v>
      </c>
      <c r="C16" s="2"/>
      <c r="D16" s="2"/>
      <c r="E16" s="9" t="s">
        <v>43</v>
      </c>
      <c r="F16" s="29" t="s">
        <v>48</v>
      </c>
      <c r="G16" s="9" t="s">
        <v>49</v>
      </c>
      <c r="H16" s="2"/>
      <c r="I16" s="9" t="s">
        <v>43</v>
      </c>
      <c r="J16" s="29" t="s">
        <v>48</v>
      </c>
      <c r="K16" s="9" t="s">
        <v>49</v>
      </c>
      <c r="L16" s="2"/>
      <c r="M16" s="9" t="s">
        <v>43</v>
      </c>
      <c r="N16" s="29" t="s">
        <v>48</v>
      </c>
      <c r="O16" s="9" t="s">
        <v>49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 t="s">
        <v>50</v>
      </c>
      <c r="C17" s="30">
        <v>2.0</v>
      </c>
      <c r="D17" s="2"/>
      <c r="E17" s="1" t="s">
        <v>50</v>
      </c>
      <c r="F17" s="1" t="s">
        <v>51</v>
      </c>
      <c r="G17" s="31">
        <v>-0.05</v>
      </c>
      <c r="H17" s="2"/>
      <c r="I17" s="1" t="s">
        <v>50</v>
      </c>
      <c r="J17" s="32" t="s">
        <v>52</v>
      </c>
      <c r="K17" s="31">
        <v>-0.15</v>
      </c>
      <c r="L17" s="2"/>
      <c r="M17" s="1" t="s">
        <v>50</v>
      </c>
      <c r="N17" s="1" t="s">
        <v>51</v>
      </c>
      <c r="O17" s="31">
        <v>-0.1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" t="s">
        <v>24</v>
      </c>
      <c r="C18" s="30">
        <v>2.0</v>
      </c>
      <c r="D18" s="2"/>
      <c r="E18" s="2"/>
      <c r="F18" s="2"/>
      <c r="G18" s="31"/>
      <c r="H18" s="2"/>
      <c r="I18" s="2"/>
      <c r="J18" s="2"/>
      <c r="K18" s="31"/>
      <c r="L18" s="2"/>
      <c r="M18" s="2"/>
      <c r="N18" s="2"/>
      <c r="O18" s="3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 t="s">
        <v>53</v>
      </c>
      <c r="C19" s="30">
        <v>2.0</v>
      </c>
      <c r="D19" s="2"/>
      <c r="E19" s="1" t="s">
        <v>24</v>
      </c>
      <c r="F19" s="2"/>
      <c r="G19" s="31">
        <v>-0.02</v>
      </c>
      <c r="H19" s="2"/>
      <c r="I19" s="1" t="s">
        <v>24</v>
      </c>
      <c r="J19" s="2"/>
      <c r="K19" s="31">
        <v>0.05</v>
      </c>
      <c r="L19" s="2"/>
      <c r="M19" s="1" t="s">
        <v>24</v>
      </c>
      <c r="N19" s="2"/>
      <c r="O19" s="31">
        <v>0.05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 t="s">
        <v>54</v>
      </c>
      <c r="C20" s="30">
        <v>2.0</v>
      </c>
      <c r="D20" s="2"/>
      <c r="E20" s="2"/>
      <c r="F20" s="2"/>
      <c r="G20" s="22"/>
      <c r="H20" s="2"/>
      <c r="I20" s="2"/>
      <c r="J20" s="2"/>
      <c r="K20" s="22"/>
      <c r="L20" s="2"/>
      <c r="M20" s="2"/>
      <c r="N20" s="2"/>
      <c r="O20" s="2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9" t="s">
        <v>55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 t="s">
        <v>53</v>
      </c>
      <c r="C23" s="33">
        <f t="shared" ref="C23:C24" si="1">choose(C19,G23,K23,O23)</f>
        <v>0.1064</v>
      </c>
      <c r="D23" s="2"/>
      <c r="E23" s="1" t="s">
        <v>53</v>
      </c>
      <c r="F23" s="2"/>
      <c r="G23" s="33">
        <f>K23+0.5%</f>
        <v>0.1114</v>
      </c>
      <c r="H23" s="2"/>
      <c r="I23" s="1" t="s">
        <v>53</v>
      </c>
      <c r="J23" s="2"/>
      <c r="K23" s="34">
        <v>0.1064</v>
      </c>
      <c r="L23" s="2"/>
      <c r="M23" s="1" t="s">
        <v>53</v>
      </c>
      <c r="N23" s="2"/>
      <c r="O23" s="33">
        <f>K23-0.5%</f>
        <v>0.1014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 t="s">
        <v>56</v>
      </c>
      <c r="C24" s="33">
        <f t="shared" si="1"/>
        <v>0.05</v>
      </c>
      <c r="D24" s="2"/>
      <c r="E24" s="1" t="s">
        <v>56</v>
      </c>
      <c r="F24" s="2"/>
      <c r="G24" s="34">
        <v>0.045</v>
      </c>
      <c r="H24" s="2"/>
      <c r="I24" s="1" t="s">
        <v>56</v>
      </c>
      <c r="J24" s="2"/>
      <c r="K24" s="34">
        <v>0.05</v>
      </c>
      <c r="L24" s="2"/>
      <c r="M24" s="1" t="s">
        <v>56</v>
      </c>
      <c r="N24" s="2"/>
      <c r="O24" s="34">
        <v>0.055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35" t="s">
        <v>1</v>
      </c>
      <c r="C26" s="36" t="s">
        <v>3</v>
      </c>
      <c r="D26" s="36" t="s">
        <v>4</v>
      </c>
      <c r="E26" s="36" t="s">
        <v>5</v>
      </c>
      <c r="F26" s="36" t="s">
        <v>6</v>
      </c>
      <c r="G26" s="36" t="s">
        <v>7</v>
      </c>
      <c r="H26" s="36" t="s">
        <v>8</v>
      </c>
      <c r="I26" s="36" t="s">
        <v>9</v>
      </c>
      <c r="J26" s="36" t="s">
        <v>10</v>
      </c>
      <c r="K26" s="36" t="s">
        <v>11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 t="s">
        <v>57</v>
      </c>
      <c r="C27" s="37">
        <v>45784.39</v>
      </c>
      <c r="D27" s="37">
        <v>46807.34</v>
      </c>
      <c r="E27" s="37">
        <v>48524.56</v>
      </c>
      <c r="F27" s="37">
        <v>59745.56</v>
      </c>
      <c r="G27" s="37">
        <v>70251.28</v>
      </c>
      <c r="H27" s="37">
        <v>70105.29</v>
      </c>
      <c r="I27" s="38">
        <f t="shared" ref="I27:K27" si="2">H27*(1+5%)</f>
        <v>73610.5545</v>
      </c>
      <c r="J27" s="38">
        <f t="shared" si="2"/>
        <v>77291.08223</v>
      </c>
      <c r="K27" s="38">
        <f t="shared" si="2"/>
        <v>81155.63634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39" t="s">
        <v>58</v>
      </c>
      <c r="C28" s="40"/>
      <c r="D28" s="41">
        <f t="shared" ref="D28:K28" si="3">1-(C27/D27)</f>
        <v>0.02185447838</v>
      </c>
      <c r="E28" s="41">
        <f t="shared" si="3"/>
        <v>0.0353886774</v>
      </c>
      <c r="F28" s="41">
        <f t="shared" si="3"/>
        <v>0.1878131195</v>
      </c>
      <c r="G28" s="41">
        <f t="shared" si="3"/>
        <v>0.1495448909</v>
      </c>
      <c r="H28" s="41">
        <f t="shared" si="3"/>
        <v>-0.002082439143</v>
      </c>
      <c r="I28" s="41">
        <f t="shared" si="3"/>
        <v>0.04761904762</v>
      </c>
      <c r="J28" s="41">
        <f t="shared" si="3"/>
        <v>0.04761904762</v>
      </c>
      <c r="K28" s="41">
        <f t="shared" si="3"/>
        <v>0.04761904762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" t="s">
        <v>24</v>
      </c>
      <c r="C30" s="42">
        <v>18444.16</v>
      </c>
      <c r="D30" s="42">
        <v>19298.92</v>
      </c>
      <c r="E30" s="42">
        <v>17164.189999999995</v>
      </c>
      <c r="F30" s="42">
        <v>19829.53</v>
      </c>
      <c r="G30" s="42">
        <v>24677.490000000005</v>
      </c>
      <c r="H30" s="42">
        <v>26323.28999999998</v>
      </c>
      <c r="I30" s="42">
        <v>26285.263566666654</v>
      </c>
      <c r="J30" s="42">
        <v>27554.505462111112</v>
      </c>
      <c r="K30" s="42">
        <v>29013.60998240298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39" t="s">
        <v>59</v>
      </c>
      <c r="C31" s="41">
        <f t="shared" ref="C31:K31" si="4">C30/C27</f>
        <v>0.4028482197</v>
      </c>
      <c r="D31" s="41">
        <f t="shared" si="4"/>
        <v>0.4123054205</v>
      </c>
      <c r="E31" s="41">
        <f t="shared" si="4"/>
        <v>0.353721703</v>
      </c>
      <c r="F31" s="41">
        <f t="shared" si="4"/>
        <v>0.3318996424</v>
      </c>
      <c r="G31" s="41">
        <f t="shared" si="4"/>
        <v>0.351274596</v>
      </c>
      <c r="H31" s="41">
        <f t="shared" si="4"/>
        <v>0.3754822211</v>
      </c>
      <c r="I31" s="41">
        <f t="shared" si="4"/>
        <v>0.3570855259</v>
      </c>
      <c r="J31" s="41">
        <f t="shared" si="4"/>
        <v>0.3565030359</v>
      </c>
      <c r="K31" s="41">
        <f t="shared" si="4"/>
        <v>0.3575057912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" t="s">
        <v>60</v>
      </c>
      <c r="C33" s="43">
        <v>5849.24</v>
      </c>
      <c r="D33" s="43">
        <v>4441.97</v>
      </c>
      <c r="E33" s="43">
        <v>4035.36</v>
      </c>
      <c r="F33" s="43">
        <v>4833.88</v>
      </c>
      <c r="G33" s="43">
        <v>6025.32</v>
      </c>
      <c r="H33" s="43">
        <v>5661.21</v>
      </c>
      <c r="I33" s="44"/>
      <c r="J33" s="44"/>
      <c r="K33" s="4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39" t="s">
        <v>61</v>
      </c>
      <c r="C34" s="41">
        <f>C33/'Income Statement'!D19</f>
        <v>0.3171323606</v>
      </c>
      <c r="D34" s="41">
        <f>D33/'Income Statement'!E19</f>
        <v>0.2286018806</v>
      </c>
      <c r="E34" s="41">
        <f>E33/'Income Statement'!F19</f>
        <v>0.2351034334</v>
      </c>
      <c r="F34" s="41">
        <f>F33/'Income Statement'!G19</f>
        <v>0.2437717888</v>
      </c>
      <c r="G34" s="41">
        <f>G33/'Income Statement'!H19</f>
        <v>0.2448857166</v>
      </c>
      <c r="H34" s="41">
        <f>H33/'Income Statement'!I19</f>
        <v>0.2150028522</v>
      </c>
      <c r="I34" s="41"/>
      <c r="J34" s="41"/>
      <c r="K34" s="4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35" t="s">
        <v>30</v>
      </c>
      <c r="C37" s="36" t="s">
        <v>3</v>
      </c>
      <c r="D37" s="36" t="s">
        <v>4</v>
      </c>
      <c r="E37" s="36" t="s">
        <v>5</v>
      </c>
      <c r="F37" s="36" t="s">
        <v>6</v>
      </c>
      <c r="G37" s="36" t="s">
        <v>7</v>
      </c>
      <c r="H37" s="36" t="s">
        <v>8</v>
      </c>
      <c r="I37" s="36" t="s">
        <v>9</v>
      </c>
      <c r="J37" s="36" t="s">
        <v>10</v>
      </c>
      <c r="K37" s="36" t="s">
        <v>11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" t="s">
        <v>62</v>
      </c>
      <c r="C38" s="43">
        <v>1311.7</v>
      </c>
      <c r="D38" s="43">
        <v>1563.27</v>
      </c>
      <c r="E38" s="43">
        <v>1561.83</v>
      </c>
      <c r="F38" s="43">
        <v>1652.15</v>
      </c>
      <c r="G38" s="43">
        <v>1662.72</v>
      </c>
      <c r="H38" s="43">
        <v>1647.87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39" t="s">
        <v>59</v>
      </c>
      <c r="C39" s="41">
        <f t="shared" ref="C39:H39" si="5">C38/C27</f>
        <v>0.02864950259</v>
      </c>
      <c r="D39" s="41">
        <f t="shared" si="5"/>
        <v>0.03339796707</v>
      </c>
      <c r="E39" s="41">
        <f t="shared" si="5"/>
        <v>0.03218638149</v>
      </c>
      <c r="F39" s="41">
        <f t="shared" si="5"/>
        <v>0.02765310092</v>
      </c>
      <c r="G39" s="41">
        <f t="shared" si="5"/>
        <v>0.02366818085</v>
      </c>
      <c r="H39" s="41">
        <f t="shared" si="5"/>
        <v>0.02350564415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" t="s">
        <v>31</v>
      </c>
      <c r="C41" s="45">
        <v>1478.0</v>
      </c>
      <c r="D41" s="45">
        <v>1459.0</v>
      </c>
      <c r="E41" s="45">
        <v>2340.0</v>
      </c>
      <c r="F41" s="46">
        <v>149.0</v>
      </c>
      <c r="G41" s="45">
        <v>1396.0</v>
      </c>
      <c r="H41" s="45">
        <v>1827.0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39" t="s">
        <v>59</v>
      </c>
      <c r="C42" s="41">
        <f t="shared" ref="C42:H42" si="6">C41/C27</f>
        <v>0.03228174494</v>
      </c>
      <c r="D42" s="41">
        <f t="shared" si="6"/>
        <v>0.031170325</v>
      </c>
      <c r="E42" s="41">
        <f t="shared" si="6"/>
        <v>0.04822300295</v>
      </c>
      <c r="F42" s="41">
        <f t="shared" si="6"/>
        <v>0.002493909171</v>
      </c>
      <c r="G42" s="41">
        <f t="shared" si="6"/>
        <v>0.01987152405</v>
      </c>
      <c r="H42" s="41">
        <f t="shared" si="6"/>
        <v>0.02606080083</v>
      </c>
      <c r="I42" s="41"/>
      <c r="J42" s="41"/>
      <c r="K42" s="4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" t="s">
        <v>63</v>
      </c>
      <c r="C44" s="47">
        <v>-476.0</v>
      </c>
      <c r="D44" s="48">
        <v>296.0</v>
      </c>
      <c r="E44" s="48">
        <v>-413.0</v>
      </c>
      <c r="F44" s="48">
        <v>-100.0</v>
      </c>
      <c r="G44" s="48">
        <v>-924.0</v>
      </c>
      <c r="H44" s="48">
        <v>-3337.0</v>
      </c>
      <c r="I44" s="49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39" t="s">
        <v>59</v>
      </c>
      <c r="C45" s="41">
        <f t="shared" ref="C45:H45" si="7">C44/C27</f>
        <v>-0.01039655656</v>
      </c>
      <c r="D45" s="41">
        <f t="shared" si="7"/>
        <v>0.006323794516</v>
      </c>
      <c r="E45" s="41">
        <f t="shared" si="7"/>
        <v>-0.008511153939</v>
      </c>
      <c r="F45" s="41">
        <f t="shared" si="7"/>
        <v>-0.001673764544</v>
      </c>
      <c r="G45" s="41">
        <f t="shared" si="7"/>
        <v>-0.01315278526</v>
      </c>
      <c r="H45" s="41">
        <f t="shared" si="7"/>
        <v>-0.04759983162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39" t="s">
        <v>64</v>
      </c>
      <c r="C46" s="41"/>
      <c r="D46" s="41">
        <f t="shared" ref="D46:H46" si="8">D44/(D27-C27)</f>
        <v>0.2893592062</v>
      </c>
      <c r="E46" s="41">
        <f t="shared" si="8"/>
        <v>-0.2405050023</v>
      </c>
      <c r="F46" s="41">
        <f t="shared" si="8"/>
        <v>-0.008911861688</v>
      </c>
      <c r="G46" s="41">
        <f t="shared" si="8"/>
        <v>-0.08795208705</v>
      </c>
      <c r="H46" s="41">
        <f t="shared" si="8"/>
        <v>22.85772998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35" t="s">
        <v>65</v>
      </c>
      <c r="C49" s="36" t="s">
        <v>3</v>
      </c>
      <c r="D49" s="36" t="s">
        <v>4</v>
      </c>
      <c r="E49" s="36" t="s">
        <v>5</v>
      </c>
      <c r="F49" s="36" t="s">
        <v>6</v>
      </c>
      <c r="G49" s="36" t="s">
        <v>7</v>
      </c>
      <c r="H49" s="36" t="s">
        <v>8</v>
      </c>
      <c r="I49" s="36" t="s">
        <v>9</v>
      </c>
      <c r="J49" s="36" t="s">
        <v>10</v>
      </c>
      <c r="K49" s="36" t="s">
        <v>11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" t="s">
        <v>50</v>
      </c>
      <c r="C50" s="50">
        <f t="shared" ref="C50:H50" si="9">C27</f>
        <v>45784.39</v>
      </c>
      <c r="D50" s="50">
        <f t="shared" si="9"/>
        <v>46807.34</v>
      </c>
      <c r="E50" s="50">
        <f t="shared" si="9"/>
        <v>48524.56</v>
      </c>
      <c r="F50" s="50">
        <f t="shared" si="9"/>
        <v>59745.56</v>
      </c>
      <c r="G50" s="50">
        <f t="shared" si="9"/>
        <v>70251.28</v>
      </c>
      <c r="H50" s="50">
        <f t="shared" si="9"/>
        <v>70105.29</v>
      </c>
      <c r="I50" s="51">
        <f t="shared" ref="I50:K50" si="10">H50*(1+I51)</f>
        <v>73443.63714</v>
      </c>
      <c r="J50" s="51">
        <f t="shared" si="10"/>
        <v>76591.22159</v>
      </c>
      <c r="K50" s="51">
        <f t="shared" si="10"/>
        <v>79545.45442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52" t="s">
        <v>66</v>
      </c>
      <c r="C51" s="2" t="str">
        <f t="shared" ref="C51:H51" si="11">C28</f>
        <v/>
      </c>
      <c r="D51" s="41">
        <f t="shared" si="11"/>
        <v>0.02185447838</v>
      </c>
      <c r="E51" s="41">
        <f t="shared" si="11"/>
        <v>0.0353886774</v>
      </c>
      <c r="F51" s="41">
        <f t="shared" si="11"/>
        <v>0.1878131195</v>
      </c>
      <c r="G51" s="41">
        <f t="shared" si="11"/>
        <v>0.1495448909</v>
      </c>
      <c r="H51" s="41">
        <f t="shared" si="11"/>
        <v>-0.002082439143</v>
      </c>
      <c r="I51" s="53">
        <f t="shared" ref="I51:K51" si="12">OFFSET(I52,$C$17,0)</f>
        <v>0.04761904762</v>
      </c>
      <c r="J51" s="54">
        <f t="shared" si="12"/>
        <v>0.04285714286</v>
      </c>
      <c r="K51" s="54">
        <f t="shared" si="12"/>
        <v>0.03857142857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52" t="s">
        <v>45</v>
      </c>
      <c r="C52" s="2"/>
      <c r="D52" s="2"/>
      <c r="E52" s="2"/>
      <c r="F52" s="2"/>
      <c r="G52" s="2"/>
      <c r="H52" s="2"/>
      <c r="I52" s="55">
        <f>I53</f>
        <v>0.04761904762</v>
      </c>
      <c r="J52" s="56">
        <f t="shared" ref="J52:K52" si="13">I52*(1+$G$17)</f>
        <v>0.04523809524</v>
      </c>
      <c r="K52" s="56">
        <f t="shared" si="13"/>
        <v>0.04297619048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52" t="s">
        <v>67</v>
      </c>
      <c r="C53" s="2"/>
      <c r="D53" s="2"/>
      <c r="E53" s="2"/>
      <c r="F53" s="2"/>
      <c r="G53" s="2"/>
      <c r="H53" s="2"/>
      <c r="I53" s="57">
        <f>I28</f>
        <v>0.04761904762</v>
      </c>
      <c r="J53" s="58">
        <f t="shared" ref="J53:K53" si="14">I53*(1+$K$17)</f>
        <v>0.04047619048</v>
      </c>
      <c r="K53" s="58">
        <f t="shared" si="14"/>
        <v>0.0344047619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52" t="s">
        <v>47</v>
      </c>
      <c r="C54" s="2"/>
      <c r="D54" s="2"/>
      <c r="E54" s="2"/>
      <c r="F54" s="2"/>
      <c r="G54" s="2"/>
      <c r="H54" s="2"/>
      <c r="I54" s="55">
        <f>I53</f>
        <v>0.04761904762</v>
      </c>
      <c r="J54" s="56">
        <f t="shared" ref="J54:K54" si="15">I54*(1+$O$17)</f>
        <v>0.04285714286</v>
      </c>
      <c r="K54" s="56">
        <f t="shared" si="15"/>
        <v>0.03857142857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1" t="s">
        <v>24</v>
      </c>
      <c r="C56" s="50">
        <f t="shared" ref="C56:H56" si="16">C30</f>
        <v>18444.16</v>
      </c>
      <c r="D56" s="50">
        <f t="shared" si="16"/>
        <v>19298.92</v>
      </c>
      <c r="E56" s="50">
        <f t="shared" si="16"/>
        <v>17164.19</v>
      </c>
      <c r="F56" s="50">
        <f t="shared" si="16"/>
        <v>19829.53</v>
      </c>
      <c r="G56" s="50">
        <f t="shared" si="16"/>
        <v>24677.49</v>
      </c>
      <c r="H56" s="50">
        <f t="shared" si="16"/>
        <v>26323.29</v>
      </c>
      <c r="I56" s="59">
        <f t="shared" ref="I56:K56" si="17">H56*(1+I57)</f>
        <v>35722.95585</v>
      </c>
      <c r="J56" s="59">
        <f t="shared" si="17"/>
        <v>49116.91386</v>
      </c>
      <c r="K56" s="59">
        <f t="shared" si="17"/>
        <v>68453.59412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52" t="s">
        <v>59</v>
      </c>
      <c r="C57" s="41">
        <f t="shared" ref="C57:H57" si="18">C31</f>
        <v>0.4028482197</v>
      </c>
      <c r="D57" s="41">
        <f t="shared" si="18"/>
        <v>0.4123054205</v>
      </c>
      <c r="E57" s="41">
        <f t="shared" si="18"/>
        <v>0.353721703</v>
      </c>
      <c r="F57" s="41">
        <f t="shared" si="18"/>
        <v>0.3318996424</v>
      </c>
      <c r="G57" s="41">
        <f t="shared" si="18"/>
        <v>0.351274596</v>
      </c>
      <c r="H57" s="41">
        <f t="shared" si="18"/>
        <v>0.3754822211</v>
      </c>
      <c r="I57" s="53">
        <f t="shared" ref="I57:K57" si="19">OFFSET(I58,$C$18,0)</f>
        <v>0.3570855259</v>
      </c>
      <c r="J57" s="54">
        <f t="shared" si="19"/>
        <v>0.3749398022</v>
      </c>
      <c r="K57" s="54">
        <f t="shared" si="19"/>
        <v>0.3936867923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52" t="s">
        <v>45</v>
      </c>
      <c r="C58" s="2"/>
      <c r="D58" s="2"/>
      <c r="E58" s="2"/>
      <c r="F58" s="2"/>
      <c r="G58" s="2"/>
      <c r="H58" s="2"/>
      <c r="I58" s="55">
        <f>I59</f>
        <v>0.3570855259</v>
      </c>
      <c r="J58" s="60">
        <f t="shared" ref="J58:K58" si="20">I58*(1+$G$19)</f>
        <v>0.3499438154</v>
      </c>
      <c r="K58" s="60">
        <f t="shared" si="20"/>
        <v>0.3429449391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52" t="s">
        <v>67</v>
      </c>
      <c r="C59" s="2"/>
      <c r="D59" s="2"/>
      <c r="E59" s="2"/>
      <c r="F59" s="2"/>
      <c r="G59" s="2"/>
      <c r="H59" s="2"/>
      <c r="I59" s="57">
        <f>I31</f>
        <v>0.3570855259</v>
      </c>
      <c r="J59" s="58">
        <f t="shared" ref="J59:K59" si="21">I59*(1+$K$19)</f>
        <v>0.3749398022</v>
      </c>
      <c r="K59" s="58">
        <f t="shared" si="21"/>
        <v>0.3936867923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52" t="s">
        <v>47</v>
      </c>
      <c r="C60" s="2"/>
      <c r="D60" s="2"/>
      <c r="E60" s="2"/>
      <c r="F60" s="2"/>
      <c r="G60" s="2"/>
      <c r="H60" s="2"/>
      <c r="I60" s="55">
        <f>I59</f>
        <v>0.3570855259</v>
      </c>
      <c r="J60" s="60">
        <f t="shared" ref="J60:K60" si="22">I60*(1+$O$19)</f>
        <v>0.3749398022</v>
      </c>
      <c r="K60" s="60">
        <f t="shared" si="22"/>
        <v>0.3936867923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1" t="s">
        <v>60</v>
      </c>
      <c r="C62" s="50">
        <f t="shared" ref="C62:H62" si="23">C33</f>
        <v>5849.24</v>
      </c>
      <c r="D62" s="50">
        <f t="shared" si="23"/>
        <v>4441.97</v>
      </c>
      <c r="E62" s="50">
        <f t="shared" si="23"/>
        <v>4035.36</v>
      </c>
      <c r="F62" s="50">
        <f t="shared" si="23"/>
        <v>4833.88</v>
      </c>
      <c r="G62" s="50">
        <f t="shared" si="23"/>
        <v>6025.32</v>
      </c>
      <c r="H62" s="50">
        <f t="shared" si="23"/>
        <v>5661.21</v>
      </c>
      <c r="I62" s="59">
        <f t="shared" ref="I62:K62" si="24">I56*I63</f>
        <v>8378.94263</v>
      </c>
      <c r="J62" s="59">
        <f t="shared" si="24"/>
        <v>11369.61631</v>
      </c>
      <c r="K62" s="59">
        <f t="shared" si="24"/>
        <v>15539.80963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52" t="s">
        <v>61</v>
      </c>
      <c r="C63" s="41">
        <f t="shared" ref="C63:H63" si="25">C34</f>
        <v>0.3171323606</v>
      </c>
      <c r="D63" s="41">
        <f t="shared" si="25"/>
        <v>0.2286018806</v>
      </c>
      <c r="E63" s="41">
        <f t="shared" si="25"/>
        <v>0.2351034334</v>
      </c>
      <c r="F63" s="41">
        <f t="shared" si="25"/>
        <v>0.2437717888</v>
      </c>
      <c r="G63" s="41">
        <f t="shared" si="25"/>
        <v>0.2448857166</v>
      </c>
      <c r="H63" s="41">
        <f t="shared" si="25"/>
        <v>0.2150028522</v>
      </c>
      <c r="I63" s="61">
        <f t="shared" ref="I63:K63" si="26">AVERAGE(F63:H63)</f>
        <v>0.2345534525</v>
      </c>
      <c r="J63" s="61">
        <f t="shared" si="26"/>
        <v>0.2314806738</v>
      </c>
      <c r="K63" s="61">
        <f t="shared" si="26"/>
        <v>0.2270123262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1" t="s">
        <v>68</v>
      </c>
      <c r="C65" s="62"/>
      <c r="D65" s="63"/>
      <c r="E65" s="63"/>
      <c r="F65" s="63"/>
      <c r="G65" s="63"/>
      <c r="H65" s="63"/>
      <c r="I65" s="64">
        <f t="shared" ref="I65:K65" si="27">I50-I56</f>
        <v>37720.68129</v>
      </c>
      <c r="J65" s="64">
        <f t="shared" si="27"/>
        <v>27474.30774</v>
      </c>
      <c r="K65" s="64">
        <f t="shared" si="27"/>
        <v>11091.8603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1" t="s">
        <v>62</v>
      </c>
      <c r="C67" s="8">
        <f t="shared" ref="C67:H67" si="28">C38</f>
        <v>1311.7</v>
      </c>
      <c r="D67" s="8">
        <f t="shared" si="28"/>
        <v>1563.27</v>
      </c>
      <c r="E67" s="8">
        <f t="shared" si="28"/>
        <v>1561.83</v>
      </c>
      <c r="F67" s="8">
        <f t="shared" si="28"/>
        <v>1652.15</v>
      </c>
      <c r="G67" s="8">
        <f t="shared" si="28"/>
        <v>1662.72</v>
      </c>
      <c r="H67" s="8">
        <f t="shared" si="28"/>
        <v>1647.87</v>
      </c>
      <c r="I67" s="8">
        <f t="shared" ref="I67:K67" si="29">I50*I68</f>
        <v>1831.853865</v>
      </c>
      <c r="J67" s="8">
        <f t="shared" si="29"/>
        <v>1841.154257</v>
      </c>
      <c r="K67" s="8">
        <f t="shared" si="29"/>
        <v>1921.994876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39" t="s">
        <v>59</v>
      </c>
      <c r="C68" s="61">
        <f t="shared" ref="C68:H68" si="30">C39</f>
        <v>0.02864950259</v>
      </c>
      <c r="D68" s="61">
        <f t="shared" si="30"/>
        <v>0.03339796707</v>
      </c>
      <c r="E68" s="61">
        <f t="shared" si="30"/>
        <v>0.03218638149</v>
      </c>
      <c r="F68" s="61">
        <f t="shared" si="30"/>
        <v>0.02765310092</v>
      </c>
      <c r="G68" s="61">
        <f t="shared" si="30"/>
        <v>0.02366818085</v>
      </c>
      <c r="H68" s="61">
        <f t="shared" si="30"/>
        <v>0.02350564415</v>
      </c>
      <c r="I68" s="61">
        <f t="shared" ref="I68:K68" si="31">average(F68:H68)</f>
        <v>0.02494230864</v>
      </c>
      <c r="J68" s="61">
        <f t="shared" si="31"/>
        <v>0.02403871121</v>
      </c>
      <c r="K68" s="61">
        <f t="shared" si="31"/>
        <v>0.02416222134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1" t="s">
        <v>31</v>
      </c>
      <c r="C70" s="65">
        <f t="shared" ref="C70:H70" si="32">C41</f>
        <v>1478</v>
      </c>
      <c r="D70" s="65">
        <f t="shared" si="32"/>
        <v>1459</v>
      </c>
      <c r="E70" s="65">
        <f t="shared" si="32"/>
        <v>2340</v>
      </c>
      <c r="F70" s="2">
        <f t="shared" si="32"/>
        <v>149</v>
      </c>
      <c r="G70" s="65">
        <f t="shared" si="32"/>
        <v>1396</v>
      </c>
      <c r="H70" s="65">
        <f t="shared" si="32"/>
        <v>1827</v>
      </c>
      <c r="I70" s="8">
        <f t="shared" ref="I70:K70" si="33">I71*I50</f>
        <v>1185.532921</v>
      </c>
      <c r="J70" s="8">
        <f t="shared" si="33"/>
        <v>1584.784783</v>
      </c>
      <c r="K70" s="8">
        <f t="shared" si="33"/>
        <v>1667.653124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39" t="s">
        <v>59</v>
      </c>
      <c r="C71" s="61">
        <f t="shared" ref="C71:H71" si="34">C42</f>
        <v>0.03228174494</v>
      </c>
      <c r="D71" s="61">
        <f t="shared" si="34"/>
        <v>0.031170325</v>
      </c>
      <c r="E71" s="61">
        <f t="shared" si="34"/>
        <v>0.04822300295</v>
      </c>
      <c r="F71" s="61">
        <f t="shared" si="34"/>
        <v>0.002493909171</v>
      </c>
      <c r="G71" s="61">
        <f t="shared" si="34"/>
        <v>0.01987152405</v>
      </c>
      <c r="H71" s="61">
        <f t="shared" si="34"/>
        <v>0.02606080083</v>
      </c>
      <c r="I71" s="61">
        <f t="shared" ref="I71:K71" si="35">average(F71:H71)</f>
        <v>0.01614207802</v>
      </c>
      <c r="J71" s="61">
        <f t="shared" si="35"/>
        <v>0.02069146763</v>
      </c>
      <c r="K71" s="61">
        <f t="shared" si="35"/>
        <v>0.02096478216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" t="s">
        <v>63</v>
      </c>
      <c r="C73" s="8">
        <f t="shared" ref="C73:H73" si="36">C44</f>
        <v>-476</v>
      </c>
      <c r="D73" s="8">
        <f t="shared" si="36"/>
        <v>296</v>
      </c>
      <c r="E73" s="8">
        <f t="shared" si="36"/>
        <v>-413</v>
      </c>
      <c r="F73" s="8">
        <f t="shared" si="36"/>
        <v>-100</v>
      </c>
      <c r="G73" s="8">
        <f t="shared" si="36"/>
        <v>-924</v>
      </c>
      <c r="H73" s="8">
        <f t="shared" si="36"/>
        <v>-3337</v>
      </c>
      <c r="I73" s="8">
        <f t="shared" ref="I73:K73" si="37">I74*I50</f>
        <v>-1528.273502</v>
      </c>
      <c r="J73" s="8">
        <f t="shared" si="37"/>
        <v>-2082.296027</v>
      </c>
      <c r="K73" s="8">
        <f t="shared" si="37"/>
        <v>-2534.736119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39" t="s">
        <v>59</v>
      </c>
      <c r="C74" s="61">
        <f t="shared" ref="C74:H74" si="38">C45</f>
        <v>-0.01039655656</v>
      </c>
      <c r="D74" s="61">
        <f t="shared" si="38"/>
        <v>0.006323794516</v>
      </c>
      <c r="E74" s="61">
        <f t="shared" si="38"/>
        <v>-0.008511153939</v>
      </c>
      <c r="F74" s="61">
        <f t="shared" si="38"/>
        <v>-0.001673764544</v>
      </c>
      <c r="G74" s="61">
        <f t="shared" si="38"/>
        <v>-0.01315278526</v>
      </c>
      <c r="H74" s="61">
        <f t="shared" si="38"/>
        <v>-0.04759983162</v>
      </c>
      <c r="I74" s="61">
        <f t="shared" ref="I74:K74" si="39">average(F74:H74)</f>
        <v>-0.02080879381</v>
      </c>
      <c r="J74" s="61">
        <f t="shared" si="39"/>
        <v>-0.0271871369</v>
      </c>
      <c r="K74" s="61">
        <f t="shared" si="39"/>
        <v>-0.03186525411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3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66" t="s">
        <v>69</v>
      </c>
      <c r="C76" s="67"/>
      <c r="D76" s="67"/>
      <c r="E76" s="67"/>
      <c r="F76" s="67"/>
      <c r="G76" s="67"/>
      <c r="H76" s="67"/>
      <c r="I76" s="68">
        <f t="shared" ref="I76:K76" si="40">I65+I67-I70-I73</f>
        <v>39895.27574</v>
      </c>
      <c r="J76" s="68">
        <f t="shared" si="40"/>
        <v>29812.97324</v>
      </c>
      <c r="K76" s="69">
        <f t="shared" si="40"/>
        <v>13880.93818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70" t="s">
        <v>70</v>
      </c>
      <c r="C77" s="71"/>
      <c r="D77" s="71"/>
      <c r="E77" s="71"/>
      <c r="F77" s="71"/>
      <c r="G77" s="71"/>
      <c r="H77" s="71"/>
      <c r="I77" s="72">
        <f>I76*I79/(1+C23)^I80</f>
        <v>16701.18807</v>
      </c>
      <c r="J77" s="72">
        <f t="shared" ref="J77:K77" si="41">J76/(1+C23)^J80</f>
        <v>27736.83366</v>
      </c>
      <c r="K77" s="72">
        <f t="shared" si="41"/>
        <v>13880.93818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39" t="s">
        <v>71</v>
      </c>
      <c r="C79" s="2"/>
      <c r="D79" s="2"/>
      <c r="E79" s="2"/>
      <c r="F79" s="2"/>
      <c r="G79" s="2"/>
      <c r="H79" s="2"/>
      <c r="I79" s="8">
        <f>yearfrac(C8,C9)</f>
        <v>0.4277777778</v>
      </c>
      <c r="J79" s="8">
        <f t="shared" ref="J79:K79" si="42">I79+1</f>
        <v>1.427777778</v>
      </c>
      <c r="K79" s="8">
        <f t="shared" si="42"/>
        <v>2.427777778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39" t="s">
        <v>72</v>
      </c>
      <c r="C80" s="2"/>
      <c r="D80" s="2"/>
      <c r="E80" s="2"/>
      <c r="F80" s="2"/>
      <c r="G80" s="2"/>
      <c r="H80" s="2"/>
      <c r="I80" s="8">
        <f t="shared" ref="I80:K80" si="43">I79/2</f>
        <v>0.2138888889</v>
      </c>
      <c r="J80" s="8">
        <f t="shared" si="43"/>
        <v>0.7138888889</v>
      </c>
      <c r="K80" s="8">
        <f t="shared" si="43"/>
        <v>1.213888889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39" t="s">
        <v>73</v>
      </c>
      <c r="C82" s="2"/>
      <c r="D82" s="2"/>
      <c r="E82" s="2"/>
      <c r="F82" s="2"/>
      <c r="G82" s="2"/>
      <c r="H82" s="2"/>
      <c r="I82" s="7" t="s">
        <v>74</v>
      </c>
      <c r="J82" s="8"/>
      <c r="K82" s="8">
        <f>(K77*(1+C24))/(C23-C24)</f>
        <v>258421.7213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39" t="s">
        <v>75</v>
      </c>
      <c r="C83" s="2"/>
      <c r="D83" s="2"/>
      <c r="E83" s="2"/>
      <c r="F83" s="2"/>
      <c r="G83" s="2"/>
      <c r="H83" s="2"/>
      <c r="I83" s="2"/>
      <c r="J83" s="2"/>
      <c r="K83" s="8">
        <f>K82/(1+C23)*K80</f>
        <v>283527.8888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" t="s">
        <v>76</v>
      </c>
      <c r="C85" s="2"/>
      <c r="D85" s="2"/>
      <c r="E85" s="2"/>
      <c r="F85" s="2"/>
      <c r="G85" s="2"/>
      <c r="H85" s="2"/>
      <c r="I85" s="2"/>
      <c r="J85" s="2"/>
      <c r="K85" s="8">
        <f>sum(I77:K77,K83)</f>
        <v>341846.8487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" t="s">
        <v>77</v>
      </c>
      <c r="C86" s="2"/>
      <c r="D86" s="2"/>
      <c r="E86" s="2"/>
      <c r="F86" s="2"/>
      <c r="G86" s="2"/>
      <c r="H86" s="2"/>
      <c r="I86" s="2"/>
      <c r="J86" s="2"/>
      <c r="K86" s="2">
        <f>WACC!C13</f>
        <v>2845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 t="s">
        <v>78</v>
      </c>
      <c r="C87" s="2"/>
      <c r="D87" s="2"/>
      <c r="E87" s="2"/>
      <c r="F87" s="2"/>
      <c r="G87" s="2"/>
      <c r="H87" s="2"/>
      <c r="I87" s="2"/>
      <c r="J87" s="2"/>
      <c r="K87" s="8">
        <f>'Cash Flow'!H8</f>
        <v>191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" t="s">
        <v>79</v>
      </c>
      <c r="C88" s="2"/>
      <c r="D88" s="2"/>
      <c r="E88" s="2"/>
      <c r="F88" s="2"/>
      <c r="G88" s="2"/>
      <c r="H88" s="2"/>
      <c r="I88" s="2"/>
      <c r="J88" s="2"/>
      <c r="K88" s="8">
        <f>K85-K86-K87</f>
        <v>338810.8487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" t="s">
        <v>80</v>
      </c>
      <c r="C89" s="2"/>
      <c r="D89" s="2"/>
      <c r="E89" s="2"/>
      <c r="F89" s="2"/>
      <c r="G89" s="2"/>
      <c r="H89" s="2"/>
      <c r="I89" s="2"/>
      <c r="J89" s="2"/>
      <c r="K89" s="8">
        <f>Shares!C14</f>
        <v>1256.773704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" t="s">
        <v>81</v>
      </c>
      <c r="C90" s="2"/>
      <c r="D90" s="2"/>
      <c r="E90" s="2"/>
      <c r="F90" s="2"/>
      <c r="G90" s="2"/>
      <c r="H90" s="2"/>
      <c r="I90" s="2"/>
      <c r="J90" s="2"/>
      <c r="K90" s="8">
        <f>$K88/K89</f>
        <v>269.5877927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mergeCells count="8">
    <mergeCell ref="A1:Z3"/>
    <mergeCell ref="E7:G7"/>
    <mergeCell ref="E8:G8"/>
    <mergeCell ref="E9:G9"/>
    <mergeCell ref="B15:C15"/>
    <mergeCell ref="E15:G15"/>
    <mergeCell ref="I15:K15"/>
    <mergeCell ref="M15:O15"/>
  </mergeCells>
  <conditionalFormatting sqref="I27:K27">
    <cfRule type="cellIs" dxfId="1" priority="1" operator="lessThan">
      <formula>0</formula>
    </cfRule>
  </conditionalFormatting>
  <conditionalFormatting sqref="E26:H26 C27:D27 E37:H37 C38:D38 E49:H49">
    <cfRule type="cellIs" dxfId="0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38"/>
    <col customWidth="1" min="3" max="3" width="18.38"/>
    <col customWidth="1" min="4" max="4" width="22.13"/>
    <col customWidth="1" min="5" max="5" width="14.0"/>
  </cols>
  <sheetData>
    <row r="1">
      <c r="A1" s="73" t="s">
        <v>82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 t="s">
        <v>84</v>
      </c>
      <c r="C5" s="74">
        <v>420.0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 t="s">
        <v>85</v>
      </c>
      <c r="C6" s="75">
        <v>1251.4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 t="s">
        <v>86</v>
      </c>
      <c r="C7" s="7">
        <f>E28</f>
        <v>5.67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 t="s">
        <v>87</v>
      </c>
      <c r="C8" s="7">
        <f>sumproduct(D18:D27,E18:E27)</f>
        <v>1417.5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" t="s">
        <v>88</v>
      </c>
      <c r="C9" s="7">
        <f>C5/C8</f>
        <v>0.2962962963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" t="s">
        <v>89</v>
      </c>
      <c r="C10" s="7">
        <f>C7-C9</f>
        <v>5.373703704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7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 t="s">
        <v>90</v>
      </c>
      <c r="C12" s="7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 t="s">
        <v>91</v>
      </c>
      <c r="C13" s="7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 t="s">
        <v>92</v>
      </c>
      <c r="C14" s="7">
        <f>C6+C10+C12+C13</f>
        <v>1256.773704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6" t="s">
        <v>93</v>
      </c>
      <c r="C17" s="6" t="s">
        <v>94</v>
      </c>
      <c r="D17" s="6" t="s">
        <v>95</v>
      </c>
      <c r="E17" s="6" t="s">
        <v>96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" t="s">
        <v>97</v>
      </c>
      <c r="C18" s="30">
        <v>5.67</v>
      </c>
      <c r="D18" s="78">
        <v>250.0</v>
      </c>
      <c r="E18" s="1">
        <f t="shared" ref="E18:E27" si="1">if(D18&lt;$C$5,C18)</f>
        <v>5.67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 t="s">
        <v>98</v>
      </c>
      <c r="C19" s="22"/>
      <c r="D19" s="77"/>
      <c r="E19" s="1" t="str">
        <f t="shared" si="1"/>
        <v/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 t="s">
        <v>99</v>
      </c>
      <c r="C20" s="22"/>
      <c r="D20" s="77"/>
      <c r="E20" s="1" t="str">
        <f t="shared" si="1"/>
        <v/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 t="s">
        <v>100</v>
      </c>
      <c r="C21" s="22"/>
      <c r="D21" s="77"/>
      <c r="E21" s="1" t="str">
        <f t="shared" si="1"/>
        <v/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 t="s">
        <v>101</v>
      </c>
      <c r="C22" s="22"/>
      <c r="D22" s="77"/>
      <c r="E22" s="1" t="str">
        <f t="shared" si="1"/>
        <v/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 t="s">
        <v>102</v>
      </c>
      <c r="C23" s="22"/>
      <c r="D23" s="77"/>
      <c r="E23" s="1" t="str">
        <f t="shared" si="1"/>
        <v/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 t="s">
        <v>103</v>
      </c>
      <c r="C24" s="22"/>
      <c r="D24" s="77"/>
      <c r="E24" s="1" t="str">
        <f t="shared" si="1"/>
        <v/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 t="s">
        <v>104</v>
      </c>
      <c r="C25" s="22"/>
      <c r="D25" s="77"/>
      <c r="E25" s="1" t="str">
        <f t="shared" si="1"/>
        <v/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" t="s">
        <v>105</v>
      </c>
      <c r="C26" s="22"/>
      <c r="D26" s="77"/>
      <c r="E26" s="1" t="str">
        <f t="shared" si="1"/>
        <v/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 t="s">
        <v>106</v>
      </c>
      <c r="C27" s="22"/>
      <c r="D27" s="77"/>
      <c r="E27" s="1" t="str">
        <f t="shared" si="1"/>
        <v/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79" t="s">
        <v>107</v>
      </c>
      <c r="C28" s="80"/>
      <c r="D28" s="80"/>
      <c r="E28" s="79">
        <f>SUM(E18:E27)</f>
        <v>5.67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1:Z2"/>
    <mergeCell ref="B4:C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</cols>
  <sheetData>
    <row r="1">
      <c r="A1" s="81" t="s">
        <v>53</v>
      </c>
    </row>
    <row r="4">
      <c r="B4" s="82" t="s">
        <v>53</v>
      </c>
    </row>
    <row r="5">
      <c r="B5" s="83" t="s">
        <v>49</v>
      </c>
      <c r="C5" s="83" t="s">
        <v>108</v>
      </c>
    </row>
    <row r="6">
      <c r="B6" s="84" t="s">
        <v>109</v>
      </c>
      <c r="C6" s="85">
        <f>Shares!C5*Shares!C14</f>
        <v>527844.9556</v>
      </c>
    </row>
    <row r="7">
      <c r="B7" s="84" t="s">
        <v>110</v>
      </c>
      <c r="C7" s="86">
        <v>1.0</v>
      </c>
    </row>
    <row r="8">
      <c r="B8" s="84" t="s">
        <v>111</v>
      </c>
      <c r="C8" s="86">
        <f>C9+C10*C11</f>
        <v>0.10635</v>
      </c>
    </row>
    <row r="9">
      <c r="B9" s="84" t="s">
        <v>112</v>
      </c>
      <c r="C9" s="87">
        <v>0.0628</v>
      </c>
    </row>
    <row r="10">
      <c r="B10" s="84" t="s">
        <v>113</v>
      </c>
      <c r="C10" s="88">
        <v>0.67</v>
      </c>
    </row>
    <row r="11">
      <c r="B11" s="84" t="s">
        <v>114</v>
      </c>
      <c r="C11" s="87">
        <v>0.065</v>
      </c>
    </row>
    <row r="12">
      <c r="B12" s="84"/>
      <c r="C12" s="89"/>
    </row>
    <row r="13">
      <c r="B13" s="84" t="s">
        <v>115</v>
      </c>
      <c r="C13" s="88">
        <v>2845.0</v>
      </c>
    </row>
    <row r="14">
      <c r="B14" s="84" t="s">
        <v>116</v>
      </c>
      <c r="C14" s="86">
        <f>C13/(C6+C13)*100%</f>
        <v>0.005360945634</v>
      </c>
    </row>
    <row r="15">
      <c r="B15" s="84" t="s">
        <v>117</v>
      </c>
      <c r="C15" s="90">
        <f>C14*(1-C16)</f>
        <v>0.004103517326</v>
      </c>
    </row>
    <row r="16">
      <c r="B16" s="84" t="s">
        <v>61</v>
      </c>
      <c r="C16" s="91">
        <f>DCF!I63</f>
        <v>0.2345534525</v>
      </c>
    </row>
    <row r="17">
      <c r="B17" s="84"/>
      <c r="C17" s="92"/>
    </row>
    <row r="18">
      <c r="B18" s="84" t="s">
        <v>107</v>
      </c>
      <c r="C18" s="92">
        <v>69.0</v>
      </c>
    </row>
    <row r="19">
      <c r="B19" s="84" t="s">
        <v>53</v>
      </c>
      <c r="C19" s="86">
        <f>C7*C8+(C14*C15*(1-C16))</f>
        <v>0.1063668389</v>
      </c>
    </row>
  </sheetData>
  <mergeCells count="2">
    <mergeCell ref="A1:Z2"/>
    <mergeCell ref="B4:C4"/>
  </mergeCells>
  <drawing r:id="rId1"/>
</worksheet>
</file>