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<sst xmlns="http://schemas.openxmlformats.org/spreadsheetml/2006/main" count="113" uniqueCount="89">
  <si>
    <t>Rs in Crores</t>
  </si>
  <si>
    <t>Income Statement</t>
  </si>
  <si>
    <t>Forecasts</t>
  </si>
  <si>
    <t>Particulars</t>
  </si>
  <si>
    <t>Revenue from operations</t>
  </si>
  <si>
    <t>Revenue Growth</t>
  </si>
  <si>
    <t>Other income</t>
  </si>
  <si>
    <t>Material Costs</t>
  </si>
  <si>
    <t>Total Revenue</t>
  </si>
  <si>
    <t>Employee Costs</t>
  </si>
  <si>
    <t>Finance Costs</t>
  </si>
  <si>
    <t>Changes in Inventory</t>
  </si>
  <si>
    <t>Tax Rate</t>
  </si>
  <si>
    <t>Employee Cost</t>
  </si>
  <si>
    <t>Depriciation</t>
  </si>
  <si>
    <t>Finance Cost</t>
  </si>
  <si>
    <t>Other Expenses</t>
  </si>
  <si>
    <t>Margins</t>
  </si>
  <si>
    <t>Total Expense</t>
  </si>
  <si>
    <t>Operating Profit</t>
  </si>
  <si>
    <t>EBITDA</t>
  </si>
  <si>
    <t>OPM</t>
  </si>
  <si>
    <t>Depriciation &amp; Amortization</t>
  </si>
  <si>
    <t>Gross Profit</t>
  </si>
  <si>
    <t>EBIT</t>
  </si>
  <si>
    <t>GPM</t>
  </si>
  <si>
    <t>Current Tax</t>
  </si>
  <si>
    <t>Deffered Tax</t>
  </si>
  <si>
    <t>Net Profit</t>
  </si>
  <si>
    <t>Balance Sheet</t>
  </si>
  <si>
    <t>Assumptions</t>
  </si>
  <si>
    <t>Property, Plant and Equipment</t>
  </si>
  <si>
    <t>PP&amp;E</t>
  </si>
  <si>
    <t>Capital work in progress</t>
  </si>
  <si>
    <t>Opening of PP&amp;E</t>
  </si>
  <si>
    <t>Right to use Assets</t>
  </si>
  <si>
    <t>Other Intangibles Assets</t>
  </si>
  <si>
    <t>Transfers from CWIP</t>
  </si>
  <si>
    <t>Investments</t>
  </si>
  <si>
    <t>Capex</t>
  </si>
  <si>
    <t>Other Financial Assets</t>
  </si>
  <si>
    <t>Ending of PP&amp;E</t>
  </si>
  <si>
    <t>Non-Current Assets</t>
  </si>
  <si>
    <t>Inventories</t>
  </si>
  <si>
    <t>CWIP</t>
  </si>
  <si>
    <t>Trade Receivables</t>
  </si>
  <si>
    <t>Opening of CWIP</t>
  </si>
  <si>
    <t xml:space="preserve">Loans </t>
  </si>
  <si>
    <t>Other Financial Assets (CA)</t>
  </si>
  <si>
    <t>Transfer to Completed PP&amp;E</t>
  </si>
  <si>
    <t>Other Current Assets</t>
  </si>
  <si>
    <t>Ending of CWIP</t>
  </si>
  <si>
    <t>Cash and Cash Equivalents</t>
  </si>
  <si>
    <t>Bank Balances</t>
  </si>
  <si>
    <t>Current Assets</t>
  </si>
  <si>
    <t>Total Assets</t>
  </si>
  <si>
    <t>Interest on Lease Liabilites</t>
  </si>
  <si>
    <t>Gain/Loss on Sale of Assets</t>
  </si>
  <si>
    <t>Equity Share Capital</t>
  </si>
  <si>
    <t xml:space="preserve">Interest Income </t>
  </si>
  <si>
    <t>Reserves</t>
  </si>
  <si>
    <t>Total Equity</t>
  </si>
  <si>
    <t>Borrowings</t>
  </si>
  <si>
    <t>Lease Liabilites</t>
  </si>
  <si>
    <t>Provisions</t>
  </si>
  <si>
    <t>Non Current Liabilites</t>
  </si>
  <si>
    <t>Short-term Borrowings</t>
  </si>
  <si>
    <t>Short-term Lease</t>
  </si>
  <si>
    <t>Trade Payables</t>
  </si>
  <si>
    <t>Short-term Provisions</t>
  </si>
  <si>
    <t>Other Current Liabilites</t>
  </si>
  <si>
    <t>Current Liabilites</t>
  </si>
  <si>
    <t>Total Equity and Liabilites</t>
  </si>
  <si>
    <t>Balance</t>
  </si>
  <si>
    <t>Cash Flow Statements</t>
  </si>
  <si>
    <t xml:space="preserve">Depriciation </t>
  </si>
  <si>
    <t>Interest Income</t>
  </si>
  <si>
    <t>Operating Profit/Loss before WC changes</t>
  </si>
  <si>
    <t>Cash flow before Taxed Income</t>
  </si>
  <si>
    <t>Income Tax</t>
  </si>
  <si>
    <t>Cash flow from Operating Activites</t>
  </si>
  <si>
    <t>Purchase of Investments</t>
  </si>
  <si>
    <t>Purchase of Machinery</t>
  </si>
  <si>
    <t>Interest Received</t>
  </si>
  <si>
    <t>Cash Flow from Investing Activites</t>
  </si>
  <si>
    <t>Issue of Borrowing</t>
  </si>
  <si>
    <t>Payment against Lease</t>
  </si>
  <si>
    <t>Cash Flow from Financiang Activites</t>
  </si>
  <si>
    <t>Total Cash Flow before Borrowings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</si>
</sst>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2" numFmtId="164" xfId="0" applyAlignment="1" applyFont="1" applyNumberFormat="1">
      <alignment readingOrder="0"/>
    </xf>
    <xf borderId="0" fillId="0" fontId="1" numFmtId="10" xfId="0" applyAlignment="1" applyFont="1" applyNumberFormat="1">
      <alignment horizontal="right" readingOrder="0"/>
    </xf>
    <xf borderId="0" fillId="0" fontId="1" numFmtId="10" xfId="0" applyAlignment="1" applyFont="1" applyNumberFormat="1">
      <alignment horizontal="right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164" xfId="0" applyFont="1" applyNumberFormat="1"/>
    <xf borderId="0" fillId="2" fontId="1" numFmtId="164" xfId="0" applyFill="1" applyFont="1" applyNumberFormat="1"/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2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" numFmtId="164" xfId="0" applyFill="1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5"/>
    <col customWidth="1" min="13" max="13" width="22.88"/>
    <col customWidth="1" min="16" max="16" width="11.88"/>
    <col customWidth="1" min="17" max="17" width="10.75"/>
    <col customWidth="1" min="19" max="19" width="10.88"/>
  </cols>
  <sheetData>
    <row r="1">
      <c r="A1" s="1" t="s">
        <v>0</v>
      </c>
    </row>
    <row r="3">
      <c r="D3" s="2" t="s">
        <v>1</v>
      </c>
    </row>
    <row r="4">
      <c r="H4" s="3" t="s">
        <v>2</v>
      </c>
    </row>
    <row r="5">
      <c r="D5" s="4" t="s">
        <v>3</v>
      </c>
      <c r="E5" s="5">
        <v>2022.0</v>
      </c>
      <c r="F5" s="5">
        <v>2023.0</v>
      </c>
      <c r="G5" s="2">
        <f t="shared" ref="G5:J5" si="1">F5+1</f>
        <v>2024</v>
      </c>
      <c r="H5" s="2">
        <f t="shared" si="1"/>
        <v>2025</v>
      </c>
      <c r="I5" s="2">
        <f t="shared" si="1"/>
        <v>2026</v>
      </c>
      <c r="J5" s="2">
        <f t="shared" si="1"/>
        <v>2027</v>
      </c>
      <c r="M5" s="2" t="s">
        <v>2</v>
      </c>
      <c r="N5" s="2">
        <v>2023.0</v>
      </c>
      <c r="O5" s="6">
        <f t="shared" ref="O5:R5" si="2">N5+1</f>
        <v>2024</v>
      </c>
      <c r="P5" s="6">
        <f t="shared" si="2"/>
        <v>2025</v>
      </c>
      <c r="Q5" s="6">
        <f t="shared" si="2"/>
        <v>2026</v>
      </c>
      <c r="R5" s="6">
        <f t="shared" si="2"/>
        <v>2027</v>
      </c>
    </row>
    <row r="6">
      <c r="D6" s="1" t="s">
        <v>4</v>
      </c>
      <c r="E6" s="7">
        <v>15159.91</v>
      </c>
      <c r="F6" s="7">
        <v>19065.6</v>
      </c>
      <c r="G6" s="7">
        <v>22980.0</v>
      </c>
      <c r="H6" s="8">
        <f t="shared" ref="H6:J6" si="3">G6*(1+P6)</f>
        <v>31457.3973</v>
      </c>
      <c r="I6" s="8">
        <f t="shared" si="3"/>
        <v>43062.13425</v>
      </c>
      <c r="J6" s="8">
        <f t="shared" si="3"/>
        <v>58947.89668</v>
      </c>
      <c r="M6" s="1" t="s">
        <v>5</v>
      </c>
      <c r="N6" s="9">
        <f t="shared" ref="N6:O6" si="4">1-(E26/F26)</f>
        <v>0.3424703028</v>
      </c>
      <c r="O6" s="9">
        <f t="shared" si="4"/>
        <v>0.3953362508</v>
      </c>
      <c r="P6" s="9">
        <f>average(N6:O6)</f>
        <v>0.3689032768</v>
      </c>
      <c r="Q6" s="9">
        <f t="shared" ref="Q6:R6" si="5">P6</f>
        <v>0.3689032768</v>
      </c>
      <c r="R6" s="9">
        <f t="shared" si="5"/>
        <v>0.3689032768</v>
      </c>
    </row>
    <row r="7">
      <c r="D7" s="1" t="s">
        <v>6</v>
      </c>
      <c r="E7" s="7">
        <v>418.12</v>
      </c>
      <c r="F7" s="7">
        <v>426.93</v>
      </c>
      <c r="G7" s="7">
        <v>464.71</v>
      </c>
      <c r="H7" s="8">
        <f t="shared" ref="H7:J7" si="6">average(E7:G7)</f>
        <v>436.5866667</v>
      </c>
      <c r="I7" s="8">
        <f t="shared" si="6"/>
        <v>442.7422222</v>
      </c>
      <c r="J7" s="8">
        <f t="shared" si="6"/>
        <v>448.012963</v>
      </c>
      <c r="M7" s="1" t="s">
        <v>7</v>
      </c>
      <c r="N7" s="9">
        <f t="shared" ref="N7:O7" si="7">1-(E9/F9)</f>
        <v>0.2301830564</v>
      </c>
      <c r="O7" s="9">
        <f t="shared" si="7"/>
        <v>0.1929024637</v>
      </c>
      <c r="P7" s="9">
        <f t="shared" ref="P7:R7" si="8">AVERAGE(N7:O7)</f>
        <v>0.2115427601</v>
      </c>
      <c r="Q7" s="9">
        <f t="shared" si="8"/>
        <v>0.2022226119</v>
      </c>
      <c r="R7" s="9">
        <f t="shared" si="8"/>
        <v>0.206882686</v>
      </c>
    </row>
    <row r="8">
      <c r="D8" s="2" t="s">
        <v>8</v>
      </c>
      <c r="E8" s="10">
        <f t="shared" ref="E8:J8" si="9">SUM(E6:E7)</f>
        <v>15578.03</v>
      </c>
      <c r="F8" s="10">
        <f t="shared" si="9"/>
        <v>19492.53</v>
      </c>
      <c r="G8" s="10">
        <f t="shared" si="9"/>
        <v>23444.71</v>
      </c>
      <c r="H8" s="10">
        <f t="shared" si="9"/>
        <v>31893.98397</v>
      </c>
      <c r="I8" s="10">
        <f t="shared" si="9"/>
        <v>43504.87647</v>
      </c>
      <c r="J8" s="10">
        <f t="shared" si="9"/>
        <v>59395.90964</v>
      </c>
      <c r="M8" s="1" t="s">
        <v>9</v>
      </c>
      <c r="N8" s="9">
        <f t="shared" ref="N8:O8" si="10">1-(E11/F11)</f>
        <v>0.1649459902</v>
      </c>
      <c r="O8" s="9">
        <f t="shared" si="10"/>
        <v>0.1330308489</v>
      </c>
      <c r="P8" s="9">
        <f t="shared" ref="P8:R8" si="11">AVERAGE(N8:O8)</f>
        <v>0.1489884196</v>
      </c>
      <c r="Q8" s="9">
        <f t="shared" si="11"/>
        <v>0.1410096343</v>
      </c>
      <c r="R8" s="9">
        <f t="shared" si="11"/>
        <v>0.1449990269</v>
      </c>
    </row>
    <row r="9">
      <c r="D9" s="1" t="s">
        <v>7</v>
      </c>
      <c r="E9" s="7">
        <v>5522.89</v>
      </c>
      <c r="F9" s="7">
        <v>7174.29</v>
      </c>
      <c r="G9" s="7">
        <v>8889.0</v>
      </c>
      <c r="H9" s="8">
        <f t="shared" ref="H9:J9" si="12">G9*(1+P7)</f>
        <v>10769.40359</v>
      </c>
      <c r="I9" s="8">
        <f t="shared" si="12"/>
        <v>12947.22052</v>
      </c>
      <c r="J9" s="8">
        <f t="shared" si="12"/>
        <v>15625.77627</v>
      </c>
      <c r="M9" s="1" t="s">
        <v>10</v>
      </c>
      <c r="N9" s="11">
        <f t="shared" ref="N9:O9" si="13">1-(E12/F12)</f>
        <v>0.5435217609</v>
      </c>
      <c r="O9" s="11">
        <f t="shared" si="13"/>
        <v>0.1608993363</v>
      </c>
      <c r="P9" s="11">
        <f>AVERAGE(N9:O9)</f>
        <v>0.3522105486</v>
      </c>
      <c r="Q9" s="12">
        <f t="shared" ref="Q9:R9" si="14">P9</f>
        <v>0.3522105486</v>
      </c>
      <c r="R9" s="12">
        <f t="shared" si="14"/>
        <v>0.3522105486</v>
      </c>
    </row>
    <row r="10">
      <c r="D10" s="1" t="s">
        <v>11</v>
      </c>
      <c r="E10" s="7">
        <v>-436.04</v>
      </c>
      <c r="F10" s="7">
        <v>-413.15</v>
      </c>
      <c r="G10" s="7">
        <v>-307.7</v>
      </c>
      <c r="H10" s="8">
        <f t="shared" ref="H10:J10" si="15">-(H33-G33)</f>
        <v>-442.0231805</v>
      </c>
      <c r="I10" s="8">
        <f t="shared" si="15"/>
        <v>-489.4183019</v>
      </c>
      <c r="J10" s="8">
        <f t="shared" si="15"/>
        <v>-541.8952779</v>
      </c>
      <c r="M10" s="1" t="s">
        <v>12</v>
      </c>
      <c r="N10" s="13">
        <v>0.3</v>
      </c>
      <c r="O10" s="9">
        <f t="shared" ref="O10:R10" si="16">N10</f>
        <v>0.3</v>
      </c>
      <c r="P10" s="9">
        <f t="shared" si="16"/>
        <v>0.3</v>
      </c>
      <c r="Q10" s="9">
        <f t="shared" si="16"/>
        <v>0.3</v>
      </c>
      <c r="R10" s="9">
        <f t="shared" si="16"/>
        <v>0.3</v>
      </c>
    </row>
    <row r="11">
      <c r="D11" s="1" t="s">
        <v>13</v>
      </c>
      <c r="E11" s="7">
        <v>3564.57</v>
      </c>
      <c r="F11" s="7">
        <v>4268.67</v>
      </c>
      <c r="G11" s="7">
        <v>4923.67</v>
      </c>
      <c r="H11" s="8">
        <f t="shared" ref="H11:J11" si="17">G11*(1+P8)</f>
        <v>5657.239812</v>
      </c>
      <c r="I11" s="8">
        <f t="shared" si="17"/>
        <v>6454.965129</v>
      </c>
      <c r="J11" s="8">
        <f t="shared" si="17"/>
        <v>7390.928791</v>
      </c>
      <c r="M11" s="1" t="s">
        <v>14</v>
      </c>
      <c r="N11" s="14">
        <f t="shared" ref="N11:O11" si="18">F16</f>
        <v>726.9</v>
      </c>
      <c r="O11" s="14">
        <f t="shared" si="18"/>
        <v>1122.47</v>
      </c>
      <c r="P11" s="14">
        <f t="shared" ref="P11:R11" si="19">AVERAGE(N11:O11)</f>
        <v>924.685</v>
      </c>
      <c r="Q11" s="14">
        <f t="shared" si="19"/>
        <v>1023.5775</v>
      </c>
      <c r="R11" s="14">
        <f t="shared" si="19"/>
        <v>974.13125</v>
      </c>
    </row>
    <row r="12">
      <c r="D12" s="1" t="s">
        <v>15</v>
      </c>
      <c r="E12" s="7">
        <v>146.0</v>
      </c>
      <c r="F12" s="7">
        <v>319.84</v>
      </c>
      <c r="G12" s="7">
        <v>381.17</v>
      </c>
      <c r="H12" s="8">
        <f t="shared" ref="H12:J12" si="20">G12*(1+P9)</f>
        <v>515.4220948</v>
      </c>
      <c r="I12" s="8">
        <f t="shared" si="20"/>
        <v>696.9591935</v>
      </c>
      <c r="J12" s="8">
        <f t="shared" si="20"/>
        <v>942.4355734</v>
      </c>
      <c r="N12" s="9"/>
      <c r="O12" s="9"/>
      <c r="P12" s="9"/>
      <c r="Q12" s="9"/>
      <c r="R12" s="9"/>
      <c r="S12" s="9"/>
    </row>
    <row r="13">
      <c r="D13" s="1" t="s">
        <v>16</v>
      </c>
      <c r="E13" s="7">
        <v>3308.0</v>
      </c>
      <c r="F13" s="7">
        <v>2687.75</v>
      </c>
      <c r="G13" s="7">
        <v>3601.92</v>
      </c>
      <c r="H13" s="8">
        <f t="shared" ref="H13:J13" si="21">AVERAGE(E13:G13)</f>
        <v>3199.223333</v>
      </c>
      <c r="I13" s="8">
        <f t="shared" si="21"/>
        <v>3162.964444</v>
      </c>
      <c r="J13" s="8">
        <f t="shared" si="21"/>
        <v>3321.369259</v>
      </c>
      <c r="M13" s="2" t="s">
        <v>17</v>
      </c>
      <c r="N13" s="9"/>
      <c r="O13" s="9"/>
      <c r="P13" s="9"/>
      <c r="Q13" s="9"/>
      <c r="R13" s="9"/>
      <c r="S13" s="9"/>
    </row>
    <row r="14">
      <c r="D14" s="2" t="s">
        <v>18</v>
      </c>
      <c r="E14" s="10">
        <f t="shared" ref="E14:J14" si="22">sum(E9:E13)</f>
        <v>12105.42</v>
      </c>
      <c r="F14" s="10">
        <f t="shared" si="22"/>
        <v>14037.4</v>
      </c>
      <c r="G14" s="10">
        <f t="shared" si="22"/>
        <v>17488.06</v>
      </c>
      <c r="H14" s="10">
        <f t="shared" si="22"/>
        <v>19699.26565</v>
      </c>
      <c r="I14" s="10">
        <f t="shared" si="22"/>
        <v>22772.69098</v>
      </c>
      <c r="J14" s="10">
        <f t="shared" si="22"/>
        <v>26738.61462</v>
      </c>
      <c r="M14" s="1" t="s">
        <v>19</v>
      </c>
      <c r="N14" s="8">
        <f t="shared" ref="N14:R14" si="23">F17</f>
        <v>4728.23</v>
      </c>
      <c r="O14" s="8">
        <f t="shared" si="23"/>
        <v>4834.18</v>
      </c>
      <c r="P14" s="8">
        <f t="shared" si="23"/>
        <v>11270.03331</v>
      </c>
      <c r="Q14" s="8">
        <f t="shared" si="23"/>
        <v>19708.60799</v>
      </c>
      <c r="R14" s="8">
        <f t="shared" si="23"/>
        <v>31683.16377</v>
      </c>
      <c r="S14" s="9"/>
    </row>
    <row r="15">
      <c r="D15" s="2" t="s">
        <v>20</v>
      </c>
      <c r="E15" s="15">
        <f t="shared" ref="E15:J15" si="24">E8-E14</f>
        <v>3472.61</v>
      </c>
      <c r="F15" s="15">
        <f t="shared" si="24"/>
        <v>5455.13</v>
      </c>
      <c r="G15" s="15">
        <f t="shared" si="24"/>
        <v>5956.65</v>
      </c>
      <c r="H15" s="15">
        <f t="shared" si="24"/>
        <v>12194.71831</v>
      </c>
      <c r="I15" s="15">
        <f t="shared" si="24"/>
        <v>20732.18549</v>
      </c>
      <c r="J15" s="15">
        <f t="shared" si="24"/>
        <v>32657.29502</v>
      </c>
      <c r="M15" s="1" t="s">
        <v>21</v>
      </c>
      <c r="N15" s="9">
        <f t="shared" ref="N15:R15" si="25">N14/F8</f>
        <v>0.2425662549</v>
      </c>
      <c r="O15" s="9">
        <f t="shared" si="25"/>
        <v>0.2061949156</v>
      </c>
      <c r="P15" s="9">
        <f t="shared" si="25"/>
        <v>0.3533592205</v>
      </c>
      <c r="Q15" s="9">
        <f t="shared" si="25"/>
        <v>0.4530206631</v>
      </c>
      <c r="R15" s="9">
        <f t="shared" si="25"/>
        <v>0.5334233277</v>
      </c>
      <c r="S15" s="9"/>
    </row>
    <row r="16">
      <c r="D16" s="1" t="s">
        <v>22</v>
      </c>
      <c r="E16" s="7">
        <v>541.85</v>
      </c>
      <c r="F16" s="7">
        <v>726.9</v>
      </c>
      <c r="G16" s="7">
        <v>1122.47</v>
      </c>
      <c r="H16" s="8">
        <f t="shared" ref="H16:J16" si="26">P11</f>
        <v>924.685</v>
      </c>
      <c r="I16" s="8">
        <f t="shared" si="26"/>
        <v>1023.5775</v>
      </c>
      <c r="J16" s="8">
        <f t="shared" si="26"/>
        <v>974.13125</v>
      </c>
      <c r="M16" s="1" t="s">
        <v>23</v>
      </c>
      <c r="N16" s="8">
        <f t="shared" ref="N16:R16" si="27">F8-F14</f>
        <v>5455.13</v>
      </c>
      <c r="O16" s="8">
        <f t="shared" si="27"/>
        <v>5956.65</v>
      </c>
      <c r="P16" s="8">
        <f t="shared" si="27"/>
        <v>12194.71831</v>
      </c>
      <c r="Q16" s="8">
        <f t="shared" si="27"/>
        <v>20732.18549</v>
      </c>
      <c r="R16" s="8">
        <f t="shared" si="27"/>
        <v>32657.29502</v>
      </c>
      <c r="S16" s="9"/>
    </row>
    <row r="17">
      <c r="D17" s="2" t="s">
        <v>24</v>
      </c>
      <c r="E17" s="15">
        <f t="shared" ref="E17:J17" si="28">E15-E16</f>
        <v>2930.76</v>
      </c>
      <c r="F17" s="15">
        <f t="shared" si="28"/>
        <v>4728.23</v>
      </c>
      <c r="G17" s="15">
        <f t="shared" si="28"/>
        <v>4834.18</v>
      </c>
      <c r="H17" s="15">
        <f t="shared" si="28"/>
        <v>11270.03331</v>
      </c>
      <c r="I17" s="15">
        <f t="shared" si="28"/>
        <v>19708.60799</v>
      </c>
      <c r="J17" s="15">
        <f t="shared" si="28"/>
        <v>31683.16377</v>
      </c>
      <c r="M17" s="1" t="s">
        <v>25</v>
      </c>
      <c r="N17" s="9">
        <f t="shared" ref="N17:R17" si="29">N16/F8</f>
        <v>0.2798574633</v>
      </c>
      <c r="O17" s="9">
        <f t="shared" si="29"/>
        <v>0.2540722406</v>
      </c>
      <c r="P17" s="9">
        <f t="shared" si="29"/>
        <v>0.3823516788</v>
      </c>
      <c r="Q17" s="9">
        <f t="shared" si="29"/>
        <v>0.4765485428</v>
      </c>
      <c r="R17" s="9">
        <f t="shared" si="29"/>
        <v>0.549823973</v>
      </c>
    </row>
    <row r="18">
      <c r="D18" s="1" t="s">
        <v>26</v>
      </c>
      <c r="E18" s="7">
        <v>1070.42</v>
      </c>
      <c r="F18" s="7">
        <v>929.6</v>
      </c>
      <c r="G18" s="7">
        <v>1210.56</v>
      </c>
      <c r="H18" s="8">
        <f t="shared" ref="H18:J18" si="30">H17*P10</f>
        <v>3381.009994</v>
      </c>
      <c r="I18" s="8">
        <f t="shared" si="30"/>
        <v>5912.582396</v>
      </c>
      <c r="J18" s="8">
        <f t="shared" si="30"/>
        <v>9504.949131</v>
      </c>
    </row>
    <row r="19">
      <c r="D19" s="1" t="s">
        <v>27</v>
      </c>
      <c r="E19" s="7">
        <v>6.47</v>
      </c>
      <c r="F19" s="7">
        <v>-19.39</v>
      </c>
      <c r="G19" s="7">
        <v>14.74</v>
      </c>
      <c r="H19" s="16">
        <f t="shared" ref="H19:J19" si="31">average(E19:G19)</f>
        <v>0.6066666667</v>
      </c>
      <c r="I19" s="16">
        <f t="shared" si="31"/>
        <v>-1.347777778</v>
      </c>
      <c r="J19" s="16">
        <f t="shared" si="31"/>
        <v>4.666296296</v>
      </c>
    </row>
    <row r="20">
      <c r="D20" s="2" t="s">
        <v>28</v>
      </c>
      <c r="E20" s="15">
        <f t="shared" ref="E20:J20" si="32">E17-E18-E19</f>
        <v>1853.87</v>
      </c>
      <c r="F20" s="15">
        <f t="shared" si="32"/>
        <v>3818.02</v>
      </c>
      <c r="G20" s="15">
        <f t="shared" si="32"/>
        <v>3608.88</v>
      </c>
      <c r="H20" s="15">
        <f t="shared" si="32"/>
        <v>7888.416653</v>
      </c>
      <c r="I20" s="15">
        <f t="shared" si="32"/>
        <v>13797.37337</v>
      </c>
      <c r="J20" s="15">
        <f t="shared" si="32"/>
        <v>22173.54834</v>
      </c>
      <c r="Q20" s="17"/>
    </row>
    <row r="21">
      <c r="E21" s="8"/>
      <c r="F21" s="8"/>
      <c r="Q21" s="17"/>
    </row>
    <row r="22">
      <c r="E22" s="8"/>
      <c r="F22" s="8"/>
    </row>
    <row r="23">
      <c r="D23" s="2" t="s">
        <v>29</v>
      </c>
      <c r="E23" s="8"/>
      <c r="F23" s="8"/>
    </row>
    <row r="24">
      <c r="H24" s="3" t="s">
        <v>2</v>
      </c>
    </row>
    <row r="25">
      <c r="D25" s="2" t="s">
        <v>3</v>
      </c>
      <c r="E25" s="5">
        <v>2022.0</v>
      </c>
      <c r="F25" s="5">
        <v>2023.0</v>
      </c>
      <c r="G25" s="2">
        <f t="shared" ref="G25:J25" si="33">F25+1</f>
        <v>2024</v>
      </c>
      <c r="H25" s="2">
        <f t="shared" si="33"/>
        <v>2025</v>
      </c>
      <c r="I25" s="2">
        <f t="shared" si="33"/>
        <v>2026</v>
      </c>
      <c r="J25" s="2">
        <f t="shared" si="33"/>
        <v>2027</v>
      </c>
      <c r="M25" s="2" t="s">
        <v>30</v>
      </c>
      <c r="N25" s="2">
        <v>2024.0</v>
      </c>
      <c r="O25" s="2">
        <v>2025.0</v>
      </c>
      <c r="P25" s="6">
        <f>O25+1</f>
        <v>2026</v>
      </c>
      <c r="Q25" s="6"/>
    </row>
    <row r="26">
      <c r="D26" s="1" t="s">
        <v>31</v>
      </c>
      <c r="E26" s="7">
        <v>3247.0</v>
      </c>
      <c r="F26" s="7">
        <v>4938.18</v>
      </c>
      <c r="G26" s="7">
        <v>8166.82</v>
      </c>
      <c r="H26" s="8">
        <f t="shared" ref="H26:J26" si="34">N31</f>
        <v>13419.41</v>
      </c>
      <c r="I26" s="8">
        <f t="shared" si="34"/>
        <v>20894.555</v>
      </c>
      <c r="J26" s="8">
        <f t="shared" si="34"/>
        <v>32598.7125</v>
      </c>
      <c r="M26" s="2" t="s">
        <v>32</v>
      </c>
    </row>
    <row r="27">
      <c r="D27" s="1" t="s">
        <v>33</v>
      </c>
      <c r="E27" s="7">
        <v>732.14</v>
      </c>
      <c r="F27" s="7">
        <v>2073.4</v>
      </c>
      <c r="G27" s="7">
        <v>0.37</v>
      </c>
      <c r="H27" s="8">
        <f t="shared" ref="H27:J27" si="35">N37</f>
        <v>3147.61</v>
      </c>
      <c r="I27" s="8">
        <f t="shared" si="35"/>
        <v>8400.2</v>
      </c>
      <c r="J27" s="8">
        <f t="shared" si="35"/>
        <v>15875.345</v>
      </c>
      <c r="M27" s="1" t="s">
        <v>34</v>
      </c>
      <c r="N27" s="1">
        <v>8166.0</v>
      </c>
      <c r="O27" s="8">
        <f t="shared" ref="O27:P27" si="36">N31</f>
        <v>13419.41</v>
      </c>
      <c r="P27" s="8">
        <f t="shared" si="36"/>
        <v>20894.555</v>
      </c>
    </row>
    <row r="28">
      <c r="D28" s="1" t="s">
        <v>35</v>
      </c>
      <c r="E28" s="7">
        <v>2922.24</v>
      </c>
      <c r="F28" s="7">
        <v>2851.88</v>
      </c>
      <c r="G28" s="7">
        <v>2933.28</v>
      </c>
      <c r="H28" s="8">
        <f t="shared" ref="H28:J28" si="37">AVERAGE(E28:G28)</f>
        <v>2902.466667</v>
      </c>
      <c r="I28" s="8">
        <f t="shared" si="37"/>
        <v>2895.875556</v>
      </c>
      <c r="J28" s="8">
        <f t="shared" si="37"/>
        <v>2910.540741</v>
      </c>
      <c r="M28" s="1" t="s">
        <v>14</v>
      </c>
      <c r="N28" s="8">
        <f t="shared" ref="N28:P28" si="38">G16</f>
        <v>1122.47</v>
      </c>
      <c r="O28" s="8">
        <f t="shared" si="38"/>
        <v>924.685</v>
      </c>
      <c r="P28" s="8">
        <f t="shared" si="38"/>
        <v>1023.5775</v>
      </c>
    </row>
    <row r="29">
      <c r="D29" s="1" t="s">
        <v>36</v>
      </c>
      <c r="E29" s="7">
        <v>35.56</v>
      </c>
      <c r="F29" s="7">
        <v>170.72</v>
      </c>
      <c r="G29" s="7">
        <v>237.81</v>
      </c>
      <c r="H29" s="8">
        <f t="shared" ref="H29:J29" si="39">AVERAGE(E29:G29)</f>
        <v>148.03</v>
      </c>
      <c r="I29" s="8">
        <f t="shared" si="39"/>
        <v>185.52</v>
      </c>
      <c r="J29" s="8">
        <f t="shared" si="39"/>
        <v>190.4533333</v>
      </c>
      <c r="M29" s="1" t="s">
        <v>37</v>
      </c>
      <c r="N29" s="8">
        <f>H27-G27</f>
        <v>3147.24</v>
      </c>
      <c r="O29" s="8">
        <f t="shared" ref="O29:P29" si="40">IF(H27-G27&gt;0,H27-G27,0)</f>
        <v>3147.24</v>
      </c>
      <c r="P29" s="8">
        <f t="shared" si="40"/>
        <v>5252.59</v>
      </c>
    </row>
    <row r="30">
      <c r="D30" s="1" t="s">
        <v>38</v>
      </c>
      <c r="E30" s="7">
        <v>1560.17</v>
      </c>
      <c r="F30" s="7">
        <v>1850.17</v>
      </c>
      <c r="G30" s="7">
        <v>1963.47</v>
      </c>
      <c r="H30" s="8">
        <f t="shared" ref="H30:J30" si="41">G30*(1+P40)</f>
        <v>2173.999454</v>
      </c>
      <c r="I30" s="8">
        <f t="shared" si="41"/>
        <v>2407.102542</v>
      </c>
      <c r="J30" s="8">
        <f t="shared" si="41"/>
        <v>2665.199678</v>
      </c>
      <c r="M30" s="1" t="s">
        <v>39</v>
      </c>
      <c r="N30" s="8">
        <f t="shared" ref="N30:P30" si="42">G26-F26</f>
        <v>3228.64</v>
      </c>
      <c r="O30" s="8">
        <f t="shared" si="42"/>
        <v>5252.59</v>
      </c>
      <c r="P30" s="8">
        <f t="shared" si="42"/>
        <v>7475.145</v>
      </c>
    </row>
    <row r="31">
      <c r="D31" s="1" t="s">
        <v>40</v>
      </c>
      <c r="E31" s="7">
        <v>50.0</v>
      </c>
      <c r="F31" s="7">
        <v>50.0</v>
      </c>
      <c r="G31" s="7">
        <v>50.0</v>
      </c>
      <c r="H31" s="8">
        <f t="shared" ref="H31:J31" si="43">G31</f>
        <v>50</v>
      </c>
      <c r="I31" s="8">
        <f t="shared" si="43"/>
        <v>50</v>
      </c>
      <c r="J31" s="8">
        <f t="shared" si="43"/>
        <v>50</v>
      </c>
      <c r="M31" s="2" t="s">
        <v>41</v>
      </c>
      <c r="N31" s="15">
        <f t="shared" ref="N31:P31" si="44">N27-N28+N29+N30</f>
        <v>13419.41</v>
      </c>
      <c r="O31" s="15">
        <f t="shared" si="44"/>
        <v>20894.555</v>
      </c>
      <c r="P31" s="15">
        <f t="shared" si="44"/>
        <v>32598.7125</v>
      </c>
      <c r="Q31" s="6"/>
    </row>
    <row r="32">
      <c r="D32" s="2" t="s">
        <v>42</v>
      </c>
      <c r="E32" s="15">
        <f t="shared" ref="E32:J32" si="45">sum(E26:E31)</f>
        <v>8547.11</v>
      </c>
      <c r="F32" s="15">
        <f t="shared" si="45"/>
        <v>11934.35</v>
      </c>
      <c r="G32" s="15">
        <f t="shared" si="45"/>
        <v>13351.75</v>
      </c>
      <c r="H32" s="15">
        <f t="shared" si="45"/>
        <v>21841.51612</v>
      </c>
      <c r="I32" s="15">
        <f t="shared" si="45"/>
        <v>34833.2531</v>
      </c>
      <c r="J32" s="15">
        <f t="shared" si="45"/>
        <v>54290.25125</v>
      </c>
    </row>
    <row r="33">
      <c r="D33" s="1" t="s">
        <v>43</v>
      </c>
      <c r="E33" s="7">
        <v>3152.83</v>
      </c>
      <c r="F33" s="7">
        <v>3880.86</v>
      </c>
      <c r="G33" s="7">
        <v>4122.46</v>
      </c>
      <c r="H33" s="8">
        <f t="shared" ref="H33:J33" si="46">G33*(1+P40)</f>
        <v>4564.483181</v>
      </c>
      <c r="I33" s="8">
        <f t="shared" si="46"/>
        <v>5053.901482</v>
      </c>
      <c r="J33" s="8">
        <f t="shared" si="46"/>
        <v>5595.79676</v>
      </c>
      <c r="M33" s="2" t="s">
        <v>44</v>
      </c>
    </row>
    <row r="34">
      <c r="D34" s="1" t="s">
        <v>45</v>
      </c>
      <c r="E34" s="7">
        <v>4521.85</v>
      </c>
      <c r="F34" s="7">
        <v>4896.04</v>
      </c>
      <c r="G34" s="7">
        <v>5540.17</v>
      </c>
      <c r="H34" s="8">
        <f t="shared" ref="H34:J34" si="47">G34*(1+P6)</f>
        <v>7583.956867</v>
      </c>
      <c r="I34" s="8">
        <f t="shared" si="47"/>
        <v>10381.70341</v>
      </c>
      <c r="J34" s="8">
        <f t="shared" si="47"/>
        <v>14211.54781</v>
      </c>
      <c r="M34" s="18" t="s">
        <v>46</v>
      </c>
      <c r="N34" s="19">
        <f>G27</f>
        <v>0.37</v>
      </c>
      <c r="O34" s="19">
        <f t="shared" ref="O34:P34" si="48">N37</f>
        <v>3147.61</v>
      </c>
      <c r="P34" s="19">
        <f t="shared" si="48"/>
        <v>8400.2</v>
      </c>
      <c r="Q34" s="20"/>
    </row>
    <row r="35">
      <c r="D35" s="1" t="s">
        <v>47</v>
      </c>
      <c r="E35" s="7">
        <v>17.97</v>
      </c>
      <c r="F35" s="7">
        <v>551.0</v>
      </c>
      <c r="G35" s="7">
        <v>282.07</v>
      </c>
      <c r="H35" s="8">
        <f t="shared" ref="H35:J35" si="49">average(F35:G35)</f>
        <v>416.535</v>
      </c>
      <c r="I35" s="8">
        <f t="shared" si="49"/>
        <v>349.3025</v>
      </c>
      <c r="J35" s="8">
        <f t="shared" si="49"/>
        <v>382.91875</v>
      </c>
      <c r="M35" s="18" t="s">
        <v>39</v>
      </c>
      <c r="N35" s="21">
        <f t="shared" ref="N35:P35" si="50">G26-F26</f>
        <v>3228.64</v>
      </c>
      <c r="O35" s="21">
        <f t="shared" si="50"/>
        <v>5252.59</v>
      </c>
      <c r="P35" s="21">
        <f t="shared" si="50"/>
        <v>7475.145</v>
      </c>
      <c r="Q35" s="22"/>
    </row>
    <row r="36">
      <c r="D36" s="1" t="s">
        <v>48</v>
      </c>
      <c r="E36" s="7">
        <v>365.39</v>
      </c>
      <c r="F36" s="7">
        <v>220.78</v>
      </c>
      <c r="G36" s="7">
        <v>266.4</v>
      </c>
      <c r="H36" s="8">
        <f t="shared" ref="H36:J36" si="51">average(E36:G36)</f>
        <v>284.19</v>
      </c>
      <c r="I36" s="8">
        <f t="shared" si="51"/>
        <v>257.1233333</v>
      </c>
      <c r="J36" s="8">
        <f t="shared" si="51"/>
        <v>269.2377778</v>
      </c>
      <c r="M36" s="18" t="s">
        <v>49</v>
      </c>
      <c r="N36" s="21">
        <f t="shared" ref="N36:P36" si="52">IF(G28-F28&gt;0,G28-F28,0)</f>
        <v>81.4</v>
      </c>
      <c r="O36" s="22">
        <f t="shared" si="52"/>
        <v>0</v>
      </c>
      <c r="P36" s="22">
        <f t="shared" si="52"/>
        <v>0</v>
      </c>
      <c r="Q36" s="22"/>
    </row>
    <row r="37">
      <c r="D37" s="1" t="s">
        <v>50</v>
      </c>
      <c r="E37" s="7">
        <v>1998.54</v>
      </c>
      <c r="F37" s="7">
        <v>2677.63</v>
      </c>
      <c r="G37" s="7">
        <v>2488.96</v>
      </c>
      <c r="H37" s="8">
        <f t="shared" ref="H37:J37" si="53">AVERAGE(E37:G37)</f>
        <v>2388.376667</v>
      </c>
      <c r="I37" s="8">
        <f t="shared" si="53"/>
        <v>2518.322222</v>
      </c>
      <c r="J37" s="8">
        <f t="shared" si="53"/>
        <v>2465.21963</v>
      </c>
      <c r="M37" s="4" t="s">
        <v>51</v>
      </c>
      <c r="N37" s="23">
        <f t="shared" ref="N37:P37" si="54">N34+N35-N36</f>
        <v>3147.61</v>
      </c>
      <c r="O37" s="23">
        <f t="shared" si="54"/>
        <v>8400.2</v>
      </c>
      <c r="P37" s="23">
        <f t="shared" si="54"/>
        <v>15875.345</v>
      </c>
      <c r="Q37" s="24"/>
    </row>
    <row r="38">
      <c r="D38" s="1" t="s">
        <v>52</v>
      </c>
      <c r="E38" s="7">
        <v>1525.25</v>
      </c>
      <c r="F38" s="7">
        <v>2299.7</v>
      </c>
      <c r="G38" s="7">
        <v>1981.48</v>
      </c>
      <c r="H38" s="16">
        <f t="shared" ref="H38:J38" si="55">H92</f>
        <v>310.1519975</v>
      </c>
      <c r="I38" s="16">
        <f t="shared" si="55"/>
        <v>1215.214096</v>
      </c>
      <c r="J38" s="16">
        <f t="shared" si="55"/>
        <v>-1430.689323</v>
      </c>
      <c r="M38" s="25"/>
      <c r="N38" s="22"/>
      <c r="O38" s="22"/>
      <c r="P38" s="22"/>
      <c r="Q38" s="22"/>
    </row>
    <row r="39">
      <c r="D39" s="1" t="s">
        <v>53</v>
      </c>
      <c r="E39" s="7">
        <v>939.05</v>
      </c>
      <c r="F39" s="7">
        <v>507.27</v>
      </c>
      <c r="G39" s="7">
        <v>664.22</v>
      </c>
      <c r="H39" s="26">
        <v>0.0</v>
      </c>
      <c r="I39" s="26">
        <v>0.0</v>
      </c>
      <c r="J39" s="26">
        <v>0.0</v>
      </c>
      <c r="N39" s="2">
        <v>2023.0</v>
      </c>
      <c r="O39" s="2">
        <v>2024.0</v>
      </c>
      <c r="P39" s="2">
        <v>2025.0</v>
      </c>
      <c r="Q39" s="6">
        <f t="shared" ref="Q39:R39" si="56">P39+1</f>
        <v>2026</v>
      </c>
      <c r="R39" s="6">
        <f t="shared" si="56"/>
        <v>2027</v>
      </c>
    </row>
    <row r="40">
      <c r="D40" s="2" t="s">
        <v>54</v>
      </c>
      <c r="E40" s="15">
        <f t="shared" ref="E40:J40" si="57">sum(E26:E39)</f>
        <v>29615.1</v>
      </c>
      <c r="F40" s="15">
        <f t="shared" si="57"/>
        <v>38901.98</v>
      </c>
      <c r="G40" s="15">
        <f t="shared" si="57"/>
        <v>42049.26</v>
      </c>
      <c r="H40" s="15">
        <f t="shared" si="57"/>
        <v>59230.72595</v>
      </c>
      <c r="I40" s="15">
        <f t="shared" si="57"/>
        <v>89442.07324</v>
      </c>
      <c r="J40" s="15">
        <f t="shared" si="57"/>
        <v>130074.5339</v>
      </c>
      <c r="M40" s="1" t="s">
        <v>38</v>
      </c>
      <c r="N40" s="9">
        <f t="shared" ref="N40:O40" si="58">1-(E30/F30)</f>
        <v>0.1567423534</v>
      </c>
      <c r="O40" s="9">
        <f t="shared" si="58"/>
        <v>0.05770396288</v>
      </c>
      <c r="P40" s="9">
        <f>average(N40:O40)</f>
        <v>0.1072231581</v>
      </c>
      <c r="Q40" s="9">
        <f t="shared" ref="Q40:R40" si="59">P40</f>
        <v>0.1072231581</v>
      </c>
      <c r="R40" s="9">
        <f t="shared" si="59"/>
        <v>0.1072231581</v>
      </c>
    </row>
    <row r="41">
      <c r="D41" s="2" t="s">
        <v>55</v>
      </c>
      <c r="E41" s="15">
        <f t="shared" ref="E41:J41" si="60">E32+E40</f>
        <v>38162.21</v>
      </c>
      <c r="F41" s="15">
        <f t="shared" si="60"/>
        <v>50836.33</v>
      </c>
      <c r="G41" s="15">
        <f t="shared" si="60"/>
        <v>55401.01</v>
      </c>
      <c r="H41" s="15">
        <f t="shared" si="60"/>
        <v>81072.24207</v>
      </c>
      <c r="I41" s="15">
        <f t="shared" si="60"/>
        <v>124275.3263</v>
      </c>
      <c r="J41" s="15">
        <f t="shared" si="60"/>
        <v>184364.7852</v>
      </c>
      <c r="M41" s="1" t="s">
        <v>56</v>
      </c>
      <c r="N41" s="27">
        <v>0.11</v>
      </c>
      <c r="O41" s="27">
        <v>0.11</v>
      </c>
      <c r="P41" s="27">
        <v>0.11</v>
      </c>
      <c r="Q41" s="27">
        <v>0.11</v>
      </c>
      <c r="R41" s="27">
        <v>0.11</v>
      </c>
    </row>
    <row r="42">
      <c r="E42" s="8"/>
      <c r="F42" s="8"/>
      <c r="G42" s="8"/>
      <c r="H42" s="8"/>
      <c r="I42" s="8"/>
      <c r="J42" s="8"/>
      <c r="M42" s="1" t="s">
        <v>57</v>
      </c>
      <c r="N42" s="8">
        <f t="shared" ref="N42:R42" si="61">F7*5%</f>
        <v>21.3465</v>
      </c>
      <c r="O42" s="8">
        <f t="shared" si="61"/>
        <v>23.2355</v>
      </c>
      <c r="P42" s="8">
        <f t="shared" si="61"/>
        <v>21.82933333</v>
      </c>
      <c r="Q42" s="8">
        <f t="shared" si="61"/>
        <v>22.13711111</v>
      </c>
      <c r="R42" s="8">
        <f t="shared" si="61"/>
        <v>22.40064815</v>
      </c>
    </row>
    <row r="43">
      <c r="D43" s="1" t="s">
        <v>58</v>
      </c>
      <c r="E43" s="7">
        <v>314.08</v>
      </c>
      <c r="F43" s="7">
        <v>314.08</v>
      </c>
      <c r="G43" s="1">
        <v>628.15</v>
      </c>
      <c r="H43" s="8">
        <f t="shared" ref="H43:J43" si="62">G43</f>
        <v>628.15</v>
      </c>
      <c r="I43" s="8">
        <f t="shared" si="62"/>
        <v>628.15</v>
      </c>
      <c r="J43" s="8">
        <f t="shared" si="62"/>
        <v>628.15</v>
      </c>
      <c r="M43" s="1" t="s">
        <v>59</v>
      </c>
      <c r="N43" s="8">
        <f t="shared" ref="N43:R43" si="63">F35*10%</f>
        <v>55.1</v>
      </c>
      <c r="O43" s="8">
        <f t="shared" si="63"/>
        <v>28.207</v>
      </c>
      <c r="P43" s="8">
        <f t="shared" si="63"/>
        <v>41.6535</v>
      </c>
      <c r="Q43" s="8">
        <f t="shared" si="63"/>
        <v>34.93025</v>
      </c>
      <c r="R43" s="8">
        <f t="shared" si="63"/>
        <v>38.291875</v>
      </c>
    </row>
    <row r="44">
      <c r="D44" s="1" t="s">
        <v>60</v>
      </c>
      <c r="E44" s="7">
        <f t="shared" ref="E44:J44" si="64">E60</f>
        <v>31624.01</v>
      </c>
      <c r="F44" s="7">
        <f t="shared" si="64"/>
        <v>41165.21</v>
      </c>
      <c r="G44" s="7">
        <f t="shared" si="64"/>
        <v>48584.73</v>
      </c>
      <c r="H44" s="7">
        <f t="shared" si="64"/>
        <v>71796.42498</v>
      </c>
      <c r="I44" s="7">
        <f t="shared" si="64"/>
        <v>115874.6608</v>
      </c>
      <c r="J44" s="7">
        <f t="shared" si="64"/>
        <v>175050.1601</v>
      </c>
    </row>
    <row r="45">
      <c r="D45" s="2" t="s">
        <v>61</v>
      </c>
      <c r="E45" s="15">
        <f t="shared" ref="E45:J45" si="65">SUM(E43:E44)</f>
        <v>31938.09</v>
      </c>
      <c r="F45" s="15">
        <f t="shared" si="65"/>
        <v>41479.29</v>
      </c>
      <c r="G45" s="15">
        <f t="shared" si="65"/>
        <v>49212.88</v>
      </c>
      <c r="H45" s="15">
        <f t="shared" si="65"/>
        <v>72424.57498</v>
      </c>
      <c r="I45" s="15">
        <f t="shared" si="65"/>
        <v>116502.8108</v>
      </c>
      <c r="J45" s="15">
        <f t="shared" si="65"/>
        <v>175678.3101</v>
      </c>
    </row>
    <row r="46">
      <c r="D46" s="1" t="s">
        <v>62</v>
      </c>
      <c r="E46" s="7">
        <v>32.57</v>
      </c>
      <c r="F46" s="7">
        <v>154.75</v>
      </c>
      <c r="G46" s="1">
        <v>151.6</v>
      </c>
      <c r="H46" s="8">
        <f t="shared" ref="H46:J46" si="66">average(F46:G46)</f>
        <v>153.175</v>
      </c>
      <c r="I46" s="8">
        <f t="shared" si="66"/>
        <v>152.3875</v>
      </c>
      <c r="J46" s="8">
        <f t="shared" si="66"/>
        <v>152.78125</v>
      </c>
    </row>
    <row r="47">
      <c r="D47" s="1" t="s">
        <v>63</v>
      </c>
      <c r="E47" s="7">
        <v>1567.79</v>
      </c>
      <c r="F47" s="7">
        <v>1222.81</v>
      </c>
      <c r="G47" s="17">
        <v>1249.84</v>
      </c>
      <c r="H47" s="8">
        <f t="shared" ref="H47:J47" si="67">AVERAGE(F47:G47)</f>
        <v>1236.325</v>
      </c>
      <c r="I47" s="8">
        <f t="shared" si="67"/>
        <v>1243.0825</v>
      </c>
      <c r="J47" s="8">
        <f t="shared" si="67"/>
        <v>1239.70375</v>
      </c>
    </row>
    <row r="48">
      <c r="D48" s="1" t="s">
        <v>64</v>
      </c>
      <c r="E48" s="7">
        <v>83.86</v>
      </c>
      <c r="F48" s="7">
        <v>4.9</v>
      </c>
      <c r="G48" s="1">
        <v>74.5</v>
      </c>
      <c r="H48" s="8">
        <f t="shared" ref="H48:J48" si="68">average(E48:G48)</f>
        <v>54.42</v>
      </c>
      <c r="I48" s="8">
        <f t="shared" si="68"/>
        <v>44.60666667</v>
      </c>
      <c r="J48" s="8">
        <f t="shared" si="68"/>
        <v>57.84222222</v>
      </c>
    </row>
    <row r="49">
      <c r="D49" s="2" t="s">
        <v>65</v>
      </c>
      <c r="E49" s="15">
        <f t="shared" ref="E49:J49" si="69">sum(E46:E48)</f>
        <v>1684.22</v>
      </c>
      <c r="F49" s="15">
        <f t="shared" si="69"/>
        <v>1382.46</v>
      </c>
      <c r="G49" s="15">
        <f t="shared" si="69"/>
        <v>1475.94</v>
      </c>
      <c r="H49" s="15">
        <f t="shared" si="69"/>
        <v>1443.92</v>
      </c>
      <c r="I49" s="15">
        <f t="shared" si="69"/>
        <v>1440.076667</v>
      </c>
      <c r="J49" s="15">
        <f t="shared" si="69"/>
        <v>1450.327222</v>
      </c>
    </row>
    <row r="50">
      <c r="D50" s="1" t="s">
        <v>66</v>
      </c>
      <c r="E50" s="7">
        <v>1394.78</v>
      </c>
      <c r="F50" s="7">
        <v>3644.35</v>
      </c>
      <c r="G50" s="17">
        <v>2895.97</v>
      </c>
      <c r="H50" s="28">
        <f t="shared" ref="H50:J50" si="70">AVERAGE(E50:G50)</f>
        <v>2645.033333</v>
      </c>
      <c r="I50" s="28">
        <f t="shared" si="70"/>
        <v>3061.784444</v>
      </c>
      <c r="J50" s="28">
        <f t="shared" si="70"/>
        <v>2867.595926</v>
      </c>
    </row>
    <row r="51">
      <c r="D51" s="1" t="s">
        <v>67</v>
      </c>
      <c r="E51" s="7">
        <v>66.23</v>
      </c>
      <c r="F51" s="7">
        <v>259.84</v>
      </c>
      <c r="G51" s="1">
        <v>205.87</v>
      </c>
      <c r="H51" s="8">
        <f t="shared" ref="H51:J51" si="71">AVERAGE(E51:G51)</f>
        <v>177.3133333</v>
      </c>
      <c r="I51" s="8">
        <f t="shared" si="71"/>
        <v>214.3411111</v>
      </c>
      <c r="J51" s="8">
        <f t="shared" si="71"/>
        <v>199.1748148</v>
      </c>
    </row>
    <row r="52">
      <c r="D52" s="1" t="s">
        <v>68</v>
      </c>
      <c r="E52" s="7">
        <v>1448.05</v>
      </c>
      <c r="F52" s="7">
        <v>1846.74</v>
      </c>
      <c r="G52" s="17">
        <v>1598.68</v>
      </c>
      <c r="H52" s="8">
        <f t="shared" ref="H52:J52" si="72">G52*(1+N6)</f>
        <v>2146.180424</v>
      </c>
      <c r="I52" s="8">
        <f t="shared" si="72"/>
        <v>2994.643346</v>
      </c>
      <c r="J52" s="8">
        <f t="shared" si="72"/>
        <v>4099.377089</v>
      </c>
    </row>
    <row r="53">
      <c r="D53" s="1" t="s">
        <v>69</v>
      </c>
      <c r="E53" s="7">
        <v>151.02</v>
      </c>
      <c r="F53" s="7">
        <v>127.88</v>
      </c>
      <c r="G53" s="1">
        <v>0.0</v>
      </c>
      <c r="H53" s="8">
        <f t="shared" ref="H53:J53" si="73">if(average(E53:F53)&gt;130,average(E53:F53),50)</f>
        <v>139.45</v>
      </c>
      <c r="I53" s="8">
        <f t="shared" si="73"/>
        <v>50</v>
      </c>
      <c r="J53" s="8">
        <f t="shared" si="73"/>
        <v>50</v>
      </c>
    </row>
    <row r="54">
      <c r="D54" s="1" t="s">
        <v>70</v>
      </c>
      <c r="E54" s="7">
        <v>1479.82</v>
      </c>
      <c r="F54" s="7">
        <v>2095.77</v>
      </c>
      <c r="G54" s="1">
        <v>11.67</v>
      </c>
      <c r="H54" s="8">
        <f t="shared" ref="H54:J54" si="74">if(average(E54:G54)&gt;1000,F54,20)</f>
        <v>2095.77</v>
      </c>
      <c r="I54" s="8">
        <f t="shared" si="74"/>
        <v>11.67</v>
      </c>
      <c r="J54" s="8">
        <f t="shared" si="74"/>
        <v>20</v>
      </c>
    </row>
    <row r="55">
      <c r="D55" s="2" t="s">
        <v>71</v>
      </c>
      <c r="E55" s="15">
        <f t="shared" ref="E55:J55" si="75">sum(E50:E54)</f>
        <v>4539.9</v>
      </c>
      <c r="F55" s="15">
        <f t="shared" si="75"/>
        <v>7974.58</v>
      </c>
      <c r="G55" s="15">
        <f t="shared" si="75"/>
        <v>4712.19</v>
      </c>
      <c r="H55" s="15">
        <f t="shared" si="75"/>
        <v>7203.74709</v>
      </c>
      <c r="I55" s="15">
        <f t="shared" si="75"/>
        <v>6332.438902</v>
      </c>
      <c r="J55" s="15">
        <f t="shared" si="75"/>
        <v>7236.14783</v>
      </c>
    </row>
    <row r="56">
      <c r="D56" s="2" t="s">
        <v>72</v>
      </c>
      <c r="E56" s="15">
        <f t="shared" ref="E56:J56" si="76">E45+E49+E55</f>
        <v>38162.21</v>
      </c>
      <c r="F56" s="15">
        <f t="shared" si="76"/>
        <v>50836.33</v>
      </c>
      <c r="G56" s="15">
        <f t="shared" si="76"/>
        <v>55401.01</v>
      </c>
      <c r="H56" s="15">
        <f t="shared" si="76"/>
        <v>81072.24207</v>
      </c>
      <c r="I56" s="15">
        <f t="shared" si="76"/>
        <v>124275.3263</v>
      </c>
      <c r="J56" s="15">
        <f t="shared" si="76"/>
        <v>184364.7852</v>
      </c>
    </row>
    <row r="58">
      <c r="D58" s="2" t="s">
        <v>55</v>
      </c>
      <c r="E58" s="15">
        <f t="shared" ref="E58:J58" si="77">E41</f>
        <v>38162.21</v>
      </c>
      <c r="F58" s="15">
        <f t="shared" si="77"/>
        <v>50836.33</v>
      </c>
      <c r="G58" s="15">
        <f t="shared" si="77"/>
        <v>55401.01</v>
      </c>
      <c r="H58" s="15">
        <f t="shared" si="77"/>
        <v>81072.24207</v>
      </c>
      <c r="I58" s="15">
        <f t="shared" si="77"/>
        <v>124275.3263</v>
      </c>
      <c r="J58" s="15">
        <f t="shared" si="77"/>
        <v>184364.7852</v>
      </c>
    </row>
    <row r="59">
      <c r="D59" s="2" t="s">
        <v>72</v>
      </c>
      <c r="E59" s="15">
        <f t="shared" ref="E59:J59" si="78">E56</f>
        <v>38162.21</v>
      </c>
      <c r="F59" s="15">
        <f t="shared" si="78"/>
        <v>50836.33</v>
      </c>
      <c r="G59" s="15">
        <f t="shared" si="78"/>
        <v>55401.01</v>
      </c>
      <c r="H59" s="15">
        <f t="shared" si="78"/>
        <v>81072.24207</v>
      </c>
      <c r="I59" s="15">
        <f t="shared" si="78"/>
        <v>124275.3263</v>
      </c>
      <c r="J59" s="15">
        <f t="shared" si="78"/>
        <v>184364.7852</v>
      </c>
    </row>
    <row r="60">
      <c r="D60" s="29" t="s">
        <v>73</v>
      </c>
      <c r="E60" s="30">
        <f t="shared" ref="E60:J60" si="79">E58-E59</f>
        <v>-0.00000001109583536</v>
      </c>
      <c r="F60" s="30">
        <f t="shared" si="79"/>
        <v>0</v>
      </c>
      <c r="G60" s="30">
        <f t="shared" si="79"/>
        <v>-0.000000009822542779</v>
      </c>
      <c r="H60" s="30">
        <f t="shared" si="79"/>
        <v>0</v>
      </c>
      <c r="I60" s="30">
        <f t="shared" si="79"/>
        <v>0.000000003637978807</v>
      </c>
      <c r="J60" s="30">
        <f t="shared" si="79"/>
        <v>0</v>
      </c>
    </row>
    <row r="62">
      <c r="D62" s="2" t="s">
        <v>74</v>
      </c>
    </row>
    <row r="63">
      <c r="H63" s="3" t="s">
        <v>2</v>
      </c>
    </row>
    <row r="64">
      <c r="D64" s="2" t="s">
        <v>3</v>
      </c>
      <c r="E64" s="5">
        <v>2022.0</v>
      </c>
      <c r="F64" s="5">
        <v>2023.0</v>
      </c>
      <c r="G64" s="2">
        <f t="shared" ref="G64:J64" si="80">F64+1</f>
        <v>2024</v>
      </c>
      <c r="H64" s="2">
        <f t="shared" si="80"/>
        <v>2025</v>
      </c>
      <c r="I64" s="2">
        <f t="shared" si="80"/>
        <v>2026</v>
      </c>
      <c r="J64" s="2">
        <f t="shared" si="80"/>
        <v>2027</v>
      </c>
    </row>
    <row r="65">
      <c r="D65" s="1" t="s">
        <v>28</v>
      </c>
      <c r="E65" s="8"/>
      <c r="F65" s="8">
        <f t="shared" ref="F65:J65" si="81">F20</f>
        <v>3818.02</v>
      </c>
      <c r="G65" s="8">
        <f t="shared" si="81"/>
        <v>3608.88</v>
      </c>
      <c r="H65" s="8">
        <f t="shared" si="81"/>
        <v>7888.416653</v>
      </c>
      <c r="I65" s="8">
        <f t="shared" si="81"/>
        <v>13797.37337</v>
      </c>
      <c r="J65" s="8">
        <f t="shared" si="81"/>
        <v>22173.54834</v>
      </c>
    </row>
    <row r="66">
      <c r="D66" s="1" t="s">
        <v>75</v>
      </c>
      <c r="E66" s="8"/>
      <c r="F66" s="8">
        <f t="shared" ref="F66:J66" si="82">F16</f>
        <v>726.9</v>
      </c>
      <c r="G66" s="8">
        <f t="shared" si="82"/>
        <v>1122.47</v>
      </c>
      <c r="H66" s="8">
        <f t="shared" si="82"/>
        <v>924.685</v>
      </c>
      <c r="I66" s="8">
        <f t="shared" si="82"/>
        <v>1023.5775</v>
      </c>
      <c r="J66" s="8">
        <f t="shared" si="82"/>
        <v>974.13125</v>
      </c>
    </row>
    <row r="67">
      <c r="D67" s="1" t="s">
        <v>56</v>
      </c>
      <c r="E67" s="8"/>
      <c r="F67" s="8">
        <f t="shared" ref="F67:J67" si="83">F47*N41</f>
        <v>134.5091</v>
      </c>
      <c r="G67" s="8">
        <f t="shared" si="83"/>
        <v>137.4824</v>
      </c>
      <c r="H67" s="8">
        <f t="shared" si="83"/>
        <v>135.99575</v>
      </c>
      <c r="I67" s="8">
        <f t="shared" si="83"/>
        <v>136.739075</v>
      </c>
      <c r="J67" s="8">
        <f t="shared" si="83"/>
        <v>136.3674125</v>
      </c>
    </row>
    <row r="68">
      <c r="D68" s="1" t="s">
        <v>57</v>
      </c>
      <c r="E68" s="8"/>
      <c r="F68" s="8">
        <f t="shared" ref="F68:J68" si="84">if(N42&gt;0,-N42,+N42)</f>
        <v>-21.3465</v>
      </c>
      <c r="G68" s="8">
        <f t="shared" si="84"/>
        <v>-23.2355</v>
      </c>
      <c r="H68" s="8">
        <f t="shared" si="84"/>
        <v>-21.82933333</v>
      </c>
      <c r="I68" s="8">
        <f t="shared" si="84"/>
        <v>-22.13711111</v>
      </c>
      <c r="J68" s="8">
        <f t="shared" si="84"/>
        <v>-22.40064815</v>
      </c>
    </row>
    <row r="69">
      <c r="D69" s="1" t="s">
        <v>76</v>
      </c>
      <c r="E69" s="8"/>
      <c r="F69" s="8">
        <f t="shared" ref="F69:J69" si="85">if(N43&gt;0,-N43,N43)</f>
        <v>-55.1</v>
      </c>
      <c r="G69" s="8">
        <f t="shared" si="85"/>
        <v>-28.207</v>
      </c>
      <c r="H69" s="8">
        <f t="shared" si="85"/>
        <v>-41.6535</v>
      </c>
      <c r="I69" s="8">
        <f t="shared" si="85"/>
        <v>-34.93025</v>
      </c>
      <c r="J69" s="8">
        <f t="shared" si="85"/>
        <v>-38.291875</v>
      </c>
    </row>
    <row r="70">
      <c r="D70" s="2" t="s">
        <v>77</v>
      </c>
      <c r="E70" s="8"/>
      <c r="F70" s="15">
        <f t="shared" ref="F70:J70" si="86">sum(F65:F69)</f>
        <v>4602.9826</v>
      </c>
      <c r="G70" s="15">
        <f t="shared" si="86"/>
        <v>4817.3899</v>
      </c>
      <c r="H70" s="15">
        <f t="shared" si="86"/>
        <v>8885.61457</v>
      </c>
      <c r="I70" s="15">
        <f t="shared" si="86"/>
        <v>14900.62258</v>
      </c>
      <c r="J70" s="15">
        <f t="shared" si="86"/>
        <v>23223.35448</v>
      </c>
    </row>
    <row r="71">
      <c r="D71" s="1" t="s">
        <v>43</v>
      </c>
      <c r="E71" s="8"/>
      <c r="F71" s="8">
        <f t="shared" ref="F71:J71" si="87">if(F33-E33&gt;0,-(F33-E33),F33-E33)</f>
        <v>-728.03</v>
      </c>
      <c r="G71" s="8">
        <f t="shared" si="87"/>
        <v>-241.6</v>
      </c>
      <c r="H71" s="8">
        <f t="shared" si="87"/>
        <v>-442.0231805</v>
      </c>
      <c r="I71" s="8">
        <f t="shared" si="87"/>
        <v>-489.4183019</v>
      </c>
      <c r="J71" s="8">
        <f t="shared" si="87"/>
        <v>-541.8952779</v>
      </c>
    </row>
    <row r="72">
      <c r="D72" s="1" t="s">
        <v>45</v>
      </c>
      <c r="E72" s="8"/>
      <c r="F72" s="8">
        <f t="shared" ref="F72:J72" si="88">if(F34-E34&gt;0,-(F34-E34),F34-E34)</f>
        <v>-374.19</v>
      </c>
      <c r="G72" s="8">
        <f t="shared" si="88"/>
        <v>-644.13</v>
      </c>
      <c r="H72" s="8">
        <f t="shared" si="88"/>
        <v>-2043.786867</v>
      </c>
      <c r="I72" s="8">
        <f t="shared" si="88"/>
        <v>-2797.74654</v>
      </c>
      <c r="J72" s="8">
        <f t="shared" si="88"/>
        <v>-3829.844406</v>
      </c>
    </row>
    <row r="73">
      <c r="D73" s="1" t="s">
        <v>47</v>
      </c>
      <c r="E73" s="8"/>
      <c r="F73" s="8">
        <f t="shared" ref="F73:J73" si="89">if(F35-E35&gt;0,-(F35-E35),F35-E35)</f>
        <v>-533.03</v>
      </c>
      <c r="G73" s="8">
        <f t="shared" si="89"/>
        <v>-268.93</v>
      </c>
      <c r="H73" s="8">
        <f t="shared" si="89"/>
        <v>-134.465</v>
      </c>
      <c r="I73" s="8">
        <f t="shared" si="89"/>
        <v>-67.2325</v>
      </c>
      <c r="J73" s="8">
        <f t="shared" si="89"/>
        <v>-33.61625</v>
      </c>
    </row>
    <row r="74">
      <c r="D74" s="1" t="s">
        <v>48</v>
      </c>
      <c r="E74" s="8"/>
      <c r="F74" s="8">
        <f t="shared" ref="F74:J74" si="90">if(F36-E36&gt;0,-(F36-E36),F36-E36)</f>
        <v>-144.61</v>
      </c>
      <c r="G74" s="8">
        <f t="shared" si="90"/>
        <v>-45.62</v>
      </c>
      <c r="H74" s="8">
        <f t="shared" si="90"/>
        <v>-17.79</v>
      </c>
      <c r="I74" s="8">
        <f t="shared" si="90"/>
        <v>-27.06666667</v>
      </c>
      <c r="J74" s="8">
        <f t="shared" si="90"/>
        <v>-12.11444444</v>
      </c>
    </row>
    <row r="75">
      <c r="D75" s="1" t="s">
        <v>50</v>
      </c>
      <c r="E75" s="8"/>
      <c r="F75" s="8">
        <f t="shared" ref="F75:J75" si="91">if(F37-E37&gt;0,-(F37-E37),F37-E37)</f>
        <v>-679.09</v>
      </c>
      <c r="G75" s="8">
        <f t="shared" si="91"/>
        <v>-188.67</v>
      </c>
      <c r="H75" s="8">
        <f t="shared" si="91"/>
        <v>-100.5833333</v>
      </c>
      <c r="I75" s="8">
        <f t="shared" si="91"/>
        <v>-129.9455556</v>
      </c>
      <c r="J75" s="8">
        <f t="shared" si="91"/>
        <v>-53.10259259</v>
      </c>
    </row>
    <row r="76">
      <c r="D76" s="1" t="s">
        <v>66</v>
      </c>
      <c r="E76" s="8"/>
      <c r="F76" s="8">
        <f t="shared" ref="F76:J76" si="92">if(F50-E50&gt;0,F50-E50,E50-F50)</f>
        <v>2249.57</v>
      </c>
      <c r="G76" s="8">
        <f t="shared" si="92"/>
        <v>748.38</v>
      </c>
      <c r="H76" s="8">
        <f t="shared" si="92"/>
        <v>250.9366667</v>
      </c>
      <c r="I76" s="8">
        <f t="shared" si="92"/>
        <v>416.7511111</v>
      </c>
      <c r="J76" s="8">
        <f t="shared" si="92"/>
        <v>194.1885185</v>
      </c>
    </row>
    <row r="77">
      <c r="D77" s="1" t="s">
        <v>67</v>
      </c>
      <c r="E77" s="8"/>
      <c r="F77" s="8">
        <f t="shared" ref="F77:J77" si="93">if(F51-E51&gt;0,F51-E51,E51-F51)</f>
        <v>193.61</v>
      </c>
      <c r="G77" s="8">
        <f t="shared" si="93"/>
        <v>53.97</v>
      </c>
      <c r="H77" s="8">
        <f t="shared" si="93"/>
        <v>28.55666667</v>
      </c>
      <c r="I77" s="8">
        <f t="shared" si="93"/>
        <v>37.02777778</v>
      </c>
      <c r="J77" s="8">
        <f t="shared" si="93"/>
        <v>15.1662963</v>
      </c>
    </row>
    <row r="78">
      <c r="D78" s="1" t="s">
        <v>68</v>
      </c>
      <c r="E78" s="8"/>
      <c r="F78" s="8">
        <f t="shared" ref="F78:J78" si="94">if(F52-E52&gt;0,F52-E52,E52-F52)</f>
        <v>398.69</v>
      </c>
      <c r="G78" s="8">
        <f t="shared" si="94"/>
        <v>248.06</v>
      </c>
      <c r="H78" s="8">
        <f t="shared" si="94"/>
        <v>547.5004237</v>
      </c>
      <c r="I78" s="8">
        <f t="shared" si="94"/>
        <v>848.4629223</v>
      </c>
      <c r="J78" s="8">
        <f t="shared" si="94"/>
        <v>1104.733743</v>
      </c>
    </row>
    <row r="79">
      <c r="D79" s="1" t="s">
        <v>69</v>
      </c>
      <c r="E79" s="8"/>
      <c r="F79" s="8">
        <f t="shared" ref="F79:J79" si="95">if(F53-E53&gt;0,F53-E53,E53-F53)</f>
        <v>23.14</v>
      </c>
      <c r="G79" s="8">
        <f t="shared" si="95"/>
        <v>127.88</v>
      </c>
      <c r="H79" s="8">
        <f t="shared" si="95"/>
        <v>139.45</v>
      </c>
      <c r="I79" s="8">
        <f t="shared" si="95"/>
        <v>89.45</v>
      </c>
      <c r="J79" s="8">
        <f t="shared" si="95"/>
        <v>0</v>
      </c>
    </row>
    <row r="80">
      <c r="D80" s="1" t="s">
        <v>70</v>
      </c>
      <c r="E80" s="8"/>
      <c r="F80" s="8">
        <f t="shared" ref="F80:J80" si="96">if(F54-E54&gt;0,F54-E54,E54-F54)</f>
        <v>615.95</v>
      </c>
      <c r="G80" s="8">
        <f t="shared" si="96"/>
        <v>2084.1</v>
      </c>
      <c r="H80" s="8">
        <f t="shared" si="96"/>
        <v>2084.1</v>
      </c>
      <c r="I80" s="8">
        <f t="shared" si="96"/>
        <v>2084.1</v>
      </c>
      <c r="J80" s="8">
        <f t="shared" si="96"/>
        <v>8.33</v>
      </c>
    </row>
    <row r="81">
      <c r="D81" s="2" t="s">
        <v>78</v>
      </c>
      <c r="E81" s="15"/>
      <c r="F81" s="15">
        <f t="shared" ref="F81:J81" si="97">sum(F70:F80)</f>
        <v>5624.9926</v>
      </c>
      <c r="G81" s="15">
        <f t="shared" si="97"/>
        <v>6690.8299</v>
      </c>
      <c r="H81" s="15">
        <f t="shared" si="97"/>
        <v>9197.509946</v>
      </c>
      <c r="I81" s="15">
        <f t="shared" si="97"/>
        <v>14865.00483</v>
      </c>
      <c r="J81" s="15">
        <f t="shared" si="97"/>
        <v>20075.20007</v>
      </c>
    </row>
    <row r="82">
      <c r="D82" s="1" t="s">
        <v>79</v>
      </c>
      <c r="E82" s="8"/>
      <c r="F82" s="8">
        <f t="shared" ref="F82:J82" si="98">F18</f>
        <v>929.6</v>
      </c>
      <c r="G82" s="8">
        <f t="shared" si="98"/>
        <v>1210.56</v>
      </c>
      <c r="H82" s="8">
        <f t="shared" si="98"/>
        <v>3381.009994</v>
      </c>
      <c r="I82" s="8">
        <f t="shared" si="98"/>
        <v>5912.582396</v>
      </c>
      <c r="J82" s="8">
        <f t="shared" si="98"/>
        <v>9504.949131</v>
      </c>
    </row>
    <row r="83">
      <c r="D83" s="2" t="s">
        <v>80</v>
      </c>
      <c r="E83" s="8"/>
      <c r="F83" s="15">
        <f t="shared" ref="F83:J83" si="99">F81-F82</f>
        <v>4695.3926</v>
      </c>
      <c r="G83" s="15">
        <f t="shared" si="99"/>
        <v>5480.2699</v>
      </c>
      <c r="H83" s="15">
        <f t="shared" si="99"/>
        <v>5816.499952</v>
      </c>
      <c r="I83" s="15">
        <f t="shared" si="99"/>
        <v>8952.422434</v>
      </c>
      <c r="J83" s="15">
        <f t="shared" si="99"/>
        <v>10570.25094</v>
      </c>
    </row>
    <row r="84">
      <c r="D84" s="1" t="s">
        <v>81</v>
      </c>
      <c r="E84" s="8"/>
      <c r="F84" s="8">
        <f t="shared" ref="F84:J84" si="100">if(F30-E30&gt;0,E30-F30,F30-H30)</f>
        <v>-290</v>
      </c>
      <c r="G84" s="8">
        <f t="shared" si="100"/>
        <v>-113.3</v>
      </c>
      <c r="H84" s="8">
        <f t="shared" si="100"/>
        <v>-210.5294543</v>
      </c>
      <c r="I84" s="8">
        <f t="shared" si="100"/>
        <v>-233.1030873</v>
      </c>
      <c r="J84" s="8">
        <f t="shared" si="100"/>
        <v>-258.0971365</v>
      </c>
    </row>
    <row r="85">
      <c r="D85" s="1" t="s">
        <v>82</v>
      </c>
      <c r="F85" s="8">
        <f t="shared" ref="F85:J85" si="101">if(F26-E26&gt;0,E26-F26,F26-E26)</f>
        <v>-1691.18</v>
      </c>
      <c r="G85" s="8">
        <f t="shared" si="101"/>
        <v>-3228.64</v>
      </c>
      <c r="H85" s="8">
        <f t="shared" si="101"/>
        <v>-5252.59</v>
      </c>
      <c r="I85" s="8">
        <f t="shared" si="101"/>
        <v>-7475.145</v>
      </c>
      <c r="J85" s="8">
        <f t="shared" si="101"/>
        <v>-11704.1575</v>
      </c>
    </row>
    <row r="86">
      <c r="D86" s="1" t="s">
        <v>83</v>
      </c>
      <c r="F86" s="8">
        <f t="shared" ref="F86:J86" si="102">if(N43&gt;0,-N43,N43)</f>
        <v>-55.1</v>
      </c>
      <c r="G86" s="8">
        <f t="shared" si="102"/>
        <v>-28.207</v>
      </c>
      <c r="H86" s="8">
        <f t="shared" si="102"/>
        <v>-41.6535</v>
      </c>
      <c r="I86" s="8">
        <f t="shared" si="102"/>
        <v>-34.93025</v>
      </c>
      <c r="J86" s="8">
        <f t="shared" si="102"/>
        <v>-38.291875</v>
      </c>
    </row>
    <row r="87">
      <c r="D87" s="2" t="s">
        <v>84</v>
      </c>
      <c r="F87" s="15">
        <f t="shared" ref="F87:J87" si="103">sum(F84:F86)</f>
        <v>-2036.28</v>
      </c>
      <c r="G87" s="15">
        <f t="shared" si="103"/>
        <v>-3370.147</v>
      </c>
      <c r="H87" s="15">
        <f t="shared" si="103"/>
        <v>-5504.772954</v>
      </c>
      <c r="I87" s="15">
        <f t="shared" si="103"/>
        <v>-7743.178337</v>
      </c>
      <c r="J87" s="15">
        <f t="shared" si="103"/>
        <v>-12000.54651</v>
      </c>
    </row>
    <row r="88">
      <c r="D88" s="1" t="s">
        <v>85</v>
      </c>
      <c r="F88" s="8">
        <f t="shared" ref="F88:J88" si="104">if(F46-E46&gt;0,E46-F46,F46-E46)</f>
        <v>-122.18</v>
      </c>
      <c r="G88" s="8">
        <f t="shared" si="104"/>
        <v>-3.15</v>
      </c>
      <c r="H88" s="8">
        <f t="shared" si="104"/>
        <v>-1.575</v>
      </c>
      <c r="I88" s="8">
        <f t="shared" si="104"/>
        <v>-0.7875</v>
      </c>
      <c r="J88" s="8">
        <f t="shared" si="104"/>
        <v>-0.39375</v>
      </c>
    </row>
    <row r="89">
      <c r="D89" s="1" t="s">
        <v>86</v>
      </c>
      <c r="F89" s="31">
        <f t="shared" ref="F89:J89" si="105">if(F47-E47&gt;0,F47-E47,0)</f>
        <v>0</v>
      </c>
      <c r="G89" s="14">
        <f t="shared" si="105"/>
        <v>27.03</v>
      </c>
      <c r="H89" s="31">
        <f t="shared" si="105"/>
        <v>0</v>
      </c>
      <c r="I89" s="8">
        <f t="shared" si="105"/>
        <v>6.7575</v>
      </c>
      <c r="J89" s="31">
        <f t="shared" si="105"/>
        <v>0</v>
      </c>
    </row>
    <row r="90">
      <c r="D90" s="2" t="s">
        <v>87</v>
      </c>
      <c r="F90" s="15">
        <f t="shared" ref="F90:J90" si="106">sum(F88:F89)</f>
        <v>-122.18</v>
      </c>
      <c r="G90" s="15">
        <f t="shared" si="106"/>
        <v>23.88</v>
      </c>
      <c r="H90" s="15">
        <f t="shared" si="106"/>
        <v>-1.575</v>
      </c>
      <c r="I90" s="15">
        <f t="shared" si="106"/>
        <v>5.97</v>
      </c>
      <c r="J90" s="15">
        <f t="shared" si="106"/>
        <v>-0.39375</v>
      </c>
    </row>
    <row r="91">
      <c r="F91" s="6"/>
      <c r="G91" s="6"/>
      <c r="H91" s="6"/>
      <c r="I91" s="6"/>
      <c r="J91" s="6"/>
    </row>
    <row r="92">
      <c r="D92" s="2" t="s">
        <v>88</v>
      </c>
      <c r="E92" s="6"/>
      <c r="F92" s="15">
        <f t="shared" ref="F92:J92" si="107">F83+F87+F90</f>
        <v>2536.9326</v>
      </c>
      <c r="G92" s="15">
        <f t="shared" si="107"/>
        <v>2134.0029</v>
      </c>
      <c r="H92" s="15">
        <f t="shared" si="107"/>
        <v>310.1519975</v>
      </c>
      <c r="I92" s="15">
        <f t="shared" si="107"/>
        <v>1215.214096</v>
      </c>
      <c r="J92" s="15">
        <f t="shared" si="107"/>
        <v>-1430.689323</v>
      </c>
    </row>
  </sheetData>
  <mergeCells count="6">
    <mergeCell ref="E4:G4"/>
    <mergeCell ref="H4:J4"/>
    <mergeCell ref="E24:G24"/>
    <mergeCell ref="H24:J24"/>
    <mergeCell ref="E63:G63"/>
    <mergeCell ref="H63:J63"/>
  </mergeCells>
  <drawing r:id="rId1"/>
</worksheet>
</file>