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cloudconvert\server\files\tasks\9683d21e-d995-41f9-b33f-758fecf0d7f8\"/>
    </mc:Choice>
  </mc:AlternateContent>
  <xr:revisionPtr revIDLastSave="0" documentId="8_{24591EBD-5B01-4CF0-92B1-99DEDDB768DF}" xr6:coauthVersionLast="47" xr6:coauthVersionMax="47" xr10:uidLastSave="{00000000-0000-0000-0000-000000000000}"/>
  <bookViews>
    <workbookView xWindow="1560" yWindow="1560" windowWidth="11520" windowHeight="7875" activeTab="3" xr2:uid="{00000000-000D-0000-FFFF-FFFF00000000}"/>
  </bookViews>
  <sheets>
    <sheet name="SS" sheetId="1" r:id="rId1"/>
    <sheet name="Format" sheetId="2" r:id="rId2"/>
    <sheet name="Output OLD" sheetId="8" state="hidden" r:id="rId3"/>
    <sheet name="Output" sheetId="11" r:id="rId4"/>
    <sheet name="SSV" sheetId="9" r:id="rId5"/>
    <sheet name="SAMF and Premium" sheetId="3" r:id="rId6"/>
    <sheet name="GSV" sheetId="10" r:id="rId7"/>
  </sheets>
  <definedNames>
    <definedName name="_xlnm.Print_Area" localSheetId="1">Format!$A$1:$Z$102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1" l="1"/>
  <c r="AH45" i="11" s="1"/>
  <c r="F29" i="11"/>
  <c r="P27" i="11"/>
  <c r="J36" i="11" s="1"/>
  <c r="N36" i="11" s="1"/>
  <c r="P18" i="11"/>
  <c r="P17" i="11"/>
  <c r="P15" i="11"/>
  <c r="K77" i="11" s="1"/>
  <c r="I46" i="11"/>
  <c r="I47" i="11"/>
  <c r="I48" i="11"/>
  <c r="I49" i="11"/>
  <c r="I50" i="11"/>
  <c r="I51" i="11"/>
  <c r="I52" i="11"/>
  <c r="I53" i="11"/>
  <c r="I54" i="11"/>
  <c r="I55" i="11"/>
  <c r="I57" i="11"/>
  <c r="I58" i="11"/>
  <c r="I60" i="11"/>
  <c r="I61" i="11"/>
  <c r="I62" i="11"/>
  <c r="I63" i="11"/>
  <c r="I45" i="11"/>
  <c r="C13" i="1"/>
  <c r="AD48" i="11" s="1"/>
  <c r="Y10" i="3"/>
  <c r="Y11" i="3"/>
  <c r="Y12" i="3"/>
  <c r="Y13" i="3"/>
  <c r="Y14" i="3" s="1"/>
  <c r="Y15" i="3" s="1"/>
  <c r="Y16" i="3" s="1"/>
  <c r="Y17" i="3" s="1"/>
  <c r="Y18" i="3" s="1"/>
  <c r="Y19" i="3" s="1"/>
  <c r="Y20" i="3" s="1"/>
  <c r="Y21" i="3" s="1"/>
  <c r="Y22" i="3" s="1"/>
  <c r="Y23" i="3" s="1"/>
  <c r="T9" i="3"/>
  <c r="T10" i="3" s="1"/>
  <c r="T11" i="3" s="1"/>
  <c r="T12" i="3" s="1"/>
  <c r="T13" i="3" s="1"/>
  <c r="T14" i="3" s="1"/>
  <c r="T15" i="3" s="1"/>
  <c r="T16" i="3" s="1"/>
  <c r="T17" i="3" s="1"/>
  <c r="T18" i="3" s="1"/>
  <c r="T19" i="3" s="1"/>
  <c r="T20" i="3" s="1"/>
  <c r="T21" i="3" s="1"/>
  <c r="T22" i="3" s="1"/>
  <c r="T23" i="3" s="1"/>
  <c r="T24" i="3" s="1"/>
  <c r="T25" i="3" s="1"/>
  <c r="T26" i="3" s="1"/>
  <c r="T27" i="3" s="1"/>
  <c r="T28" i="3" s="1"/>
  <c r="T29" i="3" s="1"/>
  <c r="T30" i="3" s="1"/>
  <c r="T31" i="3" s="1"/>
  <c r="T32" i="3" s="1"/>
  <c r="T33" i="3" s="1"/>
  <c r="T34" i="3" s="1"/>
  <c r="T35" i="3" s="1"/>
  <c r="T36" i="3" s="1"/>
  <c r="T37" i="3" s="1"/>
  <c r="T38" i="3" s="1"/>
  <c r="T39" i="3" s="1"/>
  <c r="T40" i="3" s="1"/>
  <c r="T41" i="3" s="1"/>
  <c r="T42" i="3" s="1"/>
  <c r="T43" i="3" s="1"/>
  <c r="T44" i="3" s="1"/>
  <c r="T45" i="3" s="1"/>
  <c r="T46" i="3" s="1"/>
  <c r="T47" i="3" s="1"/>
  <c r="T48" i="3" s="1"/>
  <c r="T49" i="3" s="1"/>
  <c r="T50" i="3" s="1"/>
  <c r="T51" i="3" s="1"/>
  <c r="T52" i="3" s="1"/>
  <c r="T53" i="3" s="1"/>
  <c r="T54" i="3" s="1"/>
  <c r="T55" i="3" s="1"/>
  <c r="P17" i="8"/>
  <c r="P15" i="8"/>
  <c r="K72" i="8" s="1"/>
  <c r="F6" i="3"/>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B5" i="3"/>
  <c r="B6" i="3"/>
  <c r="B7" i="3" s="1"/>
  <c r="B8" i="3" s="1"/>
  <c r="B9" i="3" s="1"/>
  <c r="B10" i="3" s="1"/>
  <c r="B11" i="3" s="1"/>
  <c r="B12" i="3" s="1"/>
  <c r="B13" i="3" s="1"/>
  <c r="B14" i="3" s="1"/>
  <c r="B15" i="3" s="1"/>
  <c r="B16" i="3" s="1"/>
  <c r="B17" i="3" s="1"/>
  <c r="B18" i="3" s="1"/>
  <c r="P18" i="8"/>
  <c r="I46" i="8"/>
  <c r="I47" i="8"/>
  <c r="I48" i="8"/>
  <c r="I49" i="8"/>
  <c r="I50" i="8"/>
  <c r="I51" i="8"/>
  <c r="I52" i="8"/>
  <c r="I53" i="8"/>
  <c r="I54" i="8"/>
  <c r="I55" i="8"/>
  <c r="I57" i="8"/>
  <c r="I58" i="8"/>
  <c r="I45" i="8"/>
  <c r="P27" i="8"/>
  <c r="J36" i="8" s="1"/>
  <c r="N36" i="8" s="1"/>
  <c r="F31" i="8"/>
  <c r="AH45" i="8" s="1"/>
  <c r="F29" i="8"/>
  <c r="F20" i="2"/>
  <c r="E20" i="2"/>
  <c r="E24" i="2"/>
  <c r="C29" i="2" s="1"/>
  <c r="E28" i="2"/>
  <c r="C28" i="2"/>
  <c r="E23" i="2"/>
  <c r="H7" i="2"/>
  <c r="B24" i="2"/>
  <c r="F57" i="2" s="1"/>
  <c r="D20" i="2"/>
  <c r="B20" i="2"/>
  <c r="C30" i="2" l="1"/>
  <c r="D30" i="2" s="1"/>
  <c r="E30" i="2" s="1"/>
  <c r="J38" i="11"/>
  <c r="N38" i="11" s="1"/>
  <c r="J37" i="11"/>
  <c r="N37" i="11" s="1"/>
  <c r="A93" i="2"/>
  <c r="J38" i="8"/>
  <c r="N38" i="8" s="1"/>
  <c r="C51" i="11"/>
  <c r="C7" i="1"/>
  <c r="P4" i="1" s="1"/>
  <c r="H10" i="1"/>
  <c r="D7" i="1"/>
  <c r="AG41" i="11"/>
  <c r="AG38" i="11"/>
  <c r="AG37" i="11"/>
  <c r="D29" i="2"/>
  <c r="E29" i="2" s="1"/>
  <c r="AG40" i="11"/>
  <c r="J37" i="8"/>
  <c r="N37" i="8" s="1"/>
  <c r="AG39" i="11"/>
  <c r="AG35" i="11"/>
  <c r="AG28" i="11"/>
  <c r="AG34" i="11"/>
  <c r="AD49" i="11"/>
  <c r="AG29" i="11"/>
  <c r="AG36" i="11"/>
  <c r="AG26" i="11"/>
  <c r="AG22" i="11"/>
  <c r="M45" i="11" s="1"/>
  <c r="AG33" i="11"/>
  <c r="AG31" i="11"/>
  <c r="AG25" i="11"/>
  <c r="AG32" i="11"/>
  <c r="C59" i="11"/>
  <c r="AD67" i="11"/>
  <c r="AG27" i="11"/>
  <c r="AG24" i="11"/>
  <c r="C45" i="11"/>
  <c r="G45" i="11" s="1"/>
  <c r="AH46" i="11" s="1"/>
  <c r="AD66" i="11"/>
  <c r="AG30" i="11"/>
  <c r="AG23" i="11"/>
  <c r="AD55" i="8"/>
  <c r="C58" i="8"/>
  <c r="C47" i="8"/>
  <c r="AD32" i="8"/>
  <c r="M48" i="8" s="1"/>
  <c r="C46" i="8"/>
  <c r="C53" i="8"/>
  <c r="C54" i="8"/>
  <c r="C55" i="8"/>
  <c r="AD56" i="8"/>
  <c r="AD62" i="8"/>
  <c r="AD31" i="8"/>
  <c r="M47" i="8" s="1"/>
  <c r="AD59" i="8"/>
  <c r="C50" i="8"/>
  <c r="AD39" i="8"/>
  <c r="AD60" i="8"/>
  <c r="C57" i="8"/>
  <c r="AD43" i="8"/>
  <c r="C48" i="11"/>
  <c r="C64" i="11"/>
  <c r="AD52" i="11"/>
  <c r="AD56" i="11"/>
  <c r="AD60" i="11"/>
  <c r="F30" i="11"/>
  <c r="AF59" i="11" s="1"/>
  <c r="C49" i="11"/>
  <c r="C52" i="11"/>
  <c r="C53" i="11"/>
  <c r="C56" i="11"/>
  <c r="C60" i="11"/>
  <c r="AD64" i="11"/>
  <c r="AD42" i="8"/>
  <c r="C57" i="11"/>
  <c r="AD51" i="8"/>
  <c r="C61" i="11"/>
  <c r="F52" i="2"/>
  <c r="F54" i="2"/>
  <c r="F53" i="2"/>
  <c r="AD35" i="8"/>
  <c r="M51" i="8" s="1"/>
  <c r="AD53" i="11"/>
  <c r="AD29" i="8"/>
  <c r="M45" i="8" s="1"/>
  <c r="F48" i="2"/>
  <c r="AD53" i="8"/>
  <c r="AD57" i="11"/>
  <c r="F56" i="2"/>
  <c r="F50" i="2"/>
  <c r="AD36" i="8"/>
  <c r="F49" i="2"/>
  <c r="F55" i="2"/>
  <c r="C46" i="11"/>
  <c r="C58" i="11"/>
  <c r="F59" i="2"/>
  <c r="AD37" i="8"/>
  <c r="C24" i="2"/>
  <c r="C59" i="8"/>
  <c r="AD61" i="8"/>
  <c r="AD50" i="11"/>
  <c r="C63" i="11"/>
  <c r="F60" i="2"/>
  <c r="AD52" i="8"/>
  <c r="AD49" i="8"/>
  <c r="C62" i="11"/>
  <c r="AD50" i="8"/>
  <c r="AD58" i="8"/>
  <c r="AD54" i="11"/>
  <c r="C56" i="8"/>
  <c r="AD48" i="8"/>
  <c r="F47" i="2"/>
  <c r="C47" i="11"/>
  <c r="AD54" i="8"/>
  <c r="AD51" i="11"/>
  <c r="AD65" i="11"/>
  <c r="C49" i="8"/>
  <c r="C51" i="8"/>
  <c r="AD57" i="8"/>
  <c r="C52" i="8"/>
  <c r="AD30" i="8"/>
  <c r="M46" i="8" s="1"/>
  <c r="AD55" i="11"/>
  <c r="AD62" i="11"/>
  <c r="C50" i="11"/>
  <c r="C45" i="8"/>
  <c r="AD59" i="11"/>
  <c r="C55" i="11"/>
  <c r="AD61" i="11"/>
  <c r="C48" i="8"/>
  <c r="C54" i="11"/>
  <c r="AD34" i="8"/>
  <c r="M50" i="8" s="1"/>
  <c r="AD63" i="11"/>
  <c r="AD58" i="11"/>
  <c r="F51" i="2"/>
  <c r="F30" i="8"/>
  <c r="AD40" i="8"/>
  <c r="AD33" i="8"/>
  <c r="M49" i="8" s="1"/>
  <c r="AD41" i="8"/>
  <c r="AD38" i="8"/>
  <c r="E15" i="11" l="1"/>
  <c r="AA4" i="1"/>
  <c r="AJ9" i="3"/>
  <c r="C11" i="1" s="1"/>
  <c r="P28" i="8" s="1"/>
  <c r="E17" i="8"/>
  <c r="P16" i="11"/>
  <c r="E16" i="11"/>
  <c r="E15" i="8"/>
  <c r="O8" i="3"/>
  <c r="E17" i="11"/>
  <c r="P16" i="8"/>
  <c r="E16" i="8"/>
  <c r="C20" i="2"/>
  <c r="AF47" i="11"/>
  <c r="G64" i="11"/>
  <c r="G63" i="11"/>
  <c r="G60" i="11"/>
  <c r="AF53" i="11"/>
  <c r="G61" i="11"/>
  <c r="G62" i="11"/>
  <c r="AF51" i="11"/>
  <c r="G50" i="11"/>
  <c r="G59" i="11"/>
  <c r="AF49" i="11"/>
  <c r="G57" i="11"/>
  <c r="G58" i="11"/>
  <c r="G59" i="8"/>
  <c r="G57" i="8"/>
  <c r="G58" i="8"/>
  <c r="G55" i="11"/>
  <c r="G52" i="11"/>
  <c r="AF67" i="11"/>
  <c r="AF48" i="11"/>
  <c r="AF46" i="11"/>
  <c r="AF63" i="11"/>
  <c r="AF52" i="11"/>
  <c r="AF66" i="11"/>
  <c r="AF61" i="11"/>
  <c r="AF62" i="11"/>
  <c r="AF56" i="11"/>
  <c r="AF58" i="11"/>
  <c r="AF50" i="11"/>
  <c r="AF54" i="11"/>
  <c r="AF60" i="11"/>
  <c r="AF65" i="11"/>
  <c r="AF64" i="11"/>
  <c r="G53" i="11"/>
  <c r="AF57" i="11"/>
  <c r="AF55" i="11"/>
  <c r="G51" i="11"/>
  <c r="AF60" i="8"/>
  <c r="AF59" i="8"/>
  <c r="AF57" i="8"/>
  <c r="AF55" i="8"/>
  <c r="AF56" i="8"/>
  <c r="AF53" i="8"/>
  <c r="AF58" i="8"/>
  <c r="AF54" i="8"/>
  <c r="B48" i="2"/>
  <c r="B55" i="2"/>
  <c r="B57" i="2"/>
  <c r="B47" i="2"/>
  <c r="F24" i="2"/>
  <c r="B58" i="2"/>
  <c r="B59" i="2"/>
  <c r="B61" i="2"/>
  <c r="B54" i="2"/>
  <c r="B50" i="2"/>
  <c r="B51" i="2"/>
  <c r="B56" i="2"/>
  <c r="B53" i="2"/>
  <c r="B60" i="2"/>
  <c r="B52" i="2"/>
  <c r="B49" i="2"/>
  <c r="G56" i="11"/>
  <c r="G47" i="11"/>
  <c r="G49" i="11"/>
  <c r="G46" i="11"/>
  <c r="G45" i="8"/>
  <c r="G54" i="8"/>
  <c r="G55" i="8"/>
  <c r="G49" i="8"/>
  <c r="G50" i="8"/>
  <c r="G47" i="8"/>
  <c r="G56" i="8"/>
  <c r="G48" i="8"/>
  <c r="G46" i="8"/>
  <c r="G53" i="8"/>
  <c r="G51" i="8"/>
  <c r="G52" i="8"/>
  <c r="G48" i="11"/>
  <c r="G54" i="11"/>
  <c r="O45" i="11" l="1"/>
  <c r="P28" i="11"/>
  <c r="K59" i="11" s="1"/>
  <c r="D24" i="2"/>
  <c r="A95" i="2" s="1"/>
  <c r="O45" i="8"/>
  <c r="M54" i="11"/>
  <c r="M53" i="11"/>
  <c r="O51" i="11"/>
  <c r="M51" i="11"/>
  <c r="M64" i="11"/>
  <c r="M61" i="11"/>
  <c r="M60" i="11"/>
  <c r="M49" i="11"/>
  <c r="M50" i="11"/>
  <c r="M62" i="11"/>
  <c r="M53" i="8"/>
  <c r="M48" i="11"/>
  <c r="M46" i="11"/>
  <c r="M63" i="11"/>
  <c r="M56" i="11"/>
  <c r="M47" i="11"/>
  <c r="M59" i="11"/>
  <c r="M57" i="8"/>
  <c r="M59" i="8"/>
  <c r="M57" i="11"/>
  <c r="M58" i="8"/>
  <c r="M58" i="11"/>
  <c r="O56" i="11"/>
  <c r="M52" i="11"/>
  <c r="O57" i="8"/>
  <c r="O55" i="8"/>
  <c r="M52" i="8"/>
  <c r="M55" i="11"/>
  <c r="AH49" i="8"/>
  <c r="AH50" i="8"/>
  <c r="AH58" i="8"/>
  <c r="AH51" i="8"/>
  <c r="AH54" i="8"/>
  <c r="AH46" i="8"/>
  <c r="AH47" i="8"/>
  <c r="AH55" i="8"/>
  <c r="AH52" i="8"/>
  <c r="AH56" i="8"/>
  <c r="AH48" i="8"/>
  <c r="AH57" i="8"/>
  <c r="I56" i="8" s="1"/>
  <c r="AH53" i="8"/>
  <c r="AH59" i="8"/>
  <c r="AH60" i="8"/>
  <c r="I59" i="8" s="1"/>
  <c r="O50" i="8"/>
  <c r="AH59" i="11"/>
  <c r="AH56" i="11"/>
  <c r="AH47" i="11"/>
  <c r="AH64" i="11"/>
  <c r="AH51" i="11"/>
  <c r="AH66" i="11"/>
  <c r="AH48" i="11"/>
  <c r="AH58" i="11"/>
  <c r="AH61" i="11"/>
  <c r="AH49" i="11"/>
  <c r="AH53" i="11"/>
  <c r="AH55" i="11"/>
  <c r="AH50" i="11"/>
  <c r="AH65" i="11"/>
  <c r="AH60" i="11"/>
  <c r="I59" i="11" s="1"/>
  <c r="AH54" i="11"/>
  <c r="AH57" i="11"/>
  <c r="AH63" i="11"/>
  <c r="AH62" i="11"/>
  <c r="AH52" i="11"/>
  <c r="AH67" i="11"/>
  <c r="O51" i="8"/>
  <c r="O53" i="8"/>
  <c r="O59" i="8"/>
  <c r="O49" i="11"/>
  <c r="O60" i="11"/>
  <c r="O47" i="8"/>
  <c r="O46" i="11"/>
  <c r="O48" i="11"/>
  <c r="O58" i="8"/>
  <c r="O57" i="11"/>
  <c r="O61" i="11"/>
  <c r="O47" i="11"/>
  <c r="O52" i="11"/>
  <c r="O48" i="8"/>
  <c r="C47" i="2"/>
  <c r="C59" i="2"/>
  <c r="C53" i="2"/>
  <c r="C48" i="2"/>
  <c r="C51" i="2"/>
  <c r="C50" i="2"/>
  <c r="C58" i="2"/>
  <c r="C54" i="2"/>
  <c r="C57" i="2"/>
  <c r="C61" i="2"/>
  <c r="C55" i="2"/>
  <c r="C52" i="2"/>
  <c r="C56" i="2"/>
  <c r="C49" i="2"/>
  <c r="C60" i="2"/>
  <c r="O46" i="8"/>
  <c r="O50" i="11"/>
  <c r="O54" i="11"/>
  <c r="M55" i="8"/>
  <c r="M56" i="8"/>
  <c r="O52" i="8"/>
  <c r="O53" i="11"/>
  <c r="O49" i="8"/>
  <c r="O58" i="11"/>
  <c r="O55" i="11"/>
  <c r="O62" i="11"/>
  <c r="O64" i="11"/>
  <c r="M54" i="8"/>
  <c r="O54" i="8"/>
  <c r="O56" i="8"/>
  <c r="O63" i="11"/>
  <c r="O59" i="11"/>
  <c r="K54" i="8"/>
  <c r="K49" i="8"/>
  <c r="K50" i="8"/>
  <c r="K47" i="8"/>
  <c r="K53" i="8"/>
  <c r="K48" i="8"/>
  <c r="K46" i="8"/>
  <c r="K55" i="8"/>
  <c r="K56" i="8"/>
  <c r="K45" i="8"/>
  <c r="P29" i="8" s="1"/>
  <c r="K52" i="8"/>
  <c r="K58" i="8"/>
  <c r="K59" i="8"/>
  <c r="K57" i="8"/>
  <c r="K51" i="8"/>
  <c r="K50" i="11" l="1"/>
  <c r="K60" i="11"/>
  <c r="K49" i="11"/>
  <c r="K56" i="11"/>
  <c r="K58" i="11"/>
  <c r="K62" i="11"/>
  <c r="K61" i="11"/>
  <c r="K64" i="11"/>
  <c r="K55" i="11"/>
  <c r="K63" i="11"/>
  <c r="K51" i="11"/>
  <c r="K47" i="11"/>
  <c r="K52" i="11"/>
  <c r="K54" i="11"/>
  <c r="I64" i="11"/>
  <c r="K57" i="11"/>
  <c r="K45" i="11"/>
  <c r="P29" i="11" s="1"/>
  <c r="I56" i="11"/>
  <c r="K46" i="11"/>
  <c r="K53" i="11"/>
  <c r="K48" i="11"/>
  <c r="D56" i="2"/>
  <c r="D60" i="2"/>
  <c r="D61" i="2"/>
  <c r="D54" i="2"/>
  <c r="D55" i="2"/>
  <c r="D51" i="2"/>
  <c r="D53" i="2"/>
  <c r="D59" i="2"/>
  <c r="D49" i="2"/>
  <c r="D58" i="2"/>
  <c r="D50" i="2"/>
  <c r="D48" i="2"/>
  <c r="D47" i="2"/>
  <c r="D52" i="2"/>
  <c r="D57" i="2"/>
  <c r="R54" i="2" l="1"/>
  <c r="R76" i="2"/>
  <c r="I76" i="2" s="1"/>
  <c r="R47" i="2"/>
  <c r="R64" i="2"/>
  <c r="I64" i="2" s="1"/>
  <c r="R61" i="2"/>
  <c r="F61" i="2" s="1"/>
  <c r="Y77" i="2" s="1"/>
  <c r="Y45" i="2" s="1"/>
  <c r="R53" i="2"/>
  <c r="R56" i="2"/>
  <c r="R60" i="2"/>
  <c r="R59" i="2"/>
  <c r="R52" i="2"/>
  <c r="R72" i="2"/>
  <c r="I72" i="2" s="1"/>
  <c r="R75" i="2"/>
  <c r="I75" i="2" s="1"/>
  <c r="R74" i="2"/>
  <c r="I74" i="2" s="1"/>
  <c r="R71" i="2"/>
  <c r="I71" i="2" s="1"/>
  <c r="R49" i="2"/>
  <c r="R62" i="2"/>
  <c r="I62" i="2" s="1"/>
  <c r="R57" i="2"/>
  <c r="R55" i="2"/>
  <c r="R51" i="2"/>
  <c r="R67" i="2"/>
  <c r="I67" i="2" s="1"/>
  <c r="R66" i="2"/>
  <c r="I66" i="2" s="1"/>
  <c r="R68" i="2"/>
  <c r="I68" i="2" s="1"/>
  <c r="R73" i="2"/>
  <c r="I73" i="2" s="1"/>
  <c r="R50" i="2"/>
  <c r="R69" i="2"/>
  <c r="I69" i="2" s="1"/>
  <c r="R65" i="2"/>
  <c r="I65" i="2" s="1"/>
  <c r="R70" i="2"/>
  <c r="I70" i="2" s="1"/>
  <c r="R48" i="2"/>
  <c r="R58" i="2"/>
  <c r="R63" i="2"/>
  <c r="I63" i="2" s="1"/>
  <c r="E58" i="2" l="1"/>
  <c r="F58" i="2"/>
  <c r="G58" i="2"/>
  <c r="E57" i="2"/>
  <c r="G57" i="2"/>
  <c r="E49" i="2"/>
  <c r="G49" i="2"/>
  <c r="E59" i="2"/>
  <c r="G59" i="2"/>
  <c r="E61" i="2"/>
  <c r="G61" i="2"/>
  <c r="E50" i="2"/>
  <c r="G50" i="2"/>
  <c r="E51" i="2"/>
  <c r="G51" i="2"/>
  <c r="E55" i="2"/>
  <c r="G55" i="2"/>
  <c r="E60" i="2"/>
  <c r="G60" i="2"/>
  <c r="E48" i="2"/>
  <c r="G48" i="2"/>
  <c r="E52" i="2"/>
  <c r="G52" i="2"/>
  <c r="E56" i="2"/>
  <c r="G56" i="2"/>
  <c r="E53" i="2"/>
  <c r="G53" i="2"/>
  <c r="E47" i="2"/>
  <c r="G47" i="2"/>
  <c r="E54" i="2"/>
  <c r="G54" i="2"/>
</calcChain>
</file>

<file path=xl/sharedStrings.xml><?xml version="1.0" encoding="utf-8"?>
<sst xmlns="http://schemas.openxmlformats.org/spreadsheetml/2006/main" count="391" uniqueCount="204">
  <si>
    <t>Name</t>
  </si>
  <si>
    <t>Age</t>
  </si>
  <si>
    <t>DOB</t>
  </si>
  <si>
    <t>Gender</t>
  </si>
  <si>
    <t>Policy Term</t>
  </si>
  <si>
    <t>Premium Paying Term</t>
  </si>
  <si>
    <t>Premium Frequency</t>
  </si>
  <si>
    <t>Sum Assured</t>
  </si>
  <si>
    <t>Min</t>
  </si>
  <si>
    <t>Max</t>
  </si>
  <si>
    <t>Age at entry</t>
  </si>
  <si>
    <t>SAMF</t>
  </si>
  <si>
    <t>SBI Life Insurance Co. Ltd</t>
  </si>
  <si>
    <t>Corporate Office: 'Natraj', M.V. Road and Western Express, Highway Junction, Andheri (East),</t>
  </si>
  <si>
    <t>Mumbai – 400069. Regn No. 111</t>
  </si>
  <si>
    <t>Introduction</t>
  </si>
  <si>
    <t>Illustration Date:</t>
  </si>
  <si>
    <t>Term to Maturity (Years)</t>
  </si>
  <si>
    <t>Cash factor</t>
  </si>
  <si>
    <t>The main objective of the illustration is that the client is able to appreciate the features of the product and the flow of benefits in different circumstances with some level of quantification. For further information on the product and its benefits, please refer to the sales brochure and/or policy document. Further information will also be available on request.</t>
  </si>
  <si>
    <t>Personal Details of Life to be Assured</t>
  </si>
  <si>
    <t>Age(last birthday)</t>
  </si>
  <si>
    <t>Premium Payment Frequency</t>
  </si>
  <si>
    <t>Basic Cover</t>
  </si>
  <si>
    <t>Premium Payment Term (in years)</t>
  </si>
  <si>
    <t>Premium details</t>
  </si>
  <si>
    <t>Policy Year</t>
  </si>
  <si>
    <t>First year</t>
  </si>
  <si>
    <t>Second year onwards</t>
  </si>
  <si>
    <r>
      <t>Please Note:</t>
    </r>
    <r>
      <rPr>
        <sz val="10"/>
        <color indexed="8"/>
        <rFont val="Tahoma"/>
        <family val="2"/>
      </rPr>
      <t xml:space="preserve"> </t>
    </r>
  </si>
  <si>
    <t>1. The premiums can be paid by giving standing instruction to your bank or you can pay through your credit card (Visa and Master Card).</t>
  </si>
  <si>
    <t>Other Terms and Conditions</t>
  </si>
  <si>
    <t>1. The benefit calculation is based on the age herein indicated and as applicable for healthy individual.</t>
  </si>
  <si>
    <t>2. The Survival/ Death Benefit amount are derived on the assumption that the policies are "in-force”</t>
  </si>
  <si>
    <t>End of Year</t>
  </si>
  <si>
    <t>Cumulative Premiums paid</t>
  </si>
  <si>
    <t>Guaranteed additions</t>
  </si>
  <si>
    <t>Guaranteed Death Benefit</t>
  </si>
  <si>
    <t>Guaranteed Maturity Benefit</t>
  </si>
  <si>
    <t>Guaranteed Surrender Value (GSV)</t>
  </si>
  <si>
    <t>Surrender Value</t>
  </si>
  <si>
    <t>Surrender value is available if at least 2 full policy years’ premiums have been paid.</t>
  </si>
  <si>
    <t>Guaranteed Surrender Value</t>
  </si>
  <si>
    <t>Company’s Policy on Surrender</t>
  </si>
  <si>
    <t>In practice, the company may pay a surrender value which could be higher than the guaranteed surrender value.  The surrender value payable may be reviewed from time to time depending on company's experience of the various factors which impact the surrender values that may be paid. The surrender value would be higher of GSV or SSV.</t>
  </si>
  <si>
    <t>Marketing official's Signature &amp; Company Seal:</t>
  </si>
  <si>
    <t>Signature of the Proposer:</t>
  </si>
  <si>
    <t>Place:________________</t>
  </si>
  <si>
    <t>Date:___/___/_______</t>
  </si>
  <si>
    <t>Premium less than Rs 30,000</t>
  </si>
  <si>
    <t>Premium greater than or equal to Rs 30,000</t>
  </si>
  <si>
    <t xml:space="preserve">Guaranteed Addition Surrender Value Factors </t>
  </si>
  <si>
    <t>GSV Factors</t>
  </si>
  <si>
    <t>As percentage of basic premiums paid</t>
  </si>
  <si>
    <t>SSV Factors</t>
  </si>
  <si>
    <t>Surrender Year</t>
  </si>
  <si>
    <t>SSV</t>
  </si>
  <si>
    <t>Cumulative Guaranteed additions</t>
  </si>
  <si>
    <t>Sum Assured  (in Rs)</t>
  </si>
  <si>
    <t>Special Surrender Value</t>
  </si>
  <si>
    <t>The Special Surrender Value (SSV) are non guaranteed and will be equal to the SSV factors multiplied by the Paid-up Value on maturity. The Paid-up Value on maturity is equal to paid-up sum assured on maturity together with accrued guaranteed additions.</t>
  </si>
  <si>
    <t xml:space="preserve">Insurance Regulatory and Development authority of India (IRDAI) requires all life insurance companies operating in India to provide official illustrations to their customers.  The illustrations are based on the investment rates of return set by the Life Insurance Council (constituted under Section 64C(a) of the Insurance Act 1938) and is not intended to reflect the actual investment returns achieved or which may be achieved in future by SBI Life Insurance Company Limited. All life insurance companies use the same rates in their benefit illustrations. 
</t>
  </si>
  <si>
    <t>You may receive a Welcome Call from our representative to confirm your proposal details like Date of Birth, Nominee Name, Address, Email ID, Sum Assured, Premium amount, Premium Payment Term etc.</t>
  </si>
  <si>
    <t>You may have to undergo Medical tests based on our underwriting requirements.</t>
  </si>
  <si>
    <t>I,_____________________________________________________, have understood the term and conditions,product features and applicable charges (if any) before purchase of the contract,after receipt of all information stated above from the insurer.</t>
  </si>
  <si>
    <t>Applicable Taxes (in Rs.)</t>
  </si>
  <si>
    <t>BENEFIT ILLUSTRATION FOR SBI Life - POS Smart Samriddhi</t>
  </si>
  <si>
    <t>Annualise Basic Premium paid (Rs)</t>
  </si>
  <si>
    <t>Annual Premium</t>
  </si>
  <si>
    <t>Website: www.sbilife.co.in | Email: info@sbilife.co.in | CIN: L99999MH2000PLC129113</t>
  </si>
  <si>
    <t>Toll Free: 1800 22 9090 (Between 9.00 am &amp; 9.00 pm)</t>
  </si>
  <si>
    <t>The Guaranteed Surrender Value (GSV) will be equal to GSV factors multiplied by the basic premiums paid. Basic premium is equal to total premium less applicable taxes. Surrender value of guaranteed additions is also added to this GSV.</t>
  </si>
  <si>
    <r>
      <rPr>
        <sz val="10"/>
        <color indexed="10"/>
        <rFont val="Tahoma"/>
        <family val="2"/>
      </rPr>
      <t xml:space="preserve">Policy </t>
    </r>
    <r>
      <rPr>
        <sz val="10"/>
        <color indexed="8"/>
        <rFont val="Tahoma"/>
        <family val="2"/>
      </rPr>
      <t>Term (in years)</t>
    </r>
  </si>
  <si>
    <t>Annualised Premium (in Rs.)</t>
  </si>
  <si>
    <t>2. Monthly Premium is 8.5% of Annualised Premium opted</t>
  </si>
  <si>
    <t>SBI Life- Smart Samriddhi (UIN - 111N097V02)</t>
  </si>
  <si>
    <t>State</t>
  </si>
  <si>
    <t>ANDAMAN AND NICOBAR</t>
  </si>
  <si>
    <t>ANDHRA PRADESH</t>
  </si>
  <si>
    <t>ARUNACHAL PRADESH</t>
  </si>
  <si>
    <t>ASSAM</t>
  </si>
  <si>
    <t>BIHAR</t>
  </si>
  <si>
    <t>CHANDIGARH</t>
  </si>
  <si>
    <t>CHATTISGARH</t>
  </si>
  <si>
    <t>DADRA AND NAGAR HAVELI</t>
  </si>
  <si>
    <t>DAMAN AND DIU</t>
  </si>
  <si>
    <t>DELHI</t>
  </si>
  <si>
    <t>GOA</t>
  </si>
  <si>
    <t>GUJARAT</t>
  </si>
  <si>
    <t>HARYANA</t>
  </si>
  <si>
    <t>HIMACHAL PRADESH</t>
  </si>
  <si>
    <t>JAMMU AND KASHMIR</t>
  </si>
  <si>
    <t>JHARKHAND</t>
  </si>
  <si>
    <t>KARNATAKA</t>
  </si>
  <si>
    <t>KERALA</t>
  </si>
  <si>
    <t>LAKSHADEEP</t>
  </si>
  <si>
    <t>MADHYA PRADESH</t>
  </si>
  <si>
    <t>MAHARASHTRA</t>
  </si>
  <si>
    <t>MANIPUR</t>
  </si>
  <si>
    <t>MEGALAYA</t>
  </si>
  <si>
    <t>MIZORAM</t>
  </si>
  <si>
    <t>NAGALAND</t>
  </si>
  <si>
    <t>ORISSA</t>
  </si>
  <si>
    <t>PONDICHERRY</t>
  </si>
  <si>
    <t>PUNJAB</t>
  </si>
  <si>
    <t>RAJASTHAN</t>
  </si>
  <si>
    <t>SIKKIM</t>
  </si>
  <si>
    <t>TAMIL NADU</t>
  </si>
  <si>
    <t>TELANGANA</t>
  </si>
  <si>
    <t>TRIPURA</t>
  </si>
  <si>
    <t>UTTAR PRADESH</t>
  </si>
  <si>
    <t>UTTARAKHAND</t>
  </si>
  <si>
    <t>WEST BENGAL</t>
  </si>
  <si>
    <t>3. Applicable Taxes (including surcharge/cess etc), at the rate notified by the Central Government/ State Government / Union Territories of India from time to time and as per the provisions of the prevalent tax laws will be payable on premium/ or any other charges as per the product features.</t>
  </si>
  <si>
    <t xml:space="preserve">Registered &amp; Corporate Office: 'Natraj', M.V.Road and Western Express Highway Junction, Andheri (East), Mumbai - 400069 </t>
  </si>
  <si>
    <t>IRDAI Registration No. 111 | Website: www.sbilife.co.in | Email: info@sbilife.co.in | CIN: L99999MH2000PLC129113</t>
  </si>
  <si>
    <t>Toll Free: 1800 267 9090 (Between 9.00 am &amp; 9.00 pm)</t>
  </si>
  <si>
    <r>
      <rPr>
        <b/>
        <sz val="11"/>
        <color indexed="8"/>
        <rFont val="Garamond"/>
        <family val="1"/>
      </rPr>
      <t>Proposal No. :</t>
    </r>
    <r>
      <rPr>
        <sz val="11"/>
        <color indexed="8"/>
        <rFont val="Garamond"/>
        <family val="1"/>
      </rPr>
      <t>__</t>
    </r>
    <r>
      <rPr>
        <sz val="11"/>
        <color indexed="8"/>
        <rFont val="Garamond"/>
        <family val="1"/>
      </rPr>
      <t xml:space="preserve">____________________________ </t>
    </r>
  </si>
  <si>
    <r>
      <t xml:space="preserve">Channel / Intermediary : </t>
    </r>
    <r>
      <rPr>
        <b/>
        <u/>
        <sz val="11"/>
        <color indexed="8"/>
        <rFont val="Garamond"/>
        <family val="1"/>
      </rPr>
      <t>__________________________</t>
    </r>
  </si>
  <si>
    <t>The main objective of the illustration is that the client is able to appreciate the features of the product and the flow of benefits in different circumstances with some level of quantification. For further information on the product and its benefits, please refer to the sales brochure and/or policy document.</t>
  </si>
  <si>
    <t>Proposer and Life Assured Details</t>
  </si>
  <si>
    <t>Name of the Prospect/Policyholder</t>
  </si>
  <si>
    <t>Name of the Life Assured</t>
  </si>
  <si>
    <t>Age (Years)</t>
  </si>
  <si>
    <t xml:space="preserve">Gender </t>
  </si>
  <si>
    <t>How to read and understand this benefit illustration?</t>
  </si>
  <si>
    <t>Policy Details</t>
  </si>
  <si>
    <t xml:space="preserve">Policy Option </t>
  </si>
  <si>
    <t>Not Applicable</t>
  </si>
  <si>
    <t xml:space="preserve">Amount of Installment Premium (Rs.)  </t>
  </si>
  <si>
    <t xml:space="preserve">Sum Assured (Rs.)  </t>
  </si>
  <si>
    <t>Policy Term (Years)</t>
  </si>
  <si>
    <t xml:space="preserve">Sum Assured on Death (at inception of the policy) (Rs.) </t>
  </si>
  <si>
    <t>Premium Payment Term (Years)</t>
  </si>
  <si>
    <t>Rate of Applicable Taxes</t>
  </si>
  <si>
    <t xml:space="preserve">Mode / Frequency of Premium Payment </t>
  </si>
  <si>
    <t xml:space="preserve">Premium Summary </t>
  </si>
  <si>
    <t>Base Plan</t>
  </si>
  <si>
    <t xml:space="preserve">Riders </t>
  </si>
  <si>
    <t xml:space="preserve">Total Installment Premium </t>
  </si>
  <si>
    <t xml:space="preserve">Installment Premium without Applicable Taxes (Rs.) </t>
  </si>
  <si>
    <t xml:space="preserve">Installment Premium with 1st Year Applicable Taxes (Rs.) </t>
  </si>
  <si>
    <t xml:space="preserve">Installment Premium with Applicable Taxes 2nd Year onwards (Rs.) </t>
  </si>
  <si>
    <r>
      <rPr>
        <b/>
        <sz val="11"/>
        <color indexed="8"/>
        <rFont val="Garamond"/>
        <family val="1"/>
      </rPr>
      <t xml:space="preserve">Please Note:  </t>
    </r>
    <r>
      <rPr>
        <sz val="11"/>
        <color indexed="8"/>
        <rFont val="Garamond"/>
        <family val="1"/>
      </rPr>
      <t xml:space="preserve">  
1. The premiums can also be paid by giving standing instruction to your bank or you can pay through your credit card.    
2. Applicable Taxes (including surcharge/cess etc), at the rate notified by the Central Government/ State Government / Union Territories of India from time to time and as per the provisions of the prevalent tax laws will be payable on premium as per the product features. </t>
    </r>
  </si>
  <si>
    <t>Policy year</t>
  </si>
  <si>
    <t>Annualized premium</t>
  </si>
  <si>
    <t xml:space="preserve">Guaranteed </t>
  </si>
  <si>
    <t xml:space="preserve">Non- Guaranteed </t>
  </si>
  <si>
    <t xml:space="preserve">Survival Benefits / Loyalty Additions </t>
  </si>
  <si>
    <t>Guaranteed Additions</t>
  </si>
  <si>
    <t>Maturity Benefit</t>
  </si>
  <si>
    <t>Death benefit</t>
  </si>
  <si>
    <t>Minimum Guaranteed Surrender Value</t>
  </si>
  <si>
    <t xml:space="preserve">Total Premium </t>
  </si>
  <si>
    <t xml:space="preserve">Notes : </t>
  </si>
  <si>
    <t>2. All Benefit amount are derived on the assumption that the policies are "in-force”</t>
  </si>
  <si>
    <t xml:space="preserve">Important : </t>
  </si>
  <si>
    <t>I, ……………………………………….(name), have explained the premiums and benefits under the product fully to the prospect/policyholder.</t>
  </si>
  <si>
    <t>Place</t>
  </si>
  <si>
    <t xml:space="preserve">Date: </t>
  </si>
  <si>
    <t>Signature of Agent/ Intermediary/ Official</t>
  </si>
  <si>
    <t>Signature of Prospect/Policyholder</t>
  </si>
  <si>
    <t>This benefit illustration is intended to show year-wise premiums payable and benefits under the policy.</t>
  </si>
  <si>
    <t>1. Annualized Premium  shall  be  the  premium  amount  payable  in  a  year,  chosen  by  the policyholder, excluding applicable taxes and loadings for modal premiums, if any. Refer sales literature for explanation of terms used in this illustration.</t>
  </si>
  <si>
    <t xml:space="preserve">3. In addition to Minimum Guaranteed Surrender Value, Surrender value of the Accrued Guaranteed Additions will also be paid. For the purpose of guaranteed surrender value (GSV) in this illustration the surrender value of the accrued guaranteed additions are not considered at all. </t>
  </si>
  <si>
    <t>Premium Payment Option</t>
  </si>
  <si>
    <t>Limited</t>
  </si>
  <si>
    <t>FLC Rate</t>
  </si>
  <si>
    <t>Free Look Cancellation Rate (excluding taxes) per INR 1,000 Sum Assured</t>
  </si>
  <si>
    <t>Benefit Illustration for SBI Life - New Smart Samriddhi  (Amount in Rs.)</t>
  </si>
  <si>
    <t>SBI Life - New Smart Samriddhi (UIN: 111N129V02)</t>
  </si>
  <si>
    <t>Annexure II - Special Surrender Value Factors</t>
  </si>
  <si>
    <t>SSV Factors ( as a % of Paid up Value)</t>
  </si>
  <si>
    <t>Premium Payment Term</t>
  </si>
  <si>
    <t>NA</t>
  </si>
  <si>
    <t>PPT: 6</t>
  </si>
  <si>
    <t>PPT: 7</t>
  </si>
  <si>
    <t>Annual Premium rate for a basic sum assured of Rs 1000</t>
  </si>
  <si>
    <t>Age at entry / PPT</t>
  </si>
  <si>
    <t>Premium rate</t>
  </si>
  <si>
    <t>Prospect Details</t>
  </si>
  <si>
    <t>Name of Prospect/Policyholder</t>
  </si>
  <si>
    <t>4.5% in the 1st policy year and 2.25% from 2nd policy year onwards</t>
  </si>
  <si>
    <t>Female</t>
  </si>
  <si>
    <t>rak</t>
  </si>
  <si>
    <t>As a % of the total premiums paid</t>
  </si>
  <si>
    <t>6 years</t>
  </si>
  <si>
    <t>7 years</t>
  </si>
  <si>
    <t>SBI Life- New Smart Samriddhi (UIN: 111N129V03)</t>
  </si>
  <si>
    <t xml:space="preserve"> Benefit Illustration (BI) : SBI Life -New Smart Samriddhi (UIN:111N129V03)| An Individual, Non-Linked, Non-Participating, Life Insurance Savings Product 
</t>
  </si>
  <si>
    <t>SBI Life - New Smart Smariddhi (UIN: 111N129V03)</t>
  </si>
  <si>
    <t>PPT: 10</t>
  </si>
  <si>
    <t>SAM F New</t>
  </si>
  <si>
    <t>SBI Life - New Smart Samriddhi (111N129V03)</t>
  </si>
  <si>
    <t>FLC Raye New</t>
  </si>
  <si>
    <t>Premium Rate New</t>
  </si>
  <si>
    <t>Annexure I - Guaranteed Addition Surrender Value Factors</t>
  </si>
  <si>
    <t>Years to Maturity</t>
  </si>
  <si>
    <t>Guaranteed Addition Surrender Value Factors</t>
  </si>
  <si>
    <t>10 years</t>
  </si>
  <si>
    <t>Toll Free: 1800 267 9090 (Customer Service Timing : 24X7)</t>
  </si>
  <si>
    <t>Biswajit</t>
  </si>
  <si>
    <t>Male</t>
  </si>
  <si>
    <t>Yearly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</si>
</sst>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4">
    <font>
      <sz val="11"/>
      <color theme="1"/>
      <name val="Calibri"/>
      <family val="2"/>
      <scheme val="minor"/>
    </font>
    <font>
      <sz val="10"/>
      <name val="Arial"/>
      <family val="2"/>
    </font>
    <font>
      <sz val="10"/>
      <name val="Arial"/>
      <family val="2"/>
    </font>
    <font>
      <sz val="10"/>
      <name val="Helv"/>
      <charset val="204"/>
    </font>
    <font>
      <sz val="10"/>
      <name val="Tahoma"/>
      <family val="2"/>
    </font>
    <font>
      <sz val="10"/>
      <color indexed="8"/>
      <name val="Tahoma"/>
      <family val="2"/>
    </font>
    <font>
      <b/>
      <sz val="10"/>
      <color indexed="8"/>
      <name val="Tahoma"/>
      <family val="2"/>
    </font>
    <font>
      <b/>
      <sz val="10"/>
      <name val="Tahoma"/>
      <family val="2"/>
    </font>
    <font>
      <sz val="10"/>
      <color indexed="10"/>
      <name val="Tahoma"/>
      <family val="2"/>
    </font>
    <font>
      <sz val="11"/>
      <color indexed="8"/>
      <name val="Garamond"/>
      <family val="1"/>
    </font>
    <font>
      <b/>
      <sz val="11"/>
      <color indexed="8"/>
      <name val="Garamond"/>
      <family val="1"/>
    </font>
    <font>
      <b/>
      <u/>
      <sz val="11"/>
      <color indexed="8"/>
      <name val="Garamond"/>
      <family val="1"/>
    </font>
    <font>
      <b/>
      <sz val="11"/>
      <name val="Garamond"/>
      <family val="1"/>
    </font>
    <font>
      <sz val="11"/>
      <name val="Garamond"/>
      <family val="1"/>
    </font>
    <font>
      <sz val="11"/>
      <color theme="1"/>
      <name val="Calibri"/>
      <family val="2"/>
      <scheme val="minor"/>
    </font>
    <font>
      <b/>
      <sz val="11"/>
      <color theme="1"/>
      <name val="Calibri"/>
      <family val="2"/>
      <scheme val="minor"/>
    </font>
    <font>
      <sz val="11"/>
      <color rgb="FFFF0000"/>
      <name val="Calibri"/>
      <family val="2"/>
      <scheme val="minor"/>
    </font>
    <font>
      <sz val="10"/>
      <color rgb="FF000000"/>
      <name val="Tahoma"/>
      <family val="2"/>
    </font>
    <font>
      <b/>
      <sz val="10"/>
      <color theme="1"/>
      <name val="Tahoma"/>
      <family val="2"/>
    </font>
    <font>
      <sz val="10"/>
      <color theme="1"/>
      <name val="Tahoma"/>
      <family val="2"/>
    </font>
    <font>
      <b/>
      <u/>
      <sz val="10"/>
      <color theme="1"/>
      <name val="Tahoma"/>
      <family val="2"/>
    </font>
    <font>
      <b/>
      <i/>
      <sz val="10"/>
      <color theme="1"/>
      <name val="Tahoma"/>
      <family val="2"/>
    </font>
    <font>
      <b/>
      <sz val="10"/>
      <color rgb="FF000000"/>
      <name val="Tahoma"/>
      <family val="2"/>
    </font>
    <font>
      <b/>
      <sz val="10"/>
      <color theme="1"/>
      <name val="Thoma"/>
    </font>
    <font>
      <strike/>
      <sz val="11"/>
      <color rgb="FFFF0000"/>
      <name val="Calibri"/>
      <family val="2"/>
      <scheme val="minor"/>
    </font>
    <font>
      <b/>
      <strike/>
      <sz val="11"/>
      <color rgb="FFFF0000"/>
      <name val="Calibri"/>
      <family val="2"/>
      <scheme val="minor"/>
    </font>
    <font>
      <b/>
      <sz val="9"/>
      <color theme="1"/>
      <name val="Calibri"/>
      <family val="2"/>
      <scheme val="minor"/>
    </font>
    <font>
      <b/>
      <sz val="11"/>
      <color theme="1"/>
      <name val="Garamond"/>
      <family val="1"/>
    </font>
    <font>
      <sz val="11"/>
      <color theme="1"/>
      <name val="Garamond"/>
      <family val="1"/>
    </font>
    <font>
      <sz val="11"/>
      <name val="Calibri"/>
      <family val="2"/>
      <scheme val="minor"/>
    </font>
    <font>
      <sz val="12"/>
      <color rgb="FF000000"/>
      <name val="Times New Roman"/>
      <family val="1"/>
    </font>
    <font>
      <b/>
      <sz val="10.5"/>
      <color theme="1"/>
      <name val="Garamond"/>
      <family val="1"/>
    </font>
    <font>
      <b/>
      <sz val="12"/>
      <color rgb="FF000000"/>
      <name val="Times New Roman"/>
      <family val="1"/>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1" tint="0.499984740745262"/>
        <bgColor indexed="64"/>
      </patternFill>
    </fill>
    <fill>
      <patternFill patternType="solid">
        <fgColor rgb="FFFFFF99"/>
        <bgColor indexed="64"/>
      </patternFill>
    </fill>
    <fill>
      <patternFill patternType="solid">
        <fgColor rgb="FFFFFF00"/>
        <bgColor indexed="64"/>
      </patternFill>
    </fill>
    <fill>
      <patternFill patternType="solid">
        <fgColor theme="4" tint="0.39997558519241921"/>
        <bgColor indexed="64"/>
      </patternFill>
    </fill>
    <fill>
      <patternFill patternType="solid">
        <fgColor rgb="FFE5EA16"/>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diagonal/>
    </border>
    <border>
      <left style="thick">
        <color indexed="64"/>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6">
    <xf numFmtId="0" fontId="0" fillId="0" borderId="0"/>
    <xf numFmtId="43" fontId="1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1" fillId="0" borderId="0"/>
    <xf numFmtId="0" fontId="2" fillId="0" borderId="0"/>
    <xf numFmtId="0" fontId="14" fillId="0" borderId="0"/>
    <xf numFmtId="0" fontId="1" fillId="0" borderId="0"/>
    <xf numFmtId="9" fontId="14" fillId="0" borderId="0" applyFont="0" applyFill="0" applyBorder="0" applyAlignment="0" applyProtection="0"/>
    <xf numFmtId="9" fontId="14" fillId="0" borderId="0" applyFont="0" applyFill="0" applyBorder="0" applyAlignment="0" applyProtection="0"/>
    <xf numFmtId="9" fontId="2" fillId="0" borderId="0" applyFont="0" applyFill="0" applyBorder="0" applyAlignment="0" applyProtection="0"/>
    <xf numFmtId="0" fontId="3" fillId="0" borderId="0"/>
  </cellStyleXfs>
  <cellXfs count="371">
    <xf numFmtId="0" fontId="0" fillId="0" borderId="0" xfId="0"/>
    <xf numFmtId="0" fontId="0" fillId="0" borderId="1" xfId="0" applyBorder="1"/>
    <xf numFmtId="0" fontId="0" fillId="2" borderId="1" xfId="0" applyFill="1" applyBorder="1" applyAlignment="1">
      <alignment horizontal="left"/>
    </xf>
    <xf numFmtId="0" fontId="15" fillId="2" borderId="1" xfId="0" applyFont="1" applyFill="1" applyBorder="1" applyAlignment="1">
      <alignment horizontal="left"/>
    </xf>
    <xf numFmtId="0" fontId="0" fillId="0" borderId="0" xfId="0" applyFont="1"/>
    <xf numFmtId="0" fontId="0" fillId="0" borderId="1" xfId="0" applyBorder="1" applyAlignment="1" applyProtection="1">
      <alignment horizontal="right"/>
      <protection hidden="1"/>
    </xf>
    <xf numFmtId="0" fontId="0" fillId="3" borderId="1" xfId="0" applyFill="1" applyBorder="1" applyAlignment="1">
      <alignment horizontal="center"/>
    </xf>
    <xf numFmtId="0" fontId="0" fillId="3" borderId="1" xfId="0" applyFill="1" applyBorder="1"/>
    <xf numFmtId="0" fontId="15" fillId="0" borderId="0" xfId="0" applyFont="1"/>
    <xf numFmtId="0" fontId="0" fillId="4" borderId="1" xfId="0" applyFill="1" applyBorder="1" applyAlignment="1" applyProtection="1">
      <alignment horizontal="right"/>
      <protection locked="0"/>
    </xf>
    <xf numFmtId="14" fontId="0" fillId="4" borderId="1" xfId="0" applyNumberFormat="1" applyFill="1" applyBorder="1" applyAlignment="1" applyProtection="1">
      <alignment horizontal="right"/>
      <protection locked="0"/>
    </xf>
    <xf numFmtId="0" fontId="0" fillId="0" borderId="1" xfId="0" applyBorder="1" applyAlignment="1" applyProtection="1">
      <alignment horizontal="right"/>
      <protection locked="0"/>
    </xf>
    <xf numFmtId="0" fontId="0" fillId="0" borderId="0" xfId="0" applyProtection="1">
      <protection hidden="1"/>
    </xf>
    <xf numFmtId="0" fontId="5" fillId="0" borderId="2" xfId="6" applyFont="1" applyFill="1" applyBorder="1" applyAlignment="1" applyProtection="1">
      <protection hidden="1"/>
    </xf>
    <xf numFmtId="0" fontId="5" fillId="0" borderId="0" xfId="6" applyFont="1" applyFill="1" applyBorder="1" applyAlignment="1" applyProtection="1">
      <protection hidden="1"/>
    </xf>
    <xf numFmtId="0" fontId="4" fillId="0" borderId="3" xfId="6" applyFont="1" applyBorder="1" applyAlignment="1" applyProtection="1">
      <alignment horizontal="center" vertical="top" wrapText="1"/>
      <protection hidden="1"/>
    </xf>
    <xf numFmtId="0" fontId="4" fillId="0" borderId="4" xfId="6" applyFont="1" applyBorder="1" applyAlignment="1" applyProtection="1">
      <alignment horizontal="center" vertical="top" wrapText="1"/>
      <protection hidden="1"/>
    </xf>
    <xf numFmtId="0" fontId="5" fillId="0" borderId="0" xfId="6" applyFont="1" applyFill="1" applyBorder="1" applyProtection="1">
      <protection hidden="1"/>
    </xf>
    <xf numFmtId="10" fontId="4" fillId="0" borderId="5" xfId="6" applyNumberFormat="1" applyFont="1" applyBorder="1" applyAlignment="1" applyProtection="1">
      <alignment horizontal="center" vertical="top" wrapText="1"/>
      <protection hidden="1"/>
    </xf>
    <xf numFmtId="9" fontId="4" fillId="0" borderId="6" xfId="6" applyNumberFormat="1" applyFont="1" applyBorder="1" applyAlignment="1" applyProtection="1">
      <alignment horizontal="center" vertical="top" wrapText="1"/>
      <protection hidden="1"/>
    </xf>
    <xf numFmtId="0" fontId="15" fillId="0" borderId="0" xfId="0" applyFont="1" applyProtection="1">
      <protection hidden="1"/>
    </xf>
    <xf numFmtId="14" fontId="0" fillId="0" borderId="0" xfId="0" applyNumberFormat="1" applyProtection="1">
      <protection hidden="1"/>
    </xf>
    <xf numFmtId="0" fontId="6" fillId="0" borderId="0" xfId="6" applyFont="1" applyFill="1" applyBorder="1" applyAlignment="1" applyProtection="1">
      <alignment wrapText="1"/>
      <protection hidden="1"/>
    </xf>
    <xf numFmtId="0" fontId="5" fillId="0" borderId="0" xfId="6" applyFont="1" applyFill="1" applyBorder="1" applyAlignment="1" applyProtection="1">
      <alignment horizontal="left"/>
      <protection hidden="1"/>
    </xf>
    <xf numFmtId="0" fontId="6" fillId="0" borderId="7" xfId="6" applyFont="1" applyFill="1" applyBorder="1" applyAlignment="1" applyProtection="1">
      <alignment wrapText="1"/>
      <protection hidden="1"/>
    </xf>
    <xf numFmtId="0" fontId="6" fillId="0" borderId="8" xfId="6" applyFont="1" applyFill="1" applyBorder="1" applyAlignment="1" applyProtection="1">
      <alignment wrapText="1"/>
      <protection hidden="1"/>
    </xf>
    <xf numFmtId="0" fontId="17" fillId="0" borderId="3" xfId="6" applyFont="1" applyBorder="1" applyAlignment="1" applyProtection="1">
      <alignment horizontal="center"/>
      <protection hidden="1"/>
    </xf>
    <xf numFmtId="0" fontId="17" fillId="0" borderId="4" xfId="6" applyFont="1" applyBorder="1" applyAlignment="1" applyProtection="1">
      <alignment horizontal="center"/>
      <protection hidden="1"/>
    </xf>
    <xf numFmtId="0" fontId="17" fillId="0" borderId="5" xfId="6" applyFont="1" applyBorder="1" applyAlignment="1" applyProtection="1">
      <alignment horizontal="center"/>
      <protection hidden="1"/>
    </xf>
    <xf numFmtId="10" fontId="17" fillId="0" borderId="6" xfId="6" applyNumberFormat="1" applyFont="1" applyBorder="1" applyAlignment="1" applyProtection="1">
      <alignment horizontal="center"/>
      <protection hidden="1"/>
    </xf>
    <xf numFmtId="0" fontId="0" fillId="0" borderId="1" xfId="0" applyBorder="1" applyProtection="1">
      <protection hidden="1"/>
    </xf>
    <xf numFmtId="0" fontId="18" fillId="0" borderId="0" xfId="6" applyFont="1" applyFill="1" applyBorder="1" applyProtection="1">
      <protection hidden="1"/>
    </xf>
    <xf numFmtId="0" fontId="19" fillId="0" borderId="0" xfId="6" applyFont="1" applyFill="1" applyBorder="1" applyProtection="1">
      <protection hidden="1"/>
    </xf>
    <xf numFmtId="0" fontId="19" fillId="0" borderId="1" xfId="6" applyFont="1" applyBorder="1" applyAlignment="1" applyProtection="1">
      <alignment vertical="center"/>
      <protection hidden="1"/>
    </xf>
    <xf numFmtId="0" fontId="19" fillId="0" borderId="1" xfId="6" applyFont="1" applyBorder="1" applyAlignment="1" applyProtection="1">
      <alignment horizontal="center" vertical="center" wrapText="1"/>
      <protection hidden="1"/>
    </xf>
    <xf numFmtId="3" fontId="4" fillId="0" borderId="1" xfId="6" applyNumberFormat="1" applyFont="1" applyBorder="1" applyAlignment="1" applyProtection="1">
      <alignment horizontal="center" vertical="center" wrapText="1"/>
      <protection hidden="1"/>
    </xf>
    <xf numFmtId="0" fontId="19" fillId="0" borderId="1" xfId="6" applyFont="1" applyFill="1" applyBorder="1" applyAlignment="1" applyProtection="1">
      <alignment horizontal="center" wrapText="1"/>
      <protection hidden="1"/>
    </xf>
    <xf numFmtId="0" fontId="19" fillId="0" borderId="1" xfId="6" applyFont="1" applyFill="1" applyBorder="1" applyAlignment="1" applyProtection="1">
      <alignment horizontal="center"/>
      <protection hidden="1"/>
    </xf>
    <xf numFmtId="3" fontId="19" fillId="0" borderId="1" xfId="2" applyNumberFormat="1" applyFont="1" applyFill="1" applyBorder="1" applyAlignment="1" applyProtection="1">
      <alignment horizontal="center"/>
      <protection hidden="1"/>
    </xf>
    <xf numFmtId="0" fontId="19" fillId="0" borderId="0" xfId="6" applyFont="1" applyBorder="1" applyProtection="1">
      <protection hidden="1"/>
    </xf>
    <xf numFmtId="0" fontId="18" fillId="0" borderId="0" xfId="6" applyFont="1" applyBorder="1" applyProtection="1">
      <protection hidden="1"/>
    </xf>
    <xf numFmtId="0" fontId="19" fillId="0" borderId="0" xfId="6" applyFont="1" applyBorder="1" applyAlignment="1" applyProtection="1">
      <alignment wrapText="1"/>
      <protection hidden="1"/>
    </xf>
    <xf numFmtId="0" fontId="4" fillId="0" borderId="1" xfId="6" applyFont="1" applyBorder="1" applyAlignment="1" applyProtection="1">
      <alignment horizontal="center" vertical="center" wrapText="1"/>
      <protection hidden="1"/>
    </xf>
    <xf numFmtId="0" fontId="4" fillId="0" borderId="1" xfId="6" applyFont="1" applyBorder="1" applyAlignment="1" applyProtection="1">
      <alignment horizontal="center" vertical="top" wrapText="1"/>
      <protection hidden="1"/>
    </xf>
    <xf numFmtId="9" fontId="4" fillId="0" borderId="1" xfId="6" applyNumberFormat="1" applyFont="1" applyBorder="1" applyAlignment="1" applyProtection="1">
      <alignment horizontal="center" vertical="top" wrapText="1"/>
      <protection hidden="1"/>
    </xf>
    <xf numFmtId="3" fontId="7" fillId="0" borderId="1" xfId="6" applyNumberFormat="1" applyFont="1" applyBorder="1" applyAlignment="1" applyProtection="1">
      <alignment horizontal="center" vertical="center"/>
      <protection hidden="1"/>
    </xf>
    <xf numFmtId="0" fontId="19" fillId="0" borderId="1" xfId="6" applyFont="1" applyBorder="1" applyAlignment="1" applyProtection="1">
      <alignment horizontal="center"/>
      <protection hidden="1"/>
    </xf>
    <xf numFmtId="0" fontId="20" fillId="0" borderId="9" xfId="6" applyFont="1" applyBorder="1" applyProtection="1">
      <protection hidden="1"/>
    </xf>
    <xf numFmtId="0" fontId="19" fillId="0" borderId="9" xfId="6" applyFont="1" applyBorder="1" applyProtection="1">
      <protection hidden="1"/>
    </xf>
    <xf numFmtId="0" fontId="18" fillId="0" borderId="9" xfId="6" applyFont="1" applyBorder="1" applyProtection="1">
      <protection hidden="1"/>
    </xf>
    <xf numFmtId="0" fontId="19" fillId="0" borderId="9" xfId="6" applyFont="1" applyBorder="1" applyAlignment="1" applyProtection="1">
      <alignment horizontal="left"/>
      <protection hidden="1"/>
    </xf>
    <xf numFmtId="0" fontId="18" fillId="0" borderId="9" xfId="6" applyFont="1" applyBorder="1" applyAlignment="1" applyProtection="1">
      <protection hidden="1"/>
    </xf>
    <xf numFmtId="0" fontId="21" fillId="0" borderId="0" xfId="6" applyFont="1" applyBorder="1" applyAlignment="1" applyProtection="1">
      <protection hidden="1"/>
    </xf>
    <xf numFmtId="0" fontId="22" fillId="0" borderId="3" xfId="6" applyFont="1" applyBorder="1" applyAlignment="1" applyProtection="1">
      <alignment horizontal="center" vertical="top" wrapText="1"/>
      <protection hidden="1"/>
    </xf>
    <xf numFmtId="0" fontId="22" fillId="0" borderId="4" xfId="6" applyFont="1" applyBorder="1" applyAlignment="1" applyProtection="1">
      <alignment horizontal="center" vertical="top" wrapText="1"/>
      <protection hidden="1"/>
    </xf>
    <xf numFmtId="0" fontId="17" fillId="0" borderId="5" xfId="6" applyFont="1" applyBorder="1" applyAlignment="1" applyProtection="1">
      <alignment horizontal="center" vertical="top" wrapText="1"/>
      <protection hidden="1"/>
    </xf>
    <xf numFmtId="0" fontId="4" fillId="0" borderId="6" xfId="6" applyFont="1" applyBorder="1" applyAlignment="1" applyProtection="1">
      <alignment horizontal="center" wrapText="1"/>
      <protection hidden="1"/>
    </xf>
    <xf numFmtId="9" fontId="0" fillId="0" borderId="0" xfId="0" applyNumberFormat="1" applyProtection="1">
      <protection hidden="1"/>
    </xf>
    <xf numFmtId="10" fontId="4" fillId="0" borderId="6" xfId="6" applyNumberFormat="1" applyFont="1" applyBorder="1" applyAlignment="1" applyProtection="1">
      <alignment horizontal="center" wrapText="1"/>
      <protection hidden="1"/>
    </xf>
    <xf numFmtId="3" fontId="0" fillId="0" borderId="1" xfId="0" applyNumberFormat="1" applyBorder="1" applyProtection="1">
      <protection hidden="1"/>
    </xf>
    <xf numFmtId="3" fontId="4" fillId="0" borderId="1" xfId="6" applyNumberFormat="1" applyFont="1" applyBorder="1" applyAlignment="1" applyProtection="1">
      <alignment horizontal="center"/>
      <protection hidden="1"/>
    </xf>
    <xf numFmtId="3" fontId="19" fillId="0" borderId="0" xfId="6" applyNumberFormat="1" applyFont="1" applyBorder="1" applyProtection="1">
      <protection hidden="1"/>
    </xf>
    <xf numFmtId="0" fontId="19" fillId="0" borderId="9" xfId="6" applyFont="1" applyBorder="1" applyAlignment="1" applyProtection="1">
      <protection hidden="1"/>
    </xf>
    <xf numFmtId="0" fontId="5" fillId="0" borderId="9" xfId="6" applyFont="1" applyFill="1" applyBorder="1" applyProtection="1">
      <protection hidden="1"/>
    </xf>
    <xf numFmtId="0" fontId="5" fillId="0" borderId="0" xfId="6" applyFont="1" applyFill="1" applyBorder="1" applyAlignment="1" applyProtection="1">
      <alignment wrapText="1"/>
      <protection hidden="1"/>
    </xf>
    <xf numFmtId="0" fontId="5" fillId="0" borderId="10" xfId="6" applyFont="1" applyFill="1" applyBorder="1" applyProtection="1">
      <protection hidden="1"/>
    </xf>
    <xf numFmtId="0" fontId="5" fillId="0" borderId="11" xfId="6" applyFont="1" applyFill="1" applyBorder="1" applyProtection="1">
      <protection hidden="1"/>
    </xf>
    <xf numFmtId="0" fontId="5" fillId="0" borderId="11" xfId="6" applyFont="1" applyFill="1" applyBorder="1" applyAlignment="1" applyProtection="1">
      <alignment wrapText="1"/>
      <protection hidden="1"/>
    </xf>
    <xf numFmtId="0" fontId="0" fillId="0" borderId="0" xfId="0" applyProtection="1">
      <protection locked="0"/>
    </xf>
    <xf numFmtId="0" fontId="7" fillId="0" borderId="12" xfId="6" applyFont="1" applyBorder="1" applyAlignment="1" applyProtection="1">
      <alignment horizontal="center" vertical="center" wrapText="1"/>
      <protection hidden="1"/>
    </xf>
    <xf numFmtId="3" fontId="0" fillId="0" borderId="13" xfId="0" applyNumberFormat="1" applyBorder="1" applyProtection="1">
      <protection hidden="1"/>
    </xf>
    <xf numFmtId="0" fontId="0" fillId="0" borderId="14" xfId="0" applyBorder="1" applyProtection="1">
      <protection hidden="1"/>
    </xf>
    <xf numFmtId="0" fontId="7" fillId="0" borderId="0" xfId="6" applyFont="1" applyBorder="1" applyAlignment="1" applyProtection="1">
      <alignment horizontal="center" vertical="center" wrapText="1"/>
      <protection hidden="1"/>
    </xf>
    <xf numFmtId="3" fontId="0" fillId="0" borderId="0" xfId="0" applyNumberFormat="1" applyBorder="1" applyProtection="1">
      <protection hidden="1"/>
    </xf>
    <xf numFmtId="3" fontId="0" fillId="0" borderId="12" xfId="0" applyNumberFormat="1" applyBorder="1" applyProtection="1">
      <protection hidden="1"/>
    </xf>
    <xf numFmtId="0" fontId="23" fillId="0" borderId="0" xfId="0" applyFont="1" applyProtection="1">
      <protection hidden="1"/>
    </xf>
    <xf numFmtId="0" fontId="0" fillId="0" borderId="0" xfId="0" applyFont="1" applyProtection="1">
      <protection hidden="1"/>
    </xf>
    <xf numFmtId="3" fontId="7" fillId="0" borderId="1" xfId="6" applyNumberFormat="1" applyFont="1" applyFill="1" applyBorder="1" applyAlignment="1" applyProtection="1">
      <alignment horizontal="center" vertical="center"/>
      <protection hidden="1"/>
    </xf>
    <xf numFmtId="0" fontId="0" fillId="5" borderId="0" xfId="0" applyNumberFormat="1" applyFill="1" applyAlignment="1" applyProtection="1">
      <alignment horizontal="left"/>
      <protection hidden="1"/>
    </xf>
    <xf numFmtId="0" fontId="0" fillId="5" borderId="0" xfId="0" applyNumberFormat="1" applyFill="1" applyAlignment="1" applyProtection="1">
      <alignment horizontal="left" wrapText="1"/>
      <protection hidden="1"/>
    </xf>
    <xf numFmtId="3" fontId="0" fillId="0" borderId="0" xfId="0" applyNumberFormat="1" applyProtection="1">
      <protection hidden="1"/>
    </xf>
    <xf numFmtId="2" fontId="4" fillId="0" borderId="1" xfId="0" applyNumberFormat="1" applyFont="1" applyBorder="1" applyAlignment="1">
      <alignment horizontal="center"/>
    </xf>
    <xf numFmtId="0" fontId="0" fillId="0" borderId="0" xfId="0" applyNumberFormat="1" applyAlignment="1" applyProtection="1">
      <alignment horizontal="left" wrapText="1"/>
      <protection hidden="1"/>
    </xf>
    <xf numFmtId="0" fontId="4" fillId="0" borderId="0" xfId="6" applyFont="1" applyBorder="1" applyAlignment="1" applyProtection="1">
      <alignment horizontal="center" vertical="center" wrapText="1"/>
      <protection hidden="1"/>
    </xf>
    <xf numFmtId="10" fontId="4" fillId="0" borderId="0" xfId="6" applyNumberFormat="1" applyFont="1" applyBorder="1" applyAlignment="1" applyProtection="1">
      <alignment horizontal="center" vertical="top" wrapText="1"/>
      <protection hidden="1"/>
    </xf>
    <xf numFmtId="9" fontId="4" fillId="0" borderId="0" xfId="6" applyNumberFormat="1" applyFont="1" applyBorder="1" applyAlignment="1" applyProtection="1">
      <alignment horizontal="center" vertical="top" wrapText="1"/>
      <protection hidden="1"/>
    </xf>
    <xf numFmtId="0" fontId="24" fillId="0" borderId="0" xfId="0" applyFont="1" applyProtection="1">
      <protection hidden="1"/>
    </xf>
    <xf numFmtId="0" fontId="25" fillId="5" borderId="0" xfId="0" applyFont="1" applyFill="1" applyProtection="1">
      <protection hidden="1"/>
    </xf>
    <xf numFmtId="164" fontId="14" fillId="0" borderId="1" xfId="1" applyNumberFormat="1" applyFont="1" applyBorder="1" applyProtection="1">
      <protection hidden="1"/>
    </xf>
    <xf numFmtId="0" fontId="16" fillId="5" borderId="1" xfId="0" applyFont="1" applyFill="1" applyBorder="1" applyAlignment="1" applyProtection="1">
      <alignment horizontal="center" wrapText="1"/>
      <protection hidden="1"/>
    </xf>
    <xf numFmtId="0" fontId="19" fillId="5" borderId="1" xfId="6" applyFont="1" applyFill="1" applyBorder="1" applyAlignment="1" applyProtection="1">
      <alignment horizontal="center" vertical="center" wrapText="1"/>
      <protection hidden="1"/>
    </xf>
    <xf numFmtId="164" fontId="0" fillId="0" borderId="0" xfId="0" applyNumberFormat="1" applyProtection="1">
      <protection hidden="1"/>
    </xf>
    <xf numFmtId="164" fontId="16" fillId="5" borderId="1" xfId="1" applyNumberFormat="1" applyFont="1" applyFill="1" applyBorder="1" applyAlignment="1" applyProtection="1">
      <alignment horizontal="center" wrapText="1"/>
      <protection hidden="1"/>
    </xf>
    <xf numFmtId="0" fontId="16" fillId="5" borderId="0" xfId="0" applyFont="1" applyFill="1" applyAlignment="1" applyProtection="1">
      <alignment horizontal="left"/>
      <protection hidden="1"/>
    </xf>
    <xf numFmtId="0" fontId="0" fillId="0" borderId="1" xfId="0" applyBorder="1" applyAlignment="1" applyProtection="1">
      <alignment horizontal="center"/>
      <protection hidden="1"/>
    </xf>
    <xf numFmtId="0" fontId="0" fillId="0" borderId="15" xfId="0" applyBorder="1" applyAlignment="1">
      <alignment horizontal="center"/>
    </xf>
    <xf numFmtId="0" fontId="26" fillId="4" borderId="1" xfId="0" applyFont="1" applyFill="1" applyBorder="1" applyAlignment="1" applyProtection="1">
      <alignment horizontal="right"/>
      <protection locked="0"/>
    </xf>
    <xf numFmtId="0" fontId="0" fillId="0" borderId="1" xfId="0" applyFont="1" applyBorder="1" applyAlignment="1" applyProtection="1">
      <alignment horizontal="center"/>
      <protection hidden="1"/>
    </xf>
    <xf numFmtId="0" fontId="27" fillId="0" borderId="12" xfId="0" applyFont="1" applyBorder="1" applyAlignment="1" applyProtection="1">
      <alignment horizontal="center"/>
      <protection hidden="1"/>
    </xf>
    <xf numFmtId="0" fontId="27" fillId="0" borderId="0" xfId="0" applyFont="1" applyBorder="1" applyAlignment="1" applyProtection="1">
      <alignment horizontal="center"/>
      <protection hidden="1"/>
    </xf>
    <xf numFmtId="0" fontId="27" fillId="0" borderId="16" xfId="0" applyFont="1" applyBorder="1" applyAlignment="1" applyProtection="1">
      <alignment horizontal="center"/>
      <protection hidden="1"/>
    </xf>
    <xf numFmtId="0" fontId="28" fillId="0" borderId="12" xfId="0" applyFont="1" applyBorder="1" applyProtection="1">
      <protection hidden="1"/>
    </xf>
    <xf numFmtId="0" fontId="28" fillId="0" borderId="0" xfId="0" applyFont="1" applyBorder="1" applyProtection="1">
      <protection hidden="1"/>
    </xf>
    <xf numFmtId="0" fontId="28" fillId="0" borderId="16" xfId="0" applyFont="1" applyBorder="1" applyProtection="1">
      <protection hidden="1"/>
    </xf>
    <xf numFmtId="0" fontId="27" fillId="0" borderId="0" xfId="0" applyFont="1" applyBorder="1" applyAlignment="1">
      <alignment vertical="center"/>
    </xf>
    <xf numFmtId="0" fontId="27" fillId="0" borderId="0" xfId="0" applyFont="1" applyBorder="1" applyAlignment="1" applyProtection="1">
      <alignment vertical="center"/>
      <protection hidden="1"/>
    </xf>
    <xf numFmtId="0" fontId="28" fillId="0" borderId="16" xfId="0" applyFont="1" applyBorder="1" applyAlignment="1" applyProtection="1">
      <alignment vertical="center"/>
      <protection hidden="1"/>
    </xf>
    <xf numFmtId="0" fontId="17" fillId="0" borderId="17" xfId="6" applyFont="1" applyBorder="1" applyAlignment="1" applyProtection="1">
      <alignment horizontal="center"/>
      <protection hidden="1"/>
    </xf>
    <xf numFmtId="0" fontId="17" fillId="0" borderId="18" xfId="6" applyFont="1" applyBorder="1" applyAlignment="1" applyProtection="1">
      <alignment horizontal="center"/>
      <protection hidden="1"/>
    </xf>
    <xf numFmtId="0" fontId="17" fillId="0" borderId="1" xfId="6" applyFont="1" applyBorder="1" applyAlignment="1" applyProtection="1">
      <alignment horizontal="center"/>
      <protection hidden="1"/>
    </xf>
    <xf numFmtId="10" fontId="14" fillId="0" borderId="1" xfId="12" applyNumberFormat="1" applyFont="1" applyBorder="1" applyAlignment="1">
      <alignment horizontal="center" vertical="center" wrapText="1"/>
    </xf>
    <xf numFmtId="0" fontId="28" fillId="0" borderId="12" xfId="0" applyNumberFormat="1" applyFont="1" applyBorder="1" applyAlignment="1" applyProtection="1">
      <protection hidden="1"/>
    </xf>
    <xf numFmtId="0" fontId="28" fillId="0" borderId="0" xfId="0" applyNumberFormat="1" applyFont="1" applyBorder="1" applyAlignment="1" applyProtection="1">
      <alignment wrapText="1"/>
      <protection hidden="1"/>
    </xf>
    <xf numFmtId="0" fontId="28" fillId="0" borderId="16" xfId="0" applyNumberFormat="1" applyFont="1" applyBorder="1" applyAlignment="1" applyProtection="1">
      <alignment wrapText="1"/>
      <protection hidden="1"/>
    </xf>
    <xf numFmtId="0" fontId="13" fillId="0" borderId="12" xfId="0" applyFont="1" applyFill="1" applyBorder="1" applyAlignment="1" applyProtection="1">
      <alignment horizontal="left" vertical="top" wrapText="1"/>
      <protection hidden="1"/>
    </xf>
    <xf numFmtId="0" fontId="13" fillId="0" borderId="0" xfId="0" applyFont="1" applyFill="1" applyBorder="1" applyAlignment="1" applyProtection="1">
      <alignment horizontal="left" vertical="top" wrapText="1"/>
      <protection hidden="1"/>
    </xf>
    <xf numFmtId="0" fontId="13" fillId="0" borderId="16" xfId="0" applyFont="1" applyFill="1" applyBorder="1" applyAlignment="1" applyProtection="1">
      <alignment horizontal="left" vertical="top" wrapText="1"/>
      <protection hidden="1"/>
    </xf>
    <xf numFmtId="0" fontId="0" fillId="0" borderId="0" xfId="0" applyBorder="1" applyProtection="1">
      <protection hidden="1"/>
    </xf>
    <xf numFmtId="0" fontId="0" fillId="0" borderId="0" xfId="0" applyFill="1" applyBorder="1" applyProtection="1">
      <protection hidden="1"/>
    </xf>
    <xf numFmtId="0" fontId="28" fillId="0" borderId="0" xfId="0" applyFont="1" applyFill="1" applyBorder="1" applyProtection="1">
      <protection hidden="1"/>
    </xf>
    <xf numFmtId="0" fontId="12" fillId="0" borderId="0" xfId="0" applyFont="1" applyFill="1" applyBorder="1" applyAlignment="1" applyProtection="1">
      <alignment horizontal="left" vertical="top" wrapText="1"/>
      <protection hidden="1"/>
    </xf>
    <xf numFmtId="0" fontId="13" fillId="0" borderId="0" xfId="0" applyFont="1" applyFill="1" applyBorder="1" applyAlignment="1" applyProtection="1">
      <alignment horizontal="center" vertical="top" wrapText="1"/>
      <protection hidden="1"/>
    </xf>
    <xf numFmtId="0" fontId="13" fillId="0" borderId="16" xfId="0" applyFont="1" applyFill="1" applyBorder="1" applyAlignment="1" applyProtection="1">
      <alignment horizontal="center" vertical="top" wrapText="1"/>
      <protection hidden="1"/>
    </xf>
    <xf numFmtId="0" fontId="12" fillId="0" borderId="12" xfId="0" applyFont="1" applyFill="1" applyBorder="1" applyAlignment="1" applyProtection="1">
      <alignment horizontal="left" vertical="top" wrapText="1"/>
      <protection hidden="1"/>
    </xf>
    <xf numFmtId="0" fontId="12" fillId="0" borderId="0" xfId="0" applyFont="1" applyFill="1" applyBorder="1" applyAlignment="1" applyProtection="1">
      <alignment horizontal="center" vertical="top" wrapText="1"/>
      <protection hidden="1"/>
    </xf>
    <xf numFmtId="0" fontId="12" fillId="0" borderId="16" xfId="0" applyFont="1" applyFill="1" applyBorder="1" applyAlignment="1" applyProtection="1">
      <alignment horizontal="center" vertical="top" wrapText="1"/>
      <protection hidden="1"/>
    </xf>
    <xf numFmtId="0" fontId="4" fillId="0" borderId="13" xfId="6" applyFont="1" applyBorder="1" applyAlignment="1" applyProtection="1">
      <alignment vertical="center" wrapText="1"/>
      <protection hidden="1"/>
    </xf>
    <xf numFmtId="0" fontId="0" fillId="0" borderId="1" xfId="0" applyBorder="1" applyAlignment="1" applyProtection="1">
      <alignment horizontal="center" vertical="center"/>
      <protection hidden="1"/>
    </xf>
    <xf numFmtId="0" fontId="13" fillId="0" borderId="0" xfId="0" applyFont="1" applyFill="1" applyBorder="1" applyAlignment="1" applyProtection="1">
      <alignment horizontal="left" vertical="center" wrapText="1"/>
      <protection hidden="1"/>
    </xf>
    <xf numFmtId="0" fontId="0" fillId="0" borderId="0" xfId="0" applyAlignment="1" applyProtection="1">
      <alignment vertical="center"/>
      <protection hidden="1"/>
    </xf>
    <xf numFmtId="0" fontId="28" fillId="0" borderId="0" xfId="0" applyFont="1" applyBorder="1" applyAlignment="1" applyProtection="1">
      <alignment horizontal="center"/>
      <protection hidden="1"/>
    </xf>
    <xf numFmtId="0" fontId="27" fillId="6" borderId="13" xfId="0" applyFont="1" applyFill="1" applyBorder="1" applyProtection="1">
      <protection hidden="1"/>
    </xf>
    <xf numFmtId="0" fontId="28" fillId="6" borderId="19" xfId="0" applyFont="1" applyFill="1" applyBorder="1" applyProtection="1">
      <protection hidden="1"/>
    </xf>
    <xf numFmtId="0" fontId="28" fillId="6" borderId="20" xfId="0" applyFont="1" applyFill="1" applyBorder="1" applyProtection="1">
      <protection hidden="1"/>
    </xf>
    <xf numFmtId="1" fontId="28" fillId="0" borderId="0" xfId="0" applyNumberFormat="1" applyFont="1" applyBorder="1" applyProtection="1">
      <protection hidden="1"/>
    </xf>
    <xf numFmtId="3" fontId="28" fillId="0" borderId="16" xfId="0" applyNumberFormat="1" applyFont="1" applyBorder="1" applyProtection="1">
      <protection hidden="1"/>
    </xf>
    <xf numFmtId="0" fontId="28" fillId="0" borderId="1" xfId="0" applyFont="1" applyBorder="1" applyProtection="1">
      <protection hidden="1"/>
    </xf>
    <xf numFmtId="0" fontId="22" fillId="0" borderId="1" xfId="6" applyFont="1" applyBorder="1" applyAlignment="1" applyProtection="1">
      <alignment horizontal="center" vertical="top" wrapText="1"/>
      <protection hidden="1"/>
    </xf>
    <xf numFmtId="0" fontId="22" fillId="0" borderId="13" xfId="6" applyFont="1" applyBorder="1" applyAlignment="1" applyProtection="1">
      <alignment vertical="top" wrapText="1"/>
      <protection hidden="1"/>
    </xf>
    <xf numFmtId="0" fontId="15" fillId="0" borderId="1" xfId="0" applyFont="1" applyBorder="1" applyAlignment="1" applyProtection="1">
      <alignment horizontal="center"/>
      <protection hidden="1"/>
    </xf>
    <xf numFmtId="0" fontId="17" fillId="0" borderId="1" xfId="6" applyFont="1" applyBorder="1" applyAlignment="1" applyProtection="1">
      <alignment horizontal="center" vertical="top" wrapText="1"/>
      <protection hidden="1"/>
    </xf>
    <xf numFmtId="9" fontId="28" fillId="0" borderId="16" xfId="12" applyFont="1" applyBorder="1" applyProtection="1">
      <protection hidden="1"/>
    </xf>
    <xf numFmtId="0" fontId="27" fillId="0" borderId="12" xfId="0" applyFont="1" applyBorder="1" applyProtection="1">
      <protection hidden="1"/>
    </xf>
    <xf numFmtId="0" fontId="13" fillId="0" borderId="16" xfId="0" applyFont="1" applyBorder="1" applyAlignment="1" applyProtection="1">
      <alignment vertical="center"/>
      <protection hidden="1"/>
    </xf>
    <xf numFmtId="0" fontId="4" fillId="0" borderId="12" xfId="0" applyFont="1" applyFill="1" applyBorder="1" applyAlignment="1" applyProtection="1">
      <alignment vertical="top"/>
      <protection hidden="1"/>
    </xf>
    <xf numFmtId="0" fontId="4" fillId="0" borderId="0" xfId="0" applyFont="1" applyFill="1" applyBorder="1" applyAlignment="1" applyProtection="1">
      <alignment vertical="top"/>
      <protection hidden="1"/>
    </xf>
    <xf numFmtId="0" fontId="13" fillId="0" borderId="0" xfId="0" applyFont="1" applyFill="1" applyBorder="1" applyAlignment="1" applyProtection="1">
      <alignment vertical="top"/>
      <protection hidden="1"/>
    </xf>
    <xf numFmtId="0" fontId="28" fillId="0" borderId="21" xfId="0" applyFont="1" applyBorder="1" applyProtection="1">
      <protection hidden="1"/>
    </xf>
    <xf numFmtId="0" fontId="28" fillId="0" borderId="22" xfId="0" applyFont="1" applyBorder="1" applyProtection="1">
      <protection hidden="1"/>
    </xf>
    <xf numFmtId="0" fontId="27" fillId="0" borderId="0" xfId="0" applyFont="1" applyBorder="1" applyAlignment="1" applyProtection="1">
      <alignment horizontal="center" vertical="center"/>
      <protection hidden="1"/>
    </xf>
    <xf numFmtId="0" fontId="27" fillId="0" borderId="0" xfId="0" applyFont="1" applyFill="1" applyBorder="1" applyAlignment="1">
      <alignment horizontal="center"/>
    </xf>
    <xf numFmtId="0" fontId="28" fillId="0" borderId="0" xfId="0" applyFont="1" applyBorder="1" applyAlignment="1" applyProtection="1">
      <alignment vertical="center"/>
      <protection hidden="1"/>
    </xf>
    <xf numFmtId="0" fontId="13" fillId="0" borderId="12" xfId="0" applyFont="1" applyFill="1" applyBorder="1" applyAlignment="1" applyProtection="1">
      <alignment vertical="center"/>
      <protection hidden="1"/>
    </xf>
    <xf numFmtId="0" fontId="13" fillId="0" borderId="0" xfId="0" applyFont="1" applyFill="1" applyBorder="1" applyAlignment="1" applyProtection="1">
      <alignment vertical="center"/>
      <protection hidden="1"/>
    </xf>
    <xf numFmtId="0" fontId="13" fillId="0" borderId="16" xfId="0" applyFont="1" applyFill="1" applyBorder="1" applyAlignment="1" applyProtection="1">
      <alignment vertical="center"/>
      <protection hidden="1"/>
    </xf>
    <xf numFmtId="0" fontId="29" fillId="0" borderId="0" xfId="0" applyFont="1" applyProtection="1">
      <protection hidden="1"/>
    </xf>
    <xf numFmtId="0" fontId="15" fillId="0" borderId="1" xfId="0" applyFont="1" applyBorder="1" applyAlignment="1">
      <alignment horizontal="center"/>
    </xf>
    <xf numFmtId="0" fontId="1" fillId="0" borderId="1" xfId="0" applyFont="1" applyBorder="1" applyAlignment="1">
      <alignment horizontal="center"/>
    </xf>
    <xf numFmtId="43" fontId="14" fillId="0" borderId="1" xfId="1" applyNumberFormat="1" applyFont="1" applyBorder="1"/>
    <xf numFmtId="0" fontId="0" fillId="0" borderId="0" xfId="0" applyAlignment="1">
      <alignment wrapText="1"/>
    </xf>
    <xf numFmtId="0" fontId="0" fillId="0" borderId="1" xfId="0" applyBorder="1" applyAlignment="1">
      <alignment horizontal="center"/>
    </xf>
    <xf numFmtId="10" fontId="14" fillId="0" borderId="1" xfId="12" applyNumberFormat="1" applyBorder="1"/>
    <xf numFmtId="0" fontId="7" fillId="0" borderId="1" xfId="0" applyFont="1" applyBorder="1" applyAlignment="1">
      <alignment horizontal="center" vertical="center"/>
    </xf>
    <xf numFmtId="16" fontId="15" fillId="0" borderId="1" xfId="0" applyNumberFormat="1" applyFont="1" applyBorder="1" applyAlignment="1">
      <alignment horizontal="center" vertical="center" wrapText="1"/>
    </xf>
    <xf numFmtId="0" fontId="4" fillId="0" borderId="1" xfId="0" applyFont="1" applyBorder="1" applyAlignment="1">
      <alignment horizontal="center"/>
    </xf>
    <xf numFmtId="0" fontId="7"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7" borderId="1" xfId="0" applyFill="1" applyBorder="1" applyAlignment="1" applyProtection="1">
      <alignment horizontal="center" vertical="center"/>
      <protection locked="0" hidden="1"/>
    </xf>
    <xf numFmtId="0" fontId="0" fillId="7" borderId="1" xfId="0" applyFill="1" applyBorder="1" applyAlignment="1" applyProtection="1">
      <alignment horizontal="center" vertical="center"/>
      <protection locked="0"/>
    </xf>
    <xf numFmtId="0" fontId="0" fillId="0" borderId="23" xfId="0" applyBorder="1"/>
    <xf numFmtId="0" fontId="30" fillId="0" borderId="5" xfId="0" applyFont="1" applyBorder="1" applyAlignment="1">
      <alignment horizontal="center" vertical="center"/>
    </xf>
    <xf numFmtId="9" fontId="30" fillId="0" borderId="20" xfId="0" applyNumberFormat="1" applyFont="1" applyBorder="1" applyAlignment="1">
      <alignment horizontal="center" vertical="center" wrapText="1"/>
    </xf>
    <xf numFmtId="9" fontId="30" fillId="0" borderId="24" xfId="0" applyNumberFormat="1" applyFont="1" applyBorder="1" applyAlignment="1">
      <alignment horizontal="center" vertical="center"/>
    </xf>
    <xf numFmtId="0" fontId="30" fillId="0" borderId="20" xfId="0" applyFont="1" applyBorder="1" applyAlignment="1">
      <alignment horizontal="center" vertical="center" wrapText="1"/>
    </xf>
    <xf numFmtId="0" fontId="30" fillId="0" borderId="25" xfId="0" applyFont="1" applyBorder="1" applyAlignment="1">
      <alignment horizontal="center" vertical="center" wrapText="1"/>
    </xf>
    <xf numFmtId="9" fontId="30" fillId="0" borderId="26" xfId="0" applyNumberFormat="1" applyFont="1" applyBorder="1" applyAlignment="1">
      <alignment horizontal="center" vertical="center"/>
    </xf>
    <xf numFmtId="0" fontId="30" fillId="0" borderId="27" xfId="0" applyFont="1" applyBorder="1" applyAlignment="1">
      <alignment vertical="center" wrapText="1"/>
    </xf>
    <xf numFmtId="0" fontId="30" fillId="0" borderId="28" xfId="0" applyFont="1" applyBorder="1" applyAlignment="1">
      <alignment vertical="center" wrapText="1"/>
    </xf>
    <xf numFmtId="10" fontId="0" fillId="0" borderId="1" xfId="0" applyNumberFormat="1" applyBorder="1" applyAlignment="1" applyProtection="1">
      <alignment horizontal="center"/>
      <protection hidden="1"/>
    </xf>
    <xf numFmtId="0" fontId="27" fillId="0" borderId="0" xfId="0" applyFont="1" applyBorder="1" applyAlignment="1" applyProtection="1">
      <alignment horizontal="center" vertical="center"/>
      <protection hidden="1"/>
    </xf>
    <xf numFmtId="0" fontId="27" fillId="0" borderId="12" xfId="0" applyFont="1" applyBorder="1" applyAlignment="1" applyProtection="1">
      <alignment horizontal="center"/>
      <protection hidden="1"/>
    </xf>
    <xf numFmtId="0" fontId="27" fillId="0" borderId="0" xfId="0" applyFont="1" applyBorder="1" applyAlignment="1" applyProtection="1">
      <alignment horizontal="center"/>
      <protection hidden="1"/>
    </xf>
    <xf numFmtId="0" fontId="27" fillId="0" borderId="16" xfId="0" applyFont="1" applyBorder="1" applyAlignment="1" applyProtection="1">
      <alignment horizontal="center"/>
      <protection hidden="1"/>
    </xf>
    <xf numFmtId="0" fontId="27" fillId="0" borderId="0" xfId="0" applyFont="1" applyFill="1" applyBorder="1" applyAlignment="1">
      <alignment horizontal="center"/>
    </xf>
    <xf numFmtId="0" fontId="28" fillId="0" borderId="0" xfId="0" applyFont="1" applyBorder="1" applyAlignment="1" applyProtection="1">
      <alignment horizontal="center"/>
      <protection hidden="1"/>
    </xf>
    <xf numFmtId="0" fontId="15" fillId="0" borderId="1" xfId="0" applyFont="1" applyBorder="1" applyAlignment="1">
      <alignment horizontal="center" vertical="center"/>
    </xf>
    <xf numFmtId="10" fontId="14" fillId="0" borderId="1" xfId="12" applyNumberFormat="1" applyBorder="1" applyAlignment="1">
      <alignment horizontal="center" vertical="center"/>
    </xf>
    <xf numFmtId="16" fontId="15" fillId="0" borderId="1" xfId="0" applyNumberFormat="1" applyFont="1" applyBorder="1" applyAlignment="1">
      <alignment horizontal="right" vertical="center" wrapText="1"/>
    </xf>
    <xf numFmtId="43" fontId="4" fillId="0" borderId="1" xfId="0" applyNumberFormat="1" applyFont="1" applyBorder="1" applyAlignment="1">
      <alignment horizontal="center"/>
    </xf>
    <xf numFmtId="9" fontId="15" fillId="0" borderId="0" xfId="0" applyNumberFormat="1" applyFont="1" applyBorder="1" applyAlignment="1">
      <alignment horizontal="center"/>
    </xf>
    <xf numFmtId="43" fontId="14" fillId="0" borderId="1" xfId="1" applyNumberFormat="1" applyFont="1" applyBorder="1"/>
    <xf numFmtId="0" fontId="15" fillId="0" borderId="1" xfId="0" applyFont="1" applyBorder="1" applyAlignment="1">
      <alignment horizontal="center" wrapText="1"/>
    </xf>
    <xf numFmtId="10" fontId="4" fillId="0" borderId="6" xfId="8" applyNumberFormat="1" applyFont="1" applyBorder="1" applyAlignment="1" applyProtection="1">
      <alignment horizontal="center" wrapText="1"/>
      <protection hidden="1"/>
    </xf>
    <xf numFmtId="0" fontId="17" fillId="0" borderId="1" xfId="8" applyFont="1" applyBorder="1" applyAlignment="1" applyProtection="1">
      <alignment horizontal="center" vertical="top" wrapText="1"/>
      <protection hidden="1"/>
    </xf>
    <xf numFmtId="0" fontId="22" fillId="0" borderId="1" xfId="8" applyFont="1" applyBorder="1" applyAlignment="1" applyProtection="1">
      <alignment horizontal="center" vertical="top" wrapText="1"/>
      <protection hidden="1"/>
    </xf>
    <xf numFmtId="0" fontId="22" fillId="0" borderId="13" xfId="8" applyFont="1" applyBorder="1" applyAlignment="1" applyProtection="1">
      <alignment vertical="top" wrapText="1"/>
      <protection hidden="1"/>
    </xf>
    <xf numFmtId="0" fontId="19" fillId="0" borderId="1" xfId="8" applyFont="1" applyBorder="1" applyAlignment="1" applyProtection="1">
      <alignment horizontal="center"/>
      <protection hidden="1"/>
    </xf>
    <xf numFmtId="0" fontId="4" fillId="0" borderId="1" xfId="8" applyFont="1" applyBorder="1" applyAlignment="1" applyProtection="1">
      <alignment horizontal="center" vertical="top" wrapText="1"/>
      <protection hidden="1"/>
    </xf>
    <xf numFmtId="0" fontId="4" fillId="0" borderId="1" xfId="8" applyFont="1" applyBorder="1" applyAlignment="1" applyProtection="1">
      <alignment horizontal="center" vertical="center" wrapText="1"/>
      <protection hidden="1"/>
    </xf>
    <xf numFmtId="0" fontId="4" fillId="0" borderId="13" xfId="8" applyFont="1" applyBorder="1" applyAlignment="1" applyProtection="1">
      <alignment vertical="center" wrapText="1"/>
      <protection hidden="1"/>
    </xf>
    <xf numFmtId="0" fontId="19" fillId="0" borderId="0" xfId="8" applyFont="1" applyBorder="1" applyProtection="1">
      <protection hidden="1"/>
    </xf>
    <xf numFmtId="0" fontId="17" fillId="0" borderId="1" xfId="8" applyFont="1" applyBorder="1" applyAlignment="1" applyProtection="1">
      <alignment horizontal="center"/>
      <protection hidden="1"/>
    </xf>
    <xf numFmtId="0" fontId="17" fillId="0" borderId="18" xfId="8" applyFont="1" applyBorder="1" applyAlignment="1" applyProtection="1">
      <alignment horizontal="center"/>
      <protection hidden="1"/>
    </xf>
    <xf numFmtId="0" fontId="17" fillId="0" borderId="17" xfId="8" applyFont="1" applyBorder="1" applyAlignment="1" applyProtection="1">
      <alignment horizontal="center"/>
      <protection hidden="1"/>
    </xf>
    <xf numFmtId="0" fontId="6" fillId="0" borderId="0" xfId="8" applyFont="1" applyFill="1" applyBorder="1" applyAlignment="1" applyProtection="1">
      <alignment wrapText="1"/>
      <protection hidden="1"/>
    </xf>
    <xf numFmtId="0" fontId="5" fillId="0" borderId="0" xfId="8" applyFont="1" applyFill="1" applyBorder="1" applyAlignment="1" applyProtection="1">
      <alignment horizontal="left"/>
      <protection hidden="1"/>
    </xf>
    <xf numFmtId="9" fontId="4" fillId="0" borderId="0" xfId="8" applyNumberFormat="1" applyFont="1" applyBorder="1" applyAlignment="1" applyProtection="1">
      <alignment horizontal="center" vertical="top" wrapText="1"/>
      <protection hidden="1"/>
    </xf>
    <xf numFmtId="10" fontId="4" fillId="0" borderId="0" xfId="8" applyNumberFormat="1" applyFont="1" applyBorder="1" applyAlignment="1" applyProtection="1">
      <alignment horizontal="center" vertical="top" wrapText="1"/>
      <protection hidden="1"/>
    </xf>
    <xf numFmtId="0" fontId="4" fillId="0" borderId="0" xfId="8" applyFont="1" applyBorder="1" applyAlignment="1" applyProtection="1">
      <alignment horizontal="center" vertical="center" wrapText="1"/>
      <protection hidden="1"/>
    </xf>
    <xf numFmtId="9" fontId="4" fillId="0" borderId="6" xfId="8" applyNumberFormat="1" applyFont="1" applyBorder="1" applyAlignment="1" applyProtection="1">
      <alignment horizontal="center" vertical="top" wrapText="1"/>
      <protection hidden="1"/>
    </xf>
    <xf numFmtId="10" fontId="4" fillId="0" borderId="5" xfId="8" applyNumberFormat="1" applyFont="1" applyBorder="1" applyAlignment="1" applyProtection="1">
      <alignment horizontal="center" vertical="top" wrapText="1"/>
      <protection hidden="1"/>
    </xf>
    <xf numFmtId="0" fontId="4" fillId="0" borderId="4" xfId="8" applyFont="1" applyBorder="1" applyAlignment="1" applyProtection="1">
      <alignment horizontal="center" vertical="top" wrapText="1"/>
      <protection hidden="1"/>
    </xf>
    <xf numFmtId="0" fontId="4" fillId="0" borderId="3" xfId="8" applyFont="1" applyBorder="1" applyAlignment="1" applyProtection="1">
      <alignment horizontal="center" vertical="top" wrapText="1"/>
      <protection hidden="1"/>
    </xf>
    <xf numFmtId="0" fontId="30" fillId="0" borderId="42" xfId="0" applyFont="1" applyFill="1" applyBorder="1" applyAlignment="1">
      <alignment horizontal="center" vertical="center"/>
    </xf>
    <xf numFmtId="0" fontId="0" fillId="4" borderId="1" xfId="0" applyFill="1" applyBorder="1" applyAlignment="1" applyProtection="1">
      <alignment horizontal="right"/>
      <protection locked="0" hidden="1"/>
    </xf>
    <xf numFmtId="0" fontId="0" fillId="8" borderId="29" xfId="0" applyFill="1" applyBorder="1" applyAlignment="1" applyProtection="1">
      <alignment horizontal="center"/>
      <protection hidden="1"/>
    </xf>
    <xf numFmtId="0" fontId="5" fillId="0" borderId="0" xfId="6" applyFont="1" applyFill="1" applyBorder="1" applyAlignment="1" applyProtection="1">
      <alignment horizontal="left" wrapText="1"/>
      <protection hidden="1"/>
    </xf>
    <xf numFmtId="0" fontId="5" fillId="0" borderId="11" xfId="6" applyFont="1" applyFill="1" applyBorder="1" applyAlignment="1" applyProtection="1">
      <alignment horizontal="left" wrapText="1"/>
      <protection hidden="1"/>
    </xf>
    <xf numFmtId="0" fontId="5" fillId="0" borderId="1" xfId="6" applyFont="1" applyFill="1" applyBorder="1" applyAlignment="1" applyProtection="1">
      <alignment horizontal="center" wrapText="1"/>
      <protection hidden="1"/>
    </xf>
    <xf numFmtId="0" fontId="5" fillId="0" borderId="35" xfId="6" applyFont="1" applyFill="1" applyBorder="1" applyAlignment="1" applyProtection="1">
      <alignment horizontal="center" wrapText="1"/>
      <protection hidden="1"/>
    </xf>
    <xf numFmtId="0" fontId="5" fillId="0" borderId="0" xfId="6" applyFont="1" applyFill="1" applyBorder="1" applyAlignment="1" applyProtection="1">
      <alignment horizontal="center" vertical="center" wrapText="1"/>
      <protection hidden="1"/>
    </xf>
    <xf numFmtId="0" fontId="5" fillId="0" borderId="11" xfId="6" applyFont="1" applyFill="1" applyBorder="1" applyAlignment="1" applyProtection="1">
      <alignment horizontal="center" vertical="center" wrapText="1"/>
      <protection hidden="1"/>
    </xf>
    <xf numFmtId="0" fontId="5" fillId="0" borderId="13" xfId="6" applyFont="1" applyFill="1" applyBorder="1" applyAlignment="1" applyProtection="1">
      <alignment horizontal="center" wrapText="1"/>
      <protection hidden="1"/>
    </xf>
    <xf numFmtId="0" fontId="5" fillId="0" borderId="24" xfId="6" applyFont="1" applyFill="1" applyBorder="1" applyAlignment="1" applyProtection="1">
      <alignment horizontal="center" wrapText="1"/>
      <protection hidden="1"/>
    </xf>
    <xf numFmtId="0" fontId="5" fillId="0" borderId="36" xfId="6" applyFont="1" applyFill="1" applyBorder="1" applyAlignment="1" applyProtection="1">
      <alignment horizontal="center" wrapText="1"/>
      <protection hidden="1"/>
    </xf>
    <xf numFmtId="0" fontId="5" fillId="0" borderId="26" xfId="6" applyFont="1" applyFill="1" applyBorder="1" applyAlignment="1" applyProtection="1">
      <alignment horizontal="center" wrapText="1"/>
      <protection hidden="1"/>
    </xf>
    <xf numFmtId="0" fontId="5" fillId="0" borderId="37" xfId="6" applyFont="1" applyFill="1" applyBorder="1" applyAlignment="1" applyProtection="1">
      <alignment horizontal="left"/>
      <protection hidden="1"/>
    </xf>
    <xf numFmtId="0" fontId="5" fillId="0" borderId="29" xfId="6" applyFont="1" applyFill="1" applyBorder="1" applyAlignment="1" applyProtection="1">
      <alignment horizontal="left"/>
      <protection hidden="1"/>
    </xf>
    <xf numFmtId="0" fontId="5" fillId="0" borderId="38" xfId="6" applyFont="1" applyFill="1" applyBorder="1" applyAlignment="1" applyProtection="1">
      <alignment horizontal="left"/>
      <protection hidden="1"/>
    </xf>
    <xf numFmtId="0" fontId="7" fillId="0" borderId="12" xfId="6" applyFont="1" applyBorder="1" applyAlignment="1" applyProtection="1">
      <alignment horizontal="center" vertical="center" wrapText="1"/>
      <protection hidden="1"/>
    </xf>
    <xf numFmtId="0" fontId="0" fillId="0" borderId="0" xfId="0" applyAlignment="1" applyProtection="1">
      <alignment horizontal="left" wrapText="1"/>
      <protection hidden="1"/>
    </xf>
    <xf numFmtId="0" fontId="24" fillId="0" borderId="0" xfId="0" applyFont="1" applyAlignment="1" applyProtection="1">
      <alignment horizontal="left" wrapText="1"/>
      <protection hidden="1"/>
    </xf>
    <xf numFmtId="0" fontId="0" fillId="0" borderId="0" xfId="0" applyNumberFormat="1" applyAlignment="1" applyProtection="1">
      <alignment horizontal="left" wrapText="1"/>
      <protection hidden="1"/>
    </xf>
    <xf numFmtId="0" fontId="7" fillId="0" borderId="15" xfId="6" applyFont="1" applyBorder="1" applyAlignment="1" applyProtection="1">
      <alignment horizontal="center" vertical="center" wrapText="1"/>
      <protection hidden="1"/>
    </xf>
    <xf numFmtId="0" fontId="7" fillId="0" borderId="30" xfId="6" applyFont="1" applyBorder="1" applyAlignment="1" applyProtection="1">
      <alignment horizontal="center" vertical="center" wrapText="1"/>
      <protection hidden="1"/>
    </xf>
    <xf numFmtId="0" fontId="7" fillId="0" borderId="14" xfId="6" applyFont="1" applyBorder="1" applyAlignment="1" applyProtection="1">
      <alignment horizontal="center" vertical="center" wrapText="1"/>
      <protection hidden="1"/>
    </xf>
    <xf numFmtId="0" fontId="7" fillId="0" borderId="31" xfId="6" applyFont="1" applyBorder="1" applyAlignment="1" applyProtection="1">
      <alignment horizontal="center" vertical="center" wrapText="1"/>
      <protection hidden="1"/>
    </xf>
    <xf numFmtId="0" fontId="7" fillId="0" borderId="21" xfId="6" applyFont="1" applyBorder="1" applyAlignment="1" applyProtection="1">
      <alignment horizontal="center" vertical="center" wrapText="1"/>
      <protection hidden="1"/>
    </xf>
    <xf numFmtId="0" fontId="7" fillId="0" borderId="32" xfId="6" applyFont="1" applyBorder="1" applyAlignment="1" applyProtection="1">
      <alignment horizontal="center" vertical="center" wrapText="1"/>
      <protection hidden="1"/>
    </xf>
    <xf numFmtId="0" fontId="7" fillId="0" borderId="33" xfId="6" applyFont="1" applyBorder="1" applyAlignment="1" applyProtection="1">
      <alignment horizontal="center" vertical="center" wrapText="1"/>
      <protection hidden="1"/>
    </xf>
    <xf numFmtId="0" fontId="7" fillId="0" borderId="34" xfId="6" applyFont="1" applyBorder="1" applyAlignment="1" applyProtection="1">
      <alignment horizontal="center" vertical="center" wrapText="1"/>
      <protection hidden="1"/>
    </xf>
    <xf numFmtId="0" fontId="4" fillId="0" borderId="17" xfId="6" applyFont="1" applyBorder="1" applyAlignment="1" applyProtection="1">
      <alignment horizontal="center" vertical="center" wrapText="1"/>
      <protection hidden="1"/>
    </xf>
    <xf numFmtId="0" fontId="4" fillId="0" borderId="5" xfId="6" applyFont="1" applyBorder="1" applyAlignment="1" applyProtection="1">
      <alignment horizontal="center" vertical="center" wrapText="1"/>
      <protection hidden="1"/>
    </xf>
    <xf numFmtId="0" fontId="7" fillId="0" borderId="0" xfId="6" applyFont="1" applyBorder="1" applyAlignment="1" applyProtection="1">
      <alignment horizontal="center" vertical="center" wrapText="1"/>
      <protection hidden="1"/>
    </xf>
    <xf numFmtId="0" fontId="27" fillId="0" borderId="12" xfId="0" applyFont="1" applyBorder="1" applyAlignment="1" applyProtection="1">
      <alignment horizontal="center"/>
      <protection hidden="1"/>
    </xf>
    <xf numFmtId="0" fontId="27" fillId="0" borderId="0" xfId="0" applyFont="1" applyBorder="1" applyAlignment="1" applyProtection="1">
      <alignment horizontal="center"/>
      <protection hidden="1"/>
    </xf>
    <xf numFmtId="0" fontId="27" fillId="0" borderId="16" xfId="0" applyFont="1" applyBorder="1" applyAlignment="1" applyProtection="1">
      <alignment horizontal="center"/>
      <protection hidden="1"/>
    </xf>
    <xf numFmtId="0" fontId="27" fillId="0" borderId="12" xfId="0" applyFont="1" applyFill="1" applyBorder="1" applyAlignment="1">
      <alignment horizontal="center" wrapText="1"/>
    </xf>
    <xf numFmtId="0" fontId="27" fillId="0" borderId="0" xfId="0" applyFont="1" applyFill="1" applyBorder="1" applyAlignment="1">
      <alignment horizontal="center"/>
    </xf>
    <xf numFmtId="0" fontId="27" fillId="0" borderId="16" xfId="0" applyFont="1" applyFill="1" applyBorder="1" applyAlignment="1">
      <alignment horizontal="center"/>
    </xf>
    <xf numFmtId="0" fontId="9" fillId="0" borderId="12" xfId="0" applyFont="1" applyFill="1" applyBorder="1" applyAlignment="1" applyProtection="1">
      <alignment horizontal="left" vertical="center"/>
      <protection hidden="1"/>
    </xf>
    <xf numFmtId="0" fontId="28" fillId="0" borderId="0" xfId="0" applyFont="1" applyFill="1" applyBorder="1" applyAlignment="1" applyProtection="1">
      <alignment horizontal="left" vertical="center"/>
      <protection hidden="1"/>
    </xf>
    <xf numFmtId="0" fontId="27" fillId="0" borderId="12" xfId="0" applyFont="1" applyBorder="1" applyAlignment="1">
      <alignment horizontal="left"/>
    </xf>
    <xf numFmtId="0" fontId="27" fillId="0" borderId="0" xfId="0" applyFont="1" applyBorder="1" applyAlignment="1">
      <alignment horizontal="left"/>
    </xf>
    <xf numFmtId="0" fontId="28" fillId="0" borderId="12" xfId="0" applyFont="1" applyBorder="1" applyAlignment="1">
      <alignment horizontal="left" vertical="top" wrapText="1"/>
    </xf>
    <xf numFmtId="0" fontId="28" fillId="0" borderId="0" xfId="0" applyFont="1" applyBorder="1" applyAlignment="1">
      <alignment horizontal="left" vertical="top" wrapText="1"/>
    </xf>
    <xf numFmtId="0" fontId="28" fillId="0" borderId="16" xfId="0" applyFont="1" applyBorder="1" applyAlignment="1">
      <alignment horizontal="left" vertical="top" wrapText="1"/>
    </xf>
    <xf numFmtId="0" fontId="12" fillId="10" borderId="12" xfId="0" applyFont="1" applyFill="1" applyBorder="1" applyAlignment="1" applyProtection="1">
      <alignment horizontal="left" vertical="center" wrapText="1"/>
      <protection hidden="1"/>
    </xf>
    <xf numFmtId="0" fontId="12" fillId="10" borderId="0" xfId="0" applyFont="1" applyFill="1" applyBorder="1" applyAlignment="1" applyProtection="1">
      <alignment horizontal="left" vertical="center" wrapText="1"/>
      <protection hidden="1"/>
    </xf>
    <xf numFmtId="0" fontId="12" fillId="10" borderId="16" xfId="0" applyFont="1" applyFill="1" applyBorder="1" applyAlignment="1" applyProtection="1">
      <alignment horizontal="left" vertical="center" wrapText="1"/>
      <protection hidden="1"/>
    </xf>
    <xf numFmtId="0" fontId="12" fillId="0" borderId="1" xfId="0" applyFont="1" applyFill="1" applyBorder="1" applyAlignment="1" applyProtection="1">
      <alignment horizontal="left" vertical="top" wrapText="1"/>
      <protection hidden="1"/>
    </xf>
    <xf numFmtId="0" fontId="13" fillId="0" borderId="1" xfId="0" applyFont="1" applyFill="1" applyBorder="1" applyAlignment="1" applyProtection="1">
      <alignment horizontal="center" vertical="top" wrapText="1"/>
      <protection hidden="1"/>
    </xf>
    <xf numFmtId="0" fontId="27" fillId="0" borderId="31" xfId="0" applyFont="1" applyBorder="1" applyAlignment="1" applyProtection="1">
      <alignment horizontal="center" vertical="center"/>
      <protection hidden="1"/>
    </xf>
    <xf numFmtId="0" fontId="27" fillId="0" borderId="29" xfId="0" applyFont="1" applyBorder="1" applyAlignment="1" applyProtection="1">
      <alignment horizontal="center" vertical="center"/>
      <protection hidden="1"/>
    </xf>
    <xf numFmtId="0" fontId="27" fillId="0" borderId="40" xfId="0" applyFont="1" applyBorder="1" applyAlignment="1" applyProtection="1">
      <alignment horizontal="center" vertical="center"/>
      <protection hidden="1"/>
    </xf>
    <xf numFmtId="0" fontId="27" fillId="0" borderId="12" xfId="0" applyFont="1" applyBorder="1" applyAlignment="1" applyProtection="1">
      <alignment horizontal="center" vertical="center"/>
      <protection hidden="1"/>
    </xf>
    <xf numFmtId="0" fontId="27" fillId="0" borderId="0" xfId="0" applyFont="1" applyBorder="1" applyAlignment="1" applyProtection="1">
      <alignment horizontal="center" vertical="center"/>
      <protection hidden="1"/>
    </xf>
    <xf numFmtId="0" fontId="27" fillId="0" borderId="16" xfId="0" applyFont="1" applyBorder="1" applyAlignment="1" applyProtection="1">
      <alignment horizontal="center" vertical="center"/>
      <protection hidden="1"/>
    </xf>
    <xf numFmtId="0" fontId="13" fillId="0" borderId="12" xfId="0" applyFont="1" applyFill="1" applyBorder="1" applyAlignment="1" applyProtection="1">
      <alignment horizontal="left" vertical="top"/>
      <protection hidden="1"/>
    </xf>
    <xf numFmtId="0" fontId="13" fillId="0" borderId="0" xfId="0" applyFont="1" applyFill="1" applyBorder="1" applyAlignment="1" applyProtection="1">
      <alignment horizontal="left" vertical="top"/>
      <protection hidden="1"/>
    </xf>
    <xf numFmtId="0" fontId="13" fillId="0" borderId="16" xfId="0" applyFont="1" applyFill="1" applyBorder="1" applyAlignment="1" applyProtection="1">
      <alignment horizontal="left" vertical="top"/>
      <protection hidden="1"/>
    </xf>
    <xf numFmtId="0" fontId="27" fillId="10" borderId="12" xfId="0" applyFont="1" applyFill="1" applyBorder="1" applyAlignment="1" applyProtection="1">
      <alignment horizontal="left" vertical="center"/>
      <protection hidden="1"/>
    </xf>
    <xf numFmtId="0" fontId="27" fillId="10" borderId="0" xfId="0" applyFont="1" applyFill="1" applyBorder="1" applyAlignment="1" applyProtection="1">
      <alignment horizontal="left" vertical="center"/>
      <protection hidden="1"/>
    </xf>
    <xf numFmtId="0" fontId="27" fillId="10" borderId="16" xfId="0" applyFont="1" applyFill="1" applyBorder="1" applyAlignment="1" applyProtection="1">
      <alignment horizontal="left" vertical="center"/>
      <protection hidden="1"/>
    </xf>
    <xf numFmtId="0" fontId="28" fillId="0" borderId="12" xfId="0" applyFont="1" applyBorder="1" applyAlignment="1" applyProtection="1">
      <alignment horizontal="left" vertical="center"/>
      <protection hidden="1"/>
    </xf>
    <xf numFmtId="0" fontId="28" fillId="0" borderId="0" xfId="0" applyFont="1" applyBorder="1" applyAlignment="1" applyProtection="1">
      <alignment horizontal="left" vertical="center"/>
      <protection hidden="1"/>
    </xf>
    <xf numFmtId="0" fontId="28" fillId="0" borderId="16" xfId="0" applyFont="1" applyBorder="1" applyAlignment="1" applyProtection="1">
      <alignment horizontal="left" vertical="center"/>
      <protection hidden="1"/>
    </xf>
    <xf numFmtId="0" fontId="13" fillId="0" borderId="12" xfId="0" applyFont="1" applyFill="1" applyBorder="1" applyAlignment="1" applyProtection="1">
      <alignment horizontal="left" vertical="center" wrapText="1"/>
      <protection hidden="1"/>
    </xf>
    <xf numFmtId="0" fontId="13" fillId="0" borderId="0" xfId="0" applyFont="1" applyFill="1" applyBorder="1" applyAlignment="1" applyProtection="1">
      <alignment horizontal="left" vertical="center" wrapText="1"/>
      <protection hidden="1"/>
    </xf>
    <xf numFmtId="0" fontId="13" fillId="0" borderId="16" xfId="0" applyFont="1" applyFill="1" applyBorder="1" applyAlignment="1" applyProtection="1">
      <alignment horizontal="left" vertical="center" wrapText="1"/>
      <protection hidden="1"/>
    </xf>
    <xf numFmtId="0" fontId="28" fillId="0" borderId="12" xfId="0" applyFont="1" applyFill="1" applyBorder="1" applyAlignment="1" applyProtection="1">
      <alignment horizontal="left" vertical="center"/>
      <protection hidden="1"/>
    </xf>
    <xf numFmtId="0" fontId="28" fillId="0" borderId="16" xfId="0" applyFont="1" applyFill="1" applyBorder="1" applyAlignment="1" applyProtection="1">
      <alignment horizontal="left" vertical="center"/>
      <protection hidden="1"/>
    </xf>
    <xf numFmtId="0" fontId="13" fillId="0" borderId="12" xfId="0" applyFont="1" applyBorder="1" applyAlignment="1" applyProtection="1">
      <alignment horizontal="left" vertical="center" wrapText="1"/>
      <protection hidden="1"/>
    </xf>
    <xf numFmtId="0" fontId="13" fillId="0" borderId="0" xfId="0" applyFont="1" applyBorder="1" applyAlignment="1" applyProtection="1">
      <alignment horizontal="left" vertical="center" wrapText="1"/>
      <protection hidden="1"/>
    </xf>
    <xf numFmtId="0" fontId="13" fillId="0" borderId="16" xfId="0" applyFont="1" applyBorder="1" applyAlignment="1" applyProtection="1">
      <alignment horizontal="left" vertical="center" wrapText="1"/>
      <protection hidden="1"/>
    </xf>
    <xf numFmtId="0" fontId="12" fillId="0" borderId="1" xfId="0" applyFont="1" applyFill="1" applyBorder="1" applyAlignment="1" applyProtection="1">
      <alignment horizontal="center" vertical="top" wrapText="1"/>
      <protection hidden="1"/>
    </xf>
    <xf numFmtId="0" fontId="13" fillId="0" borderId="12" xfId="0" applyFont="1" applyFill="1" applyBorder="1" applyAlignment="1" applyProtection="1">
      <alignment horizontal="left" vertical="top" wrapText="1"/>
      <protection hidden="1"/>
    </xf>
    <xf numFmtId="0" fontId="13" fillId="0" borderId="0" xfId="0" applyFont="1" applyFill="1" applyBorder="1" applyAlignment="1" applyProtection="1">
      <alignment horizontal="left" vertical="top" wrapText="1"/>
      <protection hidden="1"/>
    </xf>
    <xf numFmtId="0" fontId="13" fillId="0" borderId="16" xfId="0" applyFont="1" applyFill="1" applyBorder="1" applyAlignment="1" applyProtection="1">
      <alignment horizontal="left" vertical="top" wrapText="1"/>
      <protection hidden="1"/>
    </xf>
    <xf numFmtId="0" fontId="12" fillId="0" borderId="13" xfId="0" applyFont="1" applyFill="1" applyBorder="1" applyAlignment="1" applyProtection="1">
      <alignment horizontal="left" vertical="top" wrapText="1"/>
      <protection hidden="1"/>
    </xf>
    <xf numFmtId="0" fontId="12" fillId="0" borderId="19" xfId="0" applyFont="1" applyFill="1" applyBorder="1" applyAlignment="1" applyProtection="1">
      <alignment horizontal="left" vertical="top" wrapText="1"/>
      <protection hidden="1"/>
    </xf>
    <xf numFmtId="0" fontId="12" fillId="0" borderId="20" xfId="0" applyFont="1" applyFill="1" applyBorder="1" applyAlignment="1" applyProtection="1">
      <alignment horizontal="left" vertical="top" wrapText="1"/>
      <protection hidden="1"/>
    </xf>
    <xf numFmtId="3" fontId="13" fillId="0" borderId="13" xfId="0" applyNumberFormat="1" applyFont="1" applyFill="1" applyBorder="1" applyAlignment="1" applyProtection="1">
      <alignment horizontal="center" vertical="top" wrapText="1"/>
      <protection hidden="1"/>
    </xf>
    <xf numFmtId="0" fontId="13" fillId="0" borderId="19" xfId="0" applyFont="1" applyFill="1" applyBorder="1" applyAlignment="1" applyProtection="1">
      <alignment horizontal="center" vertical="top" wrapText="1"/>
      <protection hidden="1"/>
    </xf>
    <xf numFmtId="0" fontId="13" fillId="0" borderId="20" xfId="0" applyFont="1" applyFill="1" applyBorder="1" applyAlignment="1" applyProtection="1">
      <alignment horizontal="center" vertical="top" wrapText="1"/>
      <protection hidden="1"/>
    </xf>
    <xf numFmtId="0" fontId="13" fillId="0" borderId="13" xfId="0" applyFont="1" applyFill="1" applyBorder="1" applyAlignment="1" applyProtection="1">
      <alignment horizontal="center" vertical="top" wrapText="1"/>
      <protection hidden="1"/>
    </xf>
    <xf numFmtId="0" fontId="27" fillId="10" borderId="12" xfId="0" applyFont="1" applyFill="1" applyBorder="1" applyAlignment="1">
      <alignment horizontal="left" vertical="center"/>
    </xf>
    <xf numFmtId="0" fontId="27" fillId="10" borderId="0" xfId="0" applyFont="1" applyFill="1" applyBorder="1" applyAlignment="1">
      <alignment horizontal="left" vertical="center"/>
    </xf>
    <xf numFmtId="0" fontId="27" fillId="10" borderId="16" xfId="0" applyFont="1" applyFill="1" applyBorder="1" applyAlignment="1">
      <alignment horizontal="left" vertical="center"/>
    </xf>
    <xf numFmtId="0" fontId="12" fillId="0" borderId="13" xfId="0" applyFont="1" applyFill="1" applyBorder="1" applyAlignment="1" applyProtection="1">
      <alignment horizontal="left" vertical="center" wrapText="1"/>
      <protection hidden="1"/>
    </xf>
    <xf numFmtId="0" fontId="12" fillId="0" borderId="19" xfId="0" applyFont="1" applyFill="1" applyBorder="1" applyAlignment="1" applyProtection="1">
      <alignment horizontal="left" vertical="center" wrapText="1"/>
      <protection hidden="1"/>
    </xf>
    <xf numFmtId="0" fontId="12" fillId="0" borderId="20" xfId="0" applyFont="1" applyFill="1" applyBorder="1" applyAlignment="1" applyProtection="1">
      <alignment horizontal="left" vertical="center" wrapText="1"/>
      <protection hidden="1"/>
    </xf>
    <xf numFmtId="10" fontId="13" fillId="0" borderId="13" xfId="0" applyNumberFormat="1" applyFont="1" applyFill="1" applyBorder="1" applyAlignment="1" applyProtection="1">
      <alignment horizontal="center" vertical="top" wrapText="1"/>
      <protection hidden="1"/>
    </xf>
    <xf numFmtId="0" fontId="12" fillId="0" borderId="1" xfId="0" applyFont="1" applyFill="1" applyBorder="1" applyAlignment="1" applyProtection="1">
      <alignment horizontal="left" vertical="center" wrapText="1"/>
      <protection hidden="1"/>
    </xf>
    <xf numFmtId="0" fontId="12" fillId="0" borderId="1" xfId="0" applyFont="1" applyFill="1" applyBorder="1" applyAlignment="1" applyProtection="1">
      <alignment horizontal="center" vertical="center" wrapText="1"/>
      <protection hidden="1"/>
    </xf>
    <xf numFmtId="3" fontId="13" fillId="0" borderId="19" xfId="0" applyNumberFormat="1" applyFont="1" applyFill="1" applyBorder="1" applyAlignment="1" applyProtection="1">
      <alignment horizontal="center" vertical="top" wrapText="1"/>
      <protection hidden="1"/>
    </xf>
    <xf numFmtId="3" fontId="13" fillId="0" borderId="20" xfId="0" applyNumberFormat="1" applyFont="1" applyFill="1" applyBorder="1" applyAlignment="1" applyProtection="1">
      <alignment horizontal="center" vertical="top" wrapText="1"/>
      <protection hidden="1"/>
    </xf>
    <xf numFmtId="0" fontId="12" fillId="0" borderId="14" xfId="0" applyFont="1" applyFill="1" applyBorder="1" applyAlignment="1" applyProtection="1">
      <alignment horizontal="left" vertical="top" wrapText="1"/>
      <protection hidden="1"/>
    </xf>
    <xf numFmtId="0" fontId="12" fillId="0" borderId="14" xfId="0" applyFont="1" applyFill="1" applyBorder="1" applyAlignment="1" applyProtection="1">
      <alignment horizontal="center" vertical="top" wrapText="1"/>
      <protection hidden="1"/>
    </xf>
    <xf numFmtId="0" fontId="12" fillId="0" borderId="13" xfId="0" applyFont="1" applyFill="1" applyBorder="1" applyAlignment="1" applyProtection="1">
      <alignment horizontal="center" vertical="top" wrapText="1"/>
      <protection hidden="1"/>
    </xf>
    <xf numFmtId="0" fontId="12" fillId="0" borderId="19" xfId="0" applyFont="1" applyFill="1" applyBorder="1" applyAlignment="1" applyProtection="1">
      <alignment horizontal="center" vertical="top" wrapText="1"/>
      <protection hidden="1"/>
    </xf>
    <xf numFmtId="0" fontId="12" fillId="0" borderId="20" xfId="0" applyFont="1" applyFill="1" applyBorder="1" applyAlignment="1" applyProtection="1">
      <alignment horizontal="center" vertical="top" wrapText="1"/>
      <protection hidden="1"/>
    </xf>
    <xf numFmtId="0" fontId="27" fillId="0" borderId="1" xfId="0" applyFont="1" applyBorder="1" applyAlignment="1" applyProtection="1">
      <alignment horizontal="center"/>
      <protection hidden="1"/>
    </xf>
    <xf numFmtId="0" fontId="28" fillId="0" borderId="13" xfId="0" applyFont="1" applyFill="1" applyBorder="1" applyAlignment="1" applyProtection="1">
      <alignment horizontal="center"/>
      <protection hidden="1"/>
    </xf>
    <xf numFmtId="0" fontId="28" fillId="0" borderId="20" xfId="0" applyFont="1" applyFill="1" applyBorder="1" applyAlignment="1" applyProtection="1">
      <alignment horizontal="center"/>
      <protection hidden="1"/>
    </xf>
    <xf numFmtId="3" fontId="28" fillId="0" borderId="13" xfId="0" applyNumberFormat="1" applyFont="1" applyBorder="1" applyAlignment="1" applyProtection="1">
      <alignment horizontal="center"/>
      <protection hidden="1"/>
    </xf>
    <xf numFmtId="3" fontId="28" fillId="0" borderId="19" xfId="0" applyNumberFormat="1" applyFont="1" applyBorder="1" applyAlignment="1" applyProtection="1">
      <alignment horizontal="center"/>
      <protection hidden="1"/>
    </xf>
    <xf numFmtId="3" fontId="28" fillId="0" borderId="20" xfId="0" applyNumberFormat="1" applyFont="1" applyBorder="1" applyAlignment="1" applyProtection="1">
      <alignment horizontal="center"/>
      <protection hidden="1"/>
    </xf>
    <xf numFmtId="0" fontId="9" fillId="0" borderId="12" xfId="0" applyFont="1" applyBorder="1" applyAlignment="1" applyProtection="1">
      <alignment horizontal="left" wrapText="1"/>
      <protection hidden="1"/>
    </xf>
    <xf numFmtId="0" fontId="9" fillId="0" borderId="0" xfId="0" applyFont="1" applyBorder="1" applyAlignment="1" applyProtection="1">
      <alignment horizontal="left" wrapText="1"/>
      <protection hidden="1"/>
    </xf>
    <xf numFmtId="0" fontId="9" fillId="0" borderId="16" xfId="0" applyFont="1" applyBorder="1" applyAlignment="1" applyProtection="1">
      <alignment horizontal="left" wrapText="1"/>
      <protection hidden="1"/>
    </xf>
    <xf numFmtId="0" fontId="27" fillId="0" borderId="1" xfId="0" applyFont="1" applyBorder="1" applyAlignment="1" applyProtection="1">
      <alignment horizontal="center" vertical="center" wrapText="1"/>
      <protection hidden="1"/>
    </xf>
    <xf numFmtId="0" fontId="27" fillId="9" borderId="13" xfId="0" applyFont="1" applyFill="1" applyBorder="1" applyAlignment="1" applyProtection="1">
      <alignment horizontal="center"/>
      <protection hidden="1"/>
    </xf>
    <xf numFmtId="0" fontId="27" fillId="9" borderId="19" xfId="0" applyFont="1" applyFill="1" applyBorder="1" applyAlignment="1" applyProtection="1">
      <alignment horizontal="center"/>
      <protection hidden="1"/>
    </xf>
    <xf numFmtId="0" fontId="27" fillId="9" borderId="20" xfId="0" applyFont="1" applyFill="1" applyBorder="1" applyAlignment="1" applyProtection="1">
      <alignment horizontal="center"/>
      <protection hidden="1"/>
    </xf>
    <xf numFmtId="0" fontId="31" fillId="0" borderId="1" xfId="0" applyFont="1" applyFill="1" applyBorder="1" applyAlignment="1" applyProtection="1">
      <alignment horizontal="center"/>
      <protection hidden="1"/>
    </xf>
    <xf numFmtId="0" fontId="27" fillId="0" borderId="1" xfId="0" applyFont="1" applyFill="1" applyBorder="1" applyAlignment="1">
      <alignment horizontal="center" vertical="center" wrapText="1"/>
    </xf>
    <xf numFmtId="0" fontId="27" fillId="0" borderId="13" xfId="0" applyFont="1" applyBorder="1" applyAlignment="1" applyProtection="1">
      <alignment horizontal="center" vertical="center" wrapText="1"/>
      <protection hidden="1"/>
    </xf>
    <xf numFmtId="0" fontId="27" fillId="0" borderId="20" xfId="0" applyFont="1" applyBorder="1" applyAlignment="1" applyProtection="1">
      <alignment horizontal="center" vertical="center" wrapText="1"/>
      <protection hidden="1"/>
    </xf>
    <xf numFmtId="0" fontId="27" fillId="0" borderId="1" xfId="0" applyFont="1" applyFill="1" applyBorder="1" applyAlignment="1" applyProtection="1">
      <alignment horizontal="center" vertical="center" wrapText="1"/>
      <protection hidden="1"/>
    </xf>
    <xf numFmtId="3" fontId="28" fillId="0" borderId="13" xfId="0" applyNumberFormat="1" applyFont="1" applyFill="1" applyBorder="1" applyAlignment="1" applyProtection="1">
      <alignment horizontal="center"/>
      <protection hidden="1"/>
    </xf>
    <xf numFmtId="3" fontId="28" fillId="0" borderId="19" xfId="0" applyNumberFormat="1" applyFont="1" applyFill="1" applyBorder="1" applyAlignment="1" applyProtection="1">
      <alignment horizontal="center"/>
      <protection hidden="1"/>
    </xf>
    <xf numFmtId="3" fontId="28" fillId="0" borderId="20" xfId="0" applyNumberFormat="1" applyFont="1" applyFill="1" applyBorder="1" applyAlignment="1" applyProtection="1">
      <alignment horizontal="center"/>
      <protection hidden="1"/>
    </xf>
    <xf numFmtId="43" fontId="28" fillId="0" borderId="13" xfId="1" applyFont="1" applyBorder="1" applyAlignment="1" applyProtection="1">
      <alignment horizontal="center"/>
      <protection hidden="1"/>
    </xf>
    <xf numFmtId="43" fontId="28" fillId="0" borderId="20" xfId="1" applyFont="1" applyBorder="1" applyAlignment="1" applyProtection="1">
      <alignment horizontal="center"/>
      <protection hidden="1"/>
    </xf>
    <xf numFmtId="0" fontId="28" fillId="0" borderId="22" xfId="0" applyFont="1" applyBorder="1" applyAlignment="1" applyProtection="1">
      <alignment horizontal="center"/>
      <protection hidden="1"/>
    </xf>
    <xf numFmtId="0" fontId="28" fillId="0" borderId="39" xfId="0" applyFont="1" applyBorder="1" applyAlignment="1" applyProtection="1">
      <alignment horizontal="center"/>
      <protection hidden="1"/>
    </xf>
    <xf numFmtId="0" fontId="28" fillId="0" borderId="31" xfId="0" applyFont="1" applyBorder="1" applyAlignment="1" applyProtection="1">
      <alignment horizontal="left" vertical="center" wrapText="1"/>
      <protection hidden="1"/>
    </xf>
    <xf numFmtId="0" fontId="28" fillId="0" borderId="29" xfId="0" applyFont="1" applyBorder="1" applyAlignment="1" applyProtection="1">
      <alignment horizontal="left" vertical="center" wrapText="1"/>
      <protection hidden="1"/>
    </xf>
    <xf numFmtId="0" fontId="28" fillId="0" borderId="40" xfId="0" applyFont="1" applyBorder="1" applyAlignment="1" applyProtection="1">
      <alignment horizontal="left" vertical="center" wrapText="1"/>
      <protection hidden="1"/>
    </xf>
    <xf numFmtId="0" fontId="28" fillId="0" borderId="12" xfId="0" applyFont="1" applyBorder="1" applyAlignment="1" applyProtection="1">
      <alignment horizontal="left" vertical="center" wrapText="1"/>
      <protection hidden="1"/>
    </xf>
    <xf numFmtId="0" fontId="28" fillId="0" borderId="0" xfId="0" applyFont="1" applyBorder="1" applyAlignment="1" applyProtection="1">
      <alignment horizontal="left" vertical="center" wrapText="1"/>
      <protection hidden="1"/>
    </xf>
    <xf numFmtId="0" fontId="28" fillId="0" borderId="16" xfId="0" applyFont="1" applyBorder="1" applyAlignment="1" applyProtection="1">
      <alignment horizontal="left" vertical="center" wrapText="1"/>
      <protection hidden="1"/>
    </xf>
    <xf numFmtId="0" fontId="28" fillId="0" borderId="12"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28" fillId="0" borderId="16" xfId="0" applyFont="1" applyBorder="1" applyAlignment="1" applyProtection="1">
      <alignment horizontal="center"/>
      <protection hidden="1"/>
    </xf>
    <xf numFmtId="2" fontId="13" fillId="0" borderId="13" xfId="0" applyNumberFormat="1" applyFont="1" applyFill="1" applyBorder="1" applyAlignment="1" applyProtection="1">
      <alignment horizontal="center" vertical="top" wrapText="1"/>
      <protection hidden="1"/>
    </xf>
    <xf numFmtId="2" fontId="13" fillId="0" borderId="20" xfId="0" applyNumberFormat="1" applyFont="1" applyFill="1" applyBorder="1" applyAlignment="1" applyProtection="1">
      <alignment horizontal="center" vertical="top" wrapText="1"/>
      <protection hidden="1"/>
    </xf>
    <xf numFmtId="2" fontId="28" fillId="0" borderId="13" xfId="0" applyNumberFormat="1" applyFont="1" applyBorder="1" applyAlignment="1" applyProtection="1">
      <alignment horizontal="center"/>
      <protection hidden="1"/>
    </xf>
    <xf numFmtId="2" fontId="28" fillId="0" borderId="19" xfId="0" applyNumberFormat="1" applyFont="1" applyBorder="1" applyAlignment="1" applyProtection="1">
      <alignment horizontal="center"/>
      <protection hidden="1"/>
    </xf>
    <xf numFmtId="2" fontId="28" fillId="0" borderId="20" xfId="0" applyNumberFormat="1" applyFont="1" applyBorder="1" applyAlignment="1" applyProtection="1">
      <alignment horizontal="center"/>
      <protection hidden="1"/>
    </xf>
    <xf numFmtId="2" fontId="13" fillId="0" borderId="19" xfId="0" applyNumberFormat="1" applyFont="1" applyFill="1" applyBorder="1" applyAlignment="1" applyProtection="1">
      <alignment horizontal="center" vertical="top" wrapText="1"/>
      <protection hidden="1"/>
    </xf>
    <xf numFmtId="0" fontId="4" fillId="0" borderId="17" xfId="8" applyFont="1" applyBorder="1" applyAlignment="1" applyProtection="1">
      <alignment horizontal="center" vertical="center" wrapText="1"/>
      <protection hidden="1"/>
    </xf>
    <xf numFmtId="0" fontId="4" fillId="0" borderId="5" xfId="8" applyFont="1" applyBorder="1" applyAlignment="1" applyProtection="1">
      <alignment horizontal="center" vertical="center" wrapText="1"/>
      <protection hidden="1"/>
    </xf>
    <xf numFmtId="0" fontId="15" fillId="0" borderId="13" xfId="0" applyFont="1" applyBorder="1" applyAlignment="1">
      <alignment horizontal="center" wrapText="1"/>
    </xf>
    <xf numFmtId="0" fontId="15" fillId="0" borderId="20" xfId="0" applyFont="1" applyBorder="1" applyAlignment="1">
      <alignment horizontal="center" wrapText="1"/>
    </xf>
    <xf numFmtId="0" fontId="15" fillId="0" borderId="1" xfId="0" applyFont="1" applyBorder="1" applyAlignment="1">
      <alignment horizontal="center" wrapText="1"/>
    </xf>
    <xf numFmtId="0" fontId="0" fillId="0" borderId="13" xfId="0" applyBorder="1" applyAlignment="1">
      <alignment horizontal="center"/>
    </xf>
    <xf numFmtId="0" fontId="0" fillId="0" borderId="20" xfId="0" applyBorder="1" applyAlignment="1">
      <alignment horizontal="center"/>
    </xf>
    <xf numFmtId="0" fontId="7" fillId="0" borderId="1" xfId="0" applyFont="1" applyBorder="1" applyAlignment="1">
      <alignment horizontal="center" vertical="center" wrapText="1"/>
    </xf>
    <xf numFmtId="0" fontId="32" fillId="0" borderId="44" xfId="0" applyFont="1" applyBorder="1" applyAlignment="1">
      <alignment horizontal="center" vertical="center" wrapText="1"/>
    </xf>
    <xf numFmtId="0" fontId="32" fillId="0" borderId="24"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41" xfId="0" applyFont="1" applyBorder="1" applyAlignment="1">
      <alignment horizontal="center" vertical="center" wrapText="1"/>
    </xf>
    <xf numFmtId="0" fontId="32" fillId="0" borderId="4" xfId="0" applyFont="1" applyBorder="1" applyAlignment="1">
      <alignment horizontal="center" vertical="center" wrapText="1"/>
    </xf>
    <xf numFmtId="0" fontId="32" fillId="0" borderId="17" xfId="0" applyFont="1" applyBorder="1" applyAlignment="1">
      <alignment horizontal="center" vertical="center"/>
    </xf>
    <xf numFmtId="0" fontId="32" fillId="0" borderId="42" xfId="0" applyFont="1" applyBorder="1" applyAlignment="1">
      <alignment horizontal="center" vertical="center"/>
    </xf>
    <xf numFmtId="0" fontId="32" fillId="0" borderId="5" xfId="0" applyFont="1" applyBorder="1" applyAlignment="1">
      <alignment horizontal="center" vertical="center"/>
    </xf>
    <xf numFmtId="0" fontId="32" fillId="0" borderId="43" xfId="0" applyFont="1" applyBorder="1" applyAlignment="1">
      <alignment horizontal="center" vertical="center" wrapText="1"/>
    </xf>
    <xf numFmtId="0" fontId="32" fillId="0" borderId="20" xfId="0" applyFont="1" applyBorder="1" applyAlignment="1">
      <alignment horizontal="center" vertical="center" wrapText="1"/>
    </xf>
    <xf numFmtId="0" fontId="32" fillId="0" borderId="25" xfId="0" applyFont="1" applyBorder="1" applyAlignment="1">
      <alignment horizontal="center" vertical="center" wrapText="1"/>
    </xf>
  </cellXfs>
  <cellStyles count="16">
    <cellStyle name="Comma" xfId="1" builtinId="3"/>
    <cellStyle name="Comma 2" xfId="2" xr:uid="{00000000-0005-0000-0000-000001000000}"/>
    <cellStyle name="Comma 2 2" xfId="3" xr:uid="{00000000-0005-0000-0000-000002000000}"/>
    <cellStyle name="Comma 3" xfId="4" xr:uid="{00000000-0005-0000-0000-000003000000}"/>
    <cellStyle name="Comma 4" xfId="5" xr:uid="{00000000-0005-0000-0000-000004000000}"/>
    <cellStyle name="Normal" xfId="0" builtinId="0"/>
    <cellStyle name="Normal 2" xfId="6" xr:uid="{00000000-0005-0000-0000-000006000000}"/>
    <cellStyle name="Normal 2 2" xfId="7" xr:uid="{00000000-0005-0000-0000-000007000000}"/>
    <cellStyle name="Normal 2 3" xfId="8" xr:uid="{00000000-0005-0000-0000-000008000000}"/>
    <cellStyle name="Normal 3" xfId="9" xr:uid="{00000000-0005-0000-0000-000009000000}"/>
    <cellStyle name="Normal 4" xfId="10" xr:uid="{00000000-0005-0000-0000-00000A000000}"/>
    <cellStyle name="Normal 5" xfId="11" xr:uid="{00000000-0005-0000-0000-00000B000000}"/>
    <cellStyle name="Percent" xfId="12" builtinId="5"/>
    <cellStyle name="Percent 2" xfId="13" xr:uid="{00000000-0005-0000-0000-00000D000000}"/>
    <cellStyle name="Percent 4" xfId="14" xr:uid="{00000000-0005-0000-0000-00000E000000}"/>
    <cellStyle name="Style 1" xfId="15" xr:uid="{00000000-0005-0000-0000-00000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1095375</xdr:colOff>
          <xdr:row>17</xdr:row>
          <xdr:rowOff>161925</xdr:rowOff>
        </xdr:from>
        <xdr:to>
          <xdr:col>3</xdr:col>
          <xdr:colOff>95250</xdr:colOff>
          <xdr:row>19</xdr:row>
          <xdr:rowOff>38100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Submit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AC43"/>
  <sheetViews>
    <sheetView workbookViewId="0">
      <selection activeCell="C11" sqref="C11"/>
    </sheetView>
  </sheetViews>
  <sheetFormatPr defaultColWidth="13.140625" defaultRowHeight="15"/>
  <sheetData>
    <row r="2" spans="2:29">
      <c r="B2" s="8" t="s">
        <v>188</v>
      </c>
      <c r="C2" s="4"/>
    </row>
    <row r="3" spans="2:29">
      <c r="D3" s="95" t="s">
        <v>8</v>
      </c>
      <c r="E3" s="95" t="s">
        <v>9</v>
      </c>
    </row>
    <row r="4" spans="2:29">
      <c r="B4" s="2" t="s">
        <v>76</v>
      </c>
      <c r="C4" s="96" t="s">
        <v>102</v>
      </c>
      <c r="D4" s="1"/>
      <c r="E4" s="1"/>
      <c r="P4">
        <f ca="1">IFERROR(C7+C9,0)</f>
        <v>46</v>
      </c>
      <c r="AA4" s="68">
        <f ca="1">IF(OR(C7="",C7="ERROR"),0,C7+C9)</f>
        <v>46</v>
      </c>
      <c r="AC4" t="s">
        <v>77</v>
      </c>
    </row>
    <row r="5" spans="2:29">
      <c r="B5" s="2" t="s">
        <v>0</v>
      </c>
      <c r="C5" s="9" t="s">
        <v>201</v>
      </c>
      <c r="D5" s="6"/>
      <c r="E5" s="6"/>
      <c r="AC5" t="s">
        <v>78</v>
      </c>
    </row>
    <row r="6" spans="2:29">
      <c r="B6" s="2" t="s">
        <v>2</v>
      </c>
      <c r="C6" s="10">
        <v>35556</v>
      </c>
      <c r="D6" s="7"/>
      <c r="E6" s="7"/>
      <c r="AC6" t="s">
        <v>79</v>
      </c>
    </row>
    <row r="7" spans="2:29">
      <c r="B7" s="2" t="s">
        <v>1</v>
      </c>
      <c r="C7" s="5">
        <f ca="1">IF(C13=6,IF(OR(DATEDIF(C6,TODAY(),"y")&lt;6,DATEDIF(C6,TODAY(),"y")&gt;50),"error",DATEDIF(C6,TODAY(),"y")),IF(C13=7,IF(OR(DATEDIF(C6,TODAY(),"y")&lt;3,DATEDIF(C6,TODAY(),"y")&gt;50),"error",DATEDIF(C6,TODAY(),"y")),IF(OR(DATEDIF(C6,TODAY(),"d")&lt;0,DATEDIF(C6,TODAY(),"y")&gt;50),"error",DATEDIF(C6,TODAY(),"y"))))</f>
        <v>26</v>
      </c>
      <c r="D7" s="1">
        <f>IF(C13=6,6,IF(C13=7,3,0))</f>
        <v>0</v>
      </c>
      <c r="E7" s="1">
        <v>50</v>
      </c>
      <c r="AC7" t="s">
        <v>80</v>
      </c>
    </row>
    <row r="8" spans="2:29">
      <c r="B8" s="2" t="s">
        <v>3</v>
      </c>
      <c r="C8" s="214" t="s">
        <v>202</v>
      </c>
      <c r="D8" s="7"/>
      <c r="E8" s="7"/>
      <c r="AC8" t="s">
        <v>81</v>
      </c>
    </row>
    <row r="9" spans="2:29">
      <c r="B9" s="2" t="s">
        <v>4</v>
      </c>
      <c r="C9" s="11">
        <v>20</v>
      </c>
      <c r="D9" s="7"/>
      <c r="E9" s="7"/>
      <c r="N9">
        <v>7</v>
      </c>
      <c r="AC9" t="s">
        <v>82</v>
      </c>
    </row>
    <row r="10" spans="2:29">
      <c r="B10" s="3" t="s">
        <v>68</v>
      </c>
      <c r="C10" s="214">
        <v>50000</v>
      </c>
      <c r="D10" s="1">
        <v>12000</v>
      </c>
      <c r="E10" s="1">
        <v>75000</v>
      </c>
      <c r="H10" t="b">
        <f ca="1">IF(C13=6,AND(DATEDIF(C6,TODAY(),"y")&gt;=6,DATEDIF(C6,TODAY(),"y")&lt;=50),IF(C13=7,AND(DATEDIF(C6,TODAY(),"y")&gt;=3,DATEDIF(C6,TODAY(),"y")&lt;=50),AND(DATEDIF(C6,TODAY(),"d")&gt;=30,DATEDIF(C6,TODAY(),"y")&lt;=50)))</f>
        <v>1</v>
      </c>
      <c r="AC10" t="s">
        <v>83</v>
      </c>
    </row>
    <row r="11" spans="2:29">
      <c r="B11" s="3" t="s">
        <v>7</v>
      </c>
      <c r="C11" s="5">
        <f ca="1">IF(OR(C7="",C10="",C10=0),"",C10*ROUND(1000/'SAMF and Premium'!$AJ$9,2))</f>
        <v>669500</v>
      </c>
      <c r="D11" s="7"/>
      <c r="E11" s="7"/>
      <c r="AC11" t="s">
        <v>84</v>
      </c>
    </row>
    <row r="12" spans="2:29">
      <c r="B12" s="2" t="s">
        <v>6</v>
      </c>
      <c r="C12" s="11" t="s">
        <v>203</v>
      </c>
      <c r="D12" s="7"/>
      <c r="E12" s="7"/>
      <c r="AC12" t="s">
        <v>85</v>
      </c>
    </row>
    <row r="13" spans="2:29">
      <c r="B13" s="2" t="s">
        <v>5</v>
      </c>
      <c r="C13" s="5">
        <f>IF($C$9=15,N9,IF($C$9=20,10,6))</f>
        <v>10</v>
      </c>
      <c r="D13" s="7"/>
      <c r="E13" s="7"/>
      <c r="AC13" t="s">
        <v>86</v>
      </c>
    </row>
    <row r="14" spans="2:29" hidden="1">
      <c r="B14" s="215" t="s">
        <v>180</v>
      </c>
      <c r="C14" s="215"/>
      <c r="D14" s="215"/>
      <c r="E14" s="215"/>
      <c r="AC14" t="s">
        <v>87</v>
      </c>
    </row>
    <row r="15" spans="2:29" hidden="1">
      <c r="B15" s="2" t="s">
        <v>181</v>
      </c>
      <c r="C15" s="167" t="s">
        <v>184</v>
      </c>
      <c r="D15" s="7"/>
      <c r="E15" s="7"/>
      <c r="AC15" t="s">
        <v>88</v>
      </c>
    </row>
    <row r="16" spans="2:29" hidden="1">
      <c r="B16" s="2" t="s">
        <v>1</v>
      </c>
      <c r="C16" s="168">
        <v>45</v>
      </c>
      <c r="D16" s="1">
        <v>18</v>
      </c>
      <c r="E16" s="1">
        <v>50</v>
      </c>
      <c r="AC16" t="s">
        <v>89</v>
      </c>
    </row>
    <row r="17" spans="2:29" hidden="1">
      <c r="B17" s="2" t="s">
        <v>3</v>
      </c>
      <c r="C17" s="168" t="s">
        <v>183</v>
      </c>
      <c r="D17" s="7"/>
      <c r="E17" s="7"/>
      <c r="AC17" t="s">
        <v>90</v>
      </c>
    </row>
    <row r="18" spans="2:29">
      <c r="AC18" t="s">
        <v>91</v>
      </c>
    </row>
    <row r="19" spans="2:29">
      <c r="AC19" t="s">
        <v>92</v>
      </c>
    </row>
    <row r="20" spans="2:29">
      <c r="AC20" t="s">
        <v>93</v>
      </c>
    </row>
    <row r="21" spans="2:29">
      <c r="AC21" t="s">
        <v>94</v>
      </c>
    </row>
    <row r="22" spans="2:29">
      <c r="AC22" t="s">
        <v>95</v>
      </c>
    </row>
    <row r="23" spans="2:29">
      <c r="AC23" t="s">
        <v>96</v>
      </c>
    </row>
    <row r="24" spans="2:29">
      <c r="AC24" t="s">
        <v>97</v>
      </c>
    </row>
    <row r="25" spans="2:29">
      <c r="AC25" t="s">
        <v>98</v>
      </c>
    </row>
    <row r="26" spans="2:29">
      <c r="AC26" t="s">
        <v>99</v>
      </c>
    </row>
    <row r="27" spans="2:29">
      <c r="AC27" t="s">
        <v>100</v>
      </c>
    </row>
    <row r="28" spans="2:29">
      <c r="AC28" t="s">
        <v>101</v>
      </c>
    </row>
    <row r="29" spans="2:29">
      <c r="AC29" t="s">
        <v>102</v>
      </c>
    </row>
    <row r="30" spans="2:29">
      <c r="AC30" t="s">
        <v>103</v>
      </c>
    </row>
    <row r="31" spans="2:29">
      <c r="AC31" t="s">
        <v>104</v>
      </c>
    </row>
    <row r="32" spans="2:29">
      <c r="AC32" t="s">
        <v>105</v>
      </c>
    </row>
    <row r="33" spans="29:29">
      <c r="AC33" t="s">
        <v>106</v>
      </c>
    </row>
    <row r="34" spans="29:29">
      <c r="AC34" t="s">
        <v>107</v>
      </c>
    </row>
    <row r="35" spans="29:29">
      <c r="AC35" t="s">
        <v>108</v>
      </c>
    </row>
    <row r="36" spans="29:29">
      <c r="AC36" t="s">
        <v>109</v>
      </c>
    </row>
    <row r="37" spans="29:29">
      <c r="AC37" t="s">
        <v>110</v>
      </c>
    </row>
    <row r="38" spans="29:29">
      <c r="AC38" t="s">
        <v>111</v>
      </c>
    </row>
    <row r="39" spans="29:29">
      <c r="AC39" t="s">
        <v>112</v>
      </c>
    </row>
    <row r="40" spans="29:29">
      <c r="AC40" t="s">
        <v>109</v>
      </c>
    </row>
    <row r="41" spans="29:29">
      <c r="AC41" t="s">
        <v>110</v>
      </c>
    </row>
    <row r="42" spans="29:29">
      <c r="AC42" t="s">
        <v>111</v>
      </c>
    </row>
    <row r="43" spans="29:29">
      <c r="AC43" t="s">
        <v>112</v>
      </c>
    </row>
  </sheetData>
  <sheetProtection algorithmName="SHA-512" hashValue="zkink4Jn6ornpQpWI66XvHbtwQXIMX9Ynqs11hnqgKI6QSi0st4kVf4qS/EdYjyh89yALFpdRBWTye8sTP0o0g==" saltValue="HkWM1KdIPuQnX8b9w3WYpQ==" spinCount="100000" sheet="1" objects="1" scenarios="1"/>
  <mergeCells count="1">
    <mergeCell ref="B14:E14"/>
  </mergeCells>
  <dataValidations count="12">
    <dataValidation type="custom" allowBlank="1" showInputMessage="1" showErrorMessage="1" errorTitle="Age Error" error="for PPT 6, 6 to 50 years_x000a_for PPT 7, 3 to 50 years_x000a__x000a_for PPt 10, 30 days to 50 years" sqref="C6" xr:uid="{00000000-0002-0000-0000-000000000000}">
      <formula1>IF(C13=6,AND(DATEDIF(C6,TODAY(),"y")&gt;=6,DATEDIF(C6,TODAY(),"y")&lt;=50),IF(C13=7,AND(DATEDIF(C6,TODAY(),"y")&gt;=3,DATEDIF(C6,TODAY(),"y")&lt;=50),AND(DATEDIF(C6,TODAY(),"d")&gt;=30,DATEDIF(C6,TODAY(),"y")&lt;=50)))</formula1>
    </dataValidation>
    <dataValidation type="whole" allowBlank="1" showInputMessage="1" showErrorMessage="1" errorTitle="Error" error="Please enter the Premium between  12,000 to 75,000." sqref="C10" xr:uid="{00000000-0002-0000-0000-000001000000}">
      <formula1>D10</formula1>
      <formula2>E10</formula2>
    </dataValidation>
    <dataValidation type="list" allowBlank="1" showInputMessage="1" showErrorMessage="1" errorTitle="Error" error="Please select valid Gender" sqref="C8" xr:uid="{00000000-0002-0000-0000-000002000000}">
      <formula1>"Male,Female,Third Gender"</formula1>
    </dataValidation>
    <dataValidation type="list" allowBlank="1" showInputMessage="1" showErrorMessage="1" errorTitle="Error" sqref="C9" xr:uid="{00000000-0002-0000-0000-000003000000}">
      <formula1>"12,15,20"</formula1>
    </dataValidation>
    <dataValidation type="list" allowBlank="1" showInputMessage="1" showErrorMessage="1" errorTitle="Error" error="Premium Frequency is Yearly." sqref="C12" xr:uid="{00000000-0002-0000-0000-000004000000}">
      <formula1>"Yearly,Monthly"</formula1>
    </dataValidation>
    <dataValidation type="list" showInputMessage="1" showErrorMessage="1" errorTitle="Error" error="Select valid State" sqref="C4" xr:uid="{00000000-0002-0000-0000-000005000000}">
      <formula1>$AC$4:$AC$43</formula1>
    </dataValidation>
    <dataValidation type="custom" allowBlank="1" showInputMessage="1" showErrorMessage="1" error="Minmum amount should be 12000_x000a_" sqref="D10" xr:uid="{00000000-0002-0000-0000-000006000000}">
      <formula1>"="</formula1>
    </dataValidation>
    <dataValidation type="custom" allowBlank="1" showInputMessage="1" showErrorMessage="1" error="max amount should be 75000" sqref="E10" xr:uid="{00000000-0002-0000-0000-000007000000}">
      <formula1>"="</formula1>
    </dataValidation>
    <dataValidation allowBlank="1" showInputMessage="1" showErrorMessage="1" error="Min age should be 3" sqref="D7" xr:uid="{00000000-0002-0000-0000-000008000000}"/>
    <dataValidation type="custom" allowBlank="1" showInputMessage="1" showErrorMessage="1" error="max age shoould be 50" sqref="E7" xr:uid="{00000000-0002-0000-0000-000009000000}">
      <formula1>"="</formula1>
    </dataValidation>
    <dataValidation type="list" allowBlank="1" showInputMessage="1" showErrorMessage="1" sqref="C17" xr:uid="{00000000-0002-0000-0000-00000A000000}">
      <formula1>"Male,Female,Third Gender"</formula1>
    </dataValidation>
    <dataValidation type="custom" allowBlank="1" showInputMessage="1" showErrorMessage="1" sqref="C13 C7" xr:uid="{00000000-0002-0000-0000-00000B000000}">
      <formula1>"="</formula1>
    </dataValidation>
  </dataValidation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Button 5">
              <controlPr defaultSize="0" print="0" autoFill="0" autoPict="0" macro="[0]!Submit">
                <anchor moveWithCells="1" sizeWithCells="1">
                  <from>
                    <xdr:col>1</xdr:col>
                    <xdr:colOff>1095375</xdr:colOff>
                    <xdr:row>17</xdr:row>
                    <xdr:rowOff>161925</xdr:rowOff>
                  </from>
                  <to>
                    <xdr:col>3</xdr:col>
                    <xdr:colOff>95250</xdr:colOff>
                    <xdr:row>19</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100"/>
  <sheetViews>
    <sheetView topLeftCell="C44" zoomScale="80" zoomScaleNormal="80" workbookViewId="0">
      <selection activeCell="R61" sqref="R61"/>
    </sheetView>
  </sheetViews>
  <sheetFormatPr defaultRowHeight="15"/>
  <cols>
    <col min="1" max="1" width="15.7109375" style="12" customWidth="1"/>
    <col min="2" max="2" width="17.140625" style="12" customWidth="1"/>
    <col min="3" max="3" width="19.140625" style="12" customWidth="1"/>
    <col min="4" max="4" width="17.42578125" style="12" customWidth="1"/>
    <col min="5" max="5" width="26.5703125" style="12" customWidth="1"/>
    <col min="6" max="6" width="25.85546875" style="12" customWidth="1"/>
    <col min="7" max="7" width="30" style="12" customWidth="1"/>
    <col min="8" max="8" width="28" style="12" customWidth="1"/>
    <col min="9" max="9" width="25.7109375" style="12" customWidth="1"/>
    <col min="10" max="10" width="27.85546875" style="12" customWidth="1"/>
    <col min="11" max="11" width="34.140625" style="12" customWidth="1"/>
    <col min="12" max="17" width="9.140625" style="12"/>
    <col min="18" max="18" width="17" style="12" customWidth="1"/>
    <col min="19" max="20" width="9.140625" style="12"/>
    <col min="21" max="21" width="22" style="12" customWidth="1"/>
    <col min="22" max="22" width="28.5703125" style="12" customWidth="1"/>
    <col min="23" max="23" width="41.7109375" style="12" customWidth="1"/>
    <col min="24" max="16384" width="9.140625" style="12"/>
  </cols>
  <sheetData>
    <row r="1" spans="1:43" ht="15.75" thickBot="1">
      <c r="D1" s="13" t="s">
        <v>12</v>
      </c>
    </row>
    <row r="2" spans="1:43" ht="15.75" thickBot="1">
      <c r="D2" s="14" t="s">
        <v>13</v>
      </c>
      <c r="U2" s="241" t="s">
        <v>36</v>
      </c>
      <c r="V2" s="15" t="s">
        <v>49</v>
      </c>
      <c r="W2" s="16" t="s">
        <v>50</v>
      </c>
    </row>
    <row r="3" spans="1:43" ht="15.75" thickBot="1">
      <c r="D3" s="17" t="s">
        <v>14</v>
      </c>
      <c r="U3" s="242"/>
      <c r="V3" s="18">
        <v>5.5E-2</v>
      </c>
      <c r="W3" s="19">
        <v>0.06</v>
      </c>
    </row>
    <row r="4" spans="1:43">
      <c r="D4" s="14" t="s">
        <v>69</v>
      </c>
      <c r="U4" s="83"/>
      <c r="V4" s="84"/>
      <c r="W4" s="85"/>
    </row>
    <row r="5" spans="1:43">
      <c r="D5" s="14" t="s">
        <v>70</v>
      </c>
      <c r="U5" s="83"/>
      <c r="V5" s="84"/>
      <c r="W5" s="85"/>
    </row>
    <row r="6" spans="1:43">
      <c r="D6" s="17" t="s">
        <v>75</v>
      </c>
    </row>
    <row r="7" spans="1:43" ht="15" customHeight="1" thickBot="1">
      <c r="A7" s="20" t="s">
        <v>15</v>
      </c>
      <c r="G7" s="20" t="s">
        <v>16</v>
      </c>
      <c r="H7" s="21">
        <f ca="1">TODAY()</f>
        <v>45365</v>
      </c>
      <c r="M7" s="22"/>
      <c r="N7" s="22"/>
      <c r="S7" s="22"/>
      <c r="T7" s="22"/>
      <c r="U7" s="23" t="s">
        <v>51</v>
      </c>
      <c r="V7" s="22"/>
      <c r="W7" s="22"/>
      <c r="X7" s="22"/>
      <c r="Y7" s="22"/>
      <c r="Z7" s="22"/>
      <c r="AA7" s="22"/>
      <c r="AB7" s="22"/>
      <c r="AC7" s="22"/>
      <c r="AD7" s="22"/>
      <c r="AE7" s="22"/>
      <c r="AF7" s="22"/>
      <c r="AG7" s="22"/>
      <c r="AH7" s="22"/>
      <c r="AI7" s="22"/>
      <c r="AJ7" s="22"/>
      <c r="AK7" s="22"/>
      <c r="AL7" s="22"/>
      <c r="AM7" s="22"/>
      <c r="AN7" s="22"/>
      <c r="AO7" s="22"/>
      <c r="AP7" s="24"/>
      <c r="AQ7" s="25"/>
    </row>
    <row r="8" spans="1:43" ht="15" customHeight="1" thickBot="1">
      <c r="A8" s="230" t="s">
        <v>61</v>
      </c>
      <c r="B8" s="230"/>
      <c r="C8" s="230"/>
      <c r="D8" s="230"/>
      <c r="E8" s="230"/>
      <c r="F8" s="230"/>
      <c r="G8" s="230"/>
      <c r="H8" s="230"/>
      <c r="I8" s="230"/>
      <c r="J8" s="230"/>
      <c r="K8" s="230"/>
      <c r="U8" s="26" t="s">
        <v>17</v>
      </c>
      <c r="V8" s="27" t="s">
        <v>18</v>
      </c>
    </row>
    <row r="9" spans="1:43" ht="15.75" thickBot="1">
      <c r="A9" s="230"/>
      <c r="B9" s="230"/>
      <c r="C9" s="230"/>
      <c r="D9" s="230"/>
      <c r="E9" s="230"/>
      <c r="F9" s="230"/>
      <c r="G9" s="230"/>
      <c r="H9" s="230"/>
      <c r="I9" s="230"/>
      <c r="J9" s="230"/>
      <c r="K9" s="230"/>
      <c r="U9" s="28">
        <v>1</v>
      </c>
      <c r="V9" s="29">
        <v>0.89290000000000003</v>
      </c>
    </row>
    <row r="10" spans="1:43" ht="15.75" thickBot="1">
      <c r="A10" s="86"/>
      <c r="U10" s="28">
        <v>2</v>
      </c>
      <c r="V10" s="29">
        <v>0.79730000000000001</v>
      </c>
    </row>
    <row r="11" spans="1:43" ht="15" customHeight="1" thickBot="1">
      <c r="A11" s="230" t="s">
        <v>19</v>
      </c>
      <c r="B11" s="230"/>
      <c r="C11" s="230"/>
      <c r="D11" s="230"/>
      <c r="E11" s="230"/>
      <c r="F11" s="230"/>
      <c r="G11" s="230"/>
      <c r="H11" s="230"/>
      <c r="I11" s="230"/>
      <c r="J11" s="230"/>
      <c r="K11" s="230"/>
      <c r="U11" s="28">
        <v>3</v>
      </c>
      <c r="V11" s="29">
        <v>0.71209999999999996</v>
      </c>
    </row>
    <row r="12" spans="1:43" ht="15.75" thickBot="1">
      <c r="A12" s="230"/>
      <c r="B12" s="230"/>
      <c r="C12" s="230"/>
      <c r="D12" s="230"/>
      <c r="E12" s="230"/>
      <c r="F12" s="230"/>
      <c r="G12" s="230"/>
      <c r="H12" s="230"/>
      <c r="I12" s="230"/>
      <c r="J12" s="230"/>
      <c r="K12" s="230"/>
      <c r="U12" s="28">
        <v>4</v>
      </c>
      <c r="V12" s="29">
        <v>0.63619999999999999</v>
      </c>
    </row>
    <row r="13" spans="1:43" ht="15.75" thickBot="1">
      <c r="A13" s="87"/>
      <c r="U13" s="28">
        <v>5</v>
      </c>
      <c r="V13" s="29">
        <v>0.56850000000000001</v>
      </c>
    </row>
    <row r="14" spans="1:43" ht="15" customHeight="1" thickBot="1">
      <c r="A14" s="231"/>
      <c r="B14" s="231"/>
      <c r="C14" s="231"/>
      <c r="D14" s="231"/>
      <c r="E14" s="231"/>
      <c r="F14" s="231"/>
      <c r="G14" s="231"/>
      <c r="H14" s="231"/>
      <c r="I14" s="231"/>
      <c r="J14" s="231"/>
      <c r="K14" s="231"/>
      <c r="U14" s="28">
        <v>6</v>
      </c>
      <c r="V14" s="29">
        <v>0.50819999999999999</v>
      </c>
    </row>
    <row r="15" spans="1:43" ht="27.75" customHeight="1" thickBot="1">
      <c r="A15" s="231"/>
      <c r="B15" s="231"/>
      <c r="C15" s="231"/>
      <c r="D15" s="231"/>
      <c r="E15" s="231"/>
      <c r="F15" s="231"/>
      <c r="G15" s="231"/>
      <c r="H15" s="231"/>
      <c r="I15" s="231"/>
      <c r="J15" s="231"/>
      <c r="K15" s="231"/>
      <c r="U15" s="28">
        <v>7</v>
      </c>
      <c r="V15" s="29">
        <v>0.45440000000000003</v>
      </c>
    </row>
    <row r="16" spans="1:43" ht="15.75" thickBot="1">
      <c r="U16" s="28">
        <v>8</v>
      </c>
      <c r="V16" s="29">
        <v>0.40649999999999997</v>
      </c>
    </row>
    <row r="17" spans="2:22" ht="15.75" thickBot="1">
      <c r="U17" s="28">
        <v>9</v>
      </c>
      <c r="V17" s="29">
        <v>0.36380000000000001</v>
      </c>
    </row>
    <row r="18" spans="2:22" ht="15.75" thickBot="1">
      <c r="B18" s="20" t="s">
        <v>20</v>
      </c>
      <c r="U18" s="28">
        <v>10</v>
      </c>
      <c r="V18" s="29">
        <v>0.32579999999999998</v>
      </c>
    </row>
    <row r="19" spans="2:22" ht="15.75" thickBot="1">
      <c r="B19" s="37" t="s">
        <v>0</v>
      </c>
      <c r="C19" s="37" t="s">
        <v>21</v>
      </c>
      <c r="D19" s="37" t="s">
        <v>3</v>
      </c>
      <c r="E19" s="37" t="s">
        <v>22</v>
      </c>
      <c r="F19" s="94" t="s">
        <v>76</v>
      </c>
      <c r="U19" s="28">
        <v>11</v>
      </c>
      <c r="V19" s="29">
        <v>0.29189999999999999</v>
      </c>
    </row>
    <row r="20" spans="2:22" ht="15.75" thickBot="1">
      <c r="B20" s="94" t="str">
        <f>SS!$C$5</f>
        <v>Biswajit</v>
      </c>
      <c r="C20" s="94">
        <f ca="1">SS!$C$7</f>
        <v>26</v>
      </c>
      <c r="D20" s="94" t="str">
        <f>SS!$C$8</f>
        <v>Male</v>
      </c>
      <c r="E20" s="97" t="str">
        <f>SS!$C$12</f>
        <v>Yearly</v>
      </c>
      <c r="F20" s="97" t="str">
        <f>SS!$C$4</f>
        <v>ORISSA</v>
      </c>
      <c r="U20" s="28">
        <v>12</v>
      </c>
      <c r="V20" s="29">
        <v>0.26179999999999998</v>
      </c>
    </row>
    <row r="21" spans="2:22" ht="15.75" thickBot="1">
      <c r="U21" s="28">
        <v>13</v>
      </c>
      <c r="V21" s="29">
        <v>0.23499999999999999</v>
      </c>
    </row>
    <row r="22" spans="2:22" ht="15.75" thickBot="1">
      <c r="B22" s="31" t="s">
        <v>23</v>
      </c>
      <c r="C22" s="32"/>
      <c r="D22" s="32"/>
      <c r="E22" s="32"/>
      <c r="U22" s="28">
        <v>14</v>
      </c>
      <c r="V22" s="29">
        <v>0.21110000000000001</v>
      </c>
    </row>
    <row r="23" spans="2:22" ht="30.75" thickBot="1">
      <c r="B23" s="90" t="s">
        <v>72</v>
      </c>
      <c r="C23" s="34" t="s">
        <v>24</v>
      </c>
      <c r="D23" s="35" t="s">
        <v>58</v>
      </c>
      <c r="E23" s="35" t="str">
        <f>SS!$C$12 &amp; " Premium (in Rs)"</f>
        <v>Yearly Premium (in Rs)</v>
      </c>
      <c r="F23" s="89" t="s">
        <v>73</v>
      </c>
      <c r="U23" s="28">
        <v>15</v>
      </c>
      <c r="V23" s="29">
        <v>0</v>
      </c>
    </row>
    <row r="24" spans="2:22">
      <c r="B24" s="36">
        <f>SS!$C$9</f>
        <v>20</v>
      </c>
      <c r="C24" s="37">
        <f>SS!$C$13</f>
        <v>10</v>
      </c>
      <c r="D24" s="38">
        <f ca="1">SS!$C$11</f>
        <v>669500</v>
      </c>
      <c r="E24" s="88">
        <f>IF(SS!$C$12="Monthly",SS!$C$10*8.5%,SS!$C$10)</f>
        <v>50000</v>
      </c>
      <c r="F24" s="92">
        <f>IF(A47&gt;$C$24,"-",SS!$C$10)</f>
        <v>50000</v>
      </c>
      <c r="G24" s="91"/>
    </row>
    <row r="25" spans="2:22">
      <c r="U25" s="39" t="s">
        <v>52</v>
      </c>
    </row>
    <row r="26" spans="2:22" ht="25.5">
      <c r="B26" s="40" t="s">
        <v>25</v>
      </c>
      <c r="C26" s="41"/>
      <c r="D26" s="39"/>
      <c r="E26" s="39"/>
      <c r="U26" s="42" t="s">
        <v>26</v>
      </c>
      <c r="V26" s="42" t="s">
        <v>53</v>
      </c>
    </row>
    <row r="27" spans="2:22">
      <c r="B27" s="39"/>
      <c r="C27" s="39"/>
      <c r="D27" s="39"/>
      <c r="E27" s="39"/>
      <c r="U27" s="43">
        <v>1</v>
      </c>
      <c r="V27" s="44"/>
    </row>
    <row r="28" spans="2:22" ht="25.5">
      <c r="B28" s="33" t="s">
        <v>26</v>
      </c>
      <c r="C28" s="34" t="str">
        <f>SS!$C$12 &amp; " Premium (in Rs)"</f>
        <v>Yearly Premium (in Rs)</v>
      </c>
      <c r="D28" s="35" t="s">
        <v>65</v>
      </c>
      <c r="E28" s="35" t="str">
        <f>SS!$C$12 &amp; " Premium with applicable taxes (in Rs)"</f>
        <v>Yearly Premium with applicable taxes (in Rs)</v>
      </c>
      <c r="U28" s="43">
        <v>2</v>
      </c>
      <c r="V28" s="44">
        <v>0.3</v>
      </c>
    </row>
    <row r="29" spans="2:22">
      <c r="B29" s="33" t="s">
        <v>27</v>
      </c>
      <c r="C29" s="45">
        <f>$E$24</f>
        <v>50000</v>
      </c>
      <c r="D29" s="77">
        <f>IF(SS!$C$4="KERALA",ROUNDUP((2.5%+1)*C29,0)-C29,ROUNDUP((2.25%+1)*C29,0)-C29) + ROUNDUP((2.25%+1)*C29,0)-C29</f>
        <v>2250</v>
      </c>
      <c r="E29" s="77">
        <f>C29+D29</f>
        <v>52250</v>
      </c>
      <c r="U29" s="43">
        <v>3</v>
      </c>
      <c r="V29" s="44">
        <v>0.3</v>
      </c>
    </row>
    <row r="30" spans="2:22">
      <c r="B30" s="33" t="s">
        <v>28</v>
      </c>
      <c r="C30" s="45">
        <f>$E$24</f>
        <v>50000</v>
      </c>
      <c r="D30" s="77">
        <f>IF(SS!$C$4="KERALA",ROUNDUP((1.25%+1)*C29,0)-C30,ROUNDUP((1.125%+1)*C29,0)-C30) + ROUNDUP((1.125%+1)*C29,0)-C30</f>
        <v>1126</v>
      </c>
      <c r="E30" s="77">
        <f>C30+D30</f>
        <v>51126</v>
      </c>
      <c r="U30" s="43">
        <v>4</v>
      </c>
      <c r="V30" s="44">
        <v>0.5</v>
      </c>
    </row>
    <row r="31" spans="2:22">
      <c r="U31" s="43">
        <v>5</v>
      </c>
      <c r="V31" s="44">
        <v>0.5</v>
      </c>
    </row>
    <row r="32" spans="2:22">
      <c r="D32" s="80"/>
      <c r="U32" s="43">
        <v>6</v>
      </c>
      <c r="V32" s="44">
        <v>0.5</v>
      </c>
    </row>
    <row r="33" spans="1:25">
      <c r="D33" s="80"/>
      <c r="U33" s="46">
        <v>7</v>
      </c>
      <c r="V33" s="44">
        <v>0.5</v>
      </c>
    </row>
    <row r="34" spans="1:25">
      <c r="A34" s="47" t="s">
        <v>29</v>
      </c>
      <c r="U34" s="46">
        <v>8</v>
      </c>
      <c r="V34" s="44">
        <v>0.55000000000000004</v>
      </c>
    </row>
    <row r="35" spans="1:25">
      <c r="A35" s="48" t="s">
        <v>30</v>
      </c>
      <c r="U35" s="46">
        <v>9</v>
      </c>
      <c r="V35" s="44">
        <v>0.55000000000000004</v>
      </c>
    </row>
    <row r="36" spans="1:25">
      <c r="A36" s="93" t="s">
        <v>74</v>
      </c>
      <c r="U36" s="46">
        <v>10</v>
      </c>
      <c r="V36" s="44">
        <v>0.55000000000000004</v>
      </c>
    </row>
    <row r="37" spans="1:25">
      <c r="A37" s="12" t="s">
        <v>113</v>
      </c>
      <c r="U37" s="46">
        <v>11</v>
      </c>
      <c r="V37" s="44">
        <v>0.6</v>
      </c>
    </row>
    <row r="38" spans="1:25">
      <c r="A38" s="49" t="s">
        <v>31</v>
      </c>
      <c r="U38" s="46">
        <v>12</v>
      </c>
      <c r="V38" s="44">
        <v>0.6</v>
      </c>
    </row>
    <row r="39" spans="1:25">
      <c r="A39" s="50" t="s">
        <v>32</v>
      </c>
      <c r="U39" s="46">
        <v>13</v>
      </c>
      <c r="V39" s="44">
        <v>0.6</v>
      </c>
    </row>
    <row r="40" spans="1:25">
      <c r="A40" s="50" t="s">
        <v>33</v>
      </c>
      <c r="U40" s="46">
        <v>14</v>
      </c>
      <c r="V40" s="44">
        <v>0.6</v>
      </c>
    </row>
    <row r="41" spans="1:25">
      <c r="A41" s="48"/>
      <c r="U41" s="46">
        <v>15</v>
      </c>
      <c r="V41" s="44">
        <v>0.6</v>
      </c>
    </row>
    <row r="43" spans="1:25" ht="15.75" thickBot="1">
      <c r="A43" s="51" t="s">
        <v>66</v>
      </c>
      <c r="B43" s="39"/>
      <c r="C43" s="52"/>
      <c r="D43" s="52"/>
      <c r="E43" s="52"/>
      <c r="F43" s="52"/>
      <c r="G43" s="52"/>
      <c r="H43" s="39"/>
      <c r="I43" s="39"/>
      <c r="J43" s="39"/>
      <c r="K43" s="39"/>
      <c r="U43" s="12" t="s">
        <v>54</v>
      </c>
    </row>
    <row r="44" spans="1:25" ht="26.25" customHeight="1" thickBot="1">
      <c r="A44" s="238" t="s">
        <v>34</v>
      </c>
      <c r="B44" s="233" t="s">
        <v>67</v>
      </c>
      <c r="C44" s="233" t="s">
        <v>35</v>
      </c>
      <c r="D44" s="233" t="s">
        <v>36</v>
      </c>
      <c r="E44" s="233" t="s">
        <v>37</v>
      </c>
      <c r="F44" s="233" t="s">
        <v>38</v>
      </c>
      <c r="G44" s="236" t="s">
        <v>39</v>
      </c>
      <c r="H44" s="229"/>
      <c r="I44" s="243"/>
      <c r="J44" s="243"/>
      <c r="K44" s="243"/>
      <c r="R44" s="233" t="s">
        <v>57</v>
      </c>
      <c r="U44" s="53" t="s">
        <v>55</v>
      </c>
      <c r="V44" s="54" t="s">
        <v>56</v>
      </c>
    </row>
    <row r="45" spans="1:25" ht="15.75" thickBot="1">
      <c r="A45" s="239"/>
      <c r="B45" s="234"/>
      <c r="C45" s="234"/>
      <c r="D45" s="234"/>
      <c r="E45" s="234"/>
      <c r="F45" s="234"/>
      <c r="G45" s="229"/>
      <c r="H45" s="229"/>
      <c r="I45" s="243"/>
      <c r="J45" s="243"/>
      <c r="K45" s="243"/>
      <c r="R45" s="234"/>
      <c r="U45" s="55">
        <v>1</v>
      </c>
      <c r="V45" s="56">
        <v>0</v>
      </c>
      <c r="Y45" s="57" t="e">
        <f>IRR(Y47:Y77)</f>
        <v>#NUM!</v>
      </c>
    </row>
    <row r="46" spans="1:25" ht="15.75" thickBot="1">
      <c r="A46" s="240"/>
      <c r="B46" s="235"/>
      <c r="C46" s="235"/>
      <c r="D46" s="235"/>
      <c r="E46" s="235"/>
      <c r="F46" s="235"/>
      <c r="G46" s="237"/>
      <c r="H46" s="69"/>
      <c r="I46" s="72"/>
      <c r="J46" s="72"/>
      <c r="K46" s="72"/>
      <c r="R46" s="235"/>
      <c r="U46" s="55">
        <v>2</v>
      </c>
      <c r="V46" s="58">
        <v>0.65010000000000001</v>
      </c>
    </row>
    <row r="47" spans="1:25" ht="15.75" thickBot="1">
      <c r="A47" s="30">
        <v>1</v>
      </c>
      <c r="B47" s="5">
        <f>IF(A47&gt;$C$24,"-",SS!$C$10)</f>
        <v>50000</v>
      </c>
      <c r="C47" s="30">
        <f>SUM($B$47:B47)</f>
        <v>50000</v>
      </c>
      <c r="D47" s="30">
        <f>IF(SS!$C$10&gt;=30000,$W$3,$V$3)*C47</f>
        <v>3000</v>
      </c>
      <c r="E47" s="59">
        <f ca="1">MAX(10*SS!$C$10,$D$24,1.05*C47)+R47</f>
        <v>672500</v>
      </c>
      <c r="F47" s="5" t="str">
        <f>IF(A47=$B$24,$D$24+R47,"-")</f>
        <v>-</v>
      </c>
      <c r="G47" s="70" t="e">
        <f>VLOOKUP(A47,$U$27:$V$41,2,0)*C47+VLOOKUP($B$24-A47+1,$U$9:$V$23,2,0)*R47</f>
        <v>#N/A</v>
      </c>
      <c r="H47" s="74"/>
      <c r="I47" s="73"/>
      <c r="J47" s="73"/>
      <c r="K47" s="73"/>
      <c r="R47" s="60">
        <f>SUM($D$47:D47)</f>
        <v>3000</v>
      </c>
      <c r="U47" s="55">
        <v>3</v>
      </c>
      <c r="V47" s="58">
        <v>0.68120000000000003</v>
      </c>
      <c r="Y47" s="61">
        <v>-15000</v>
      </c>
    </row>
    <row r="48" spans="1:25" ht="15.75" thickBot="1">
      <c r="A48" s="30">
        <v>2</v>
      </c>
      <c r="B48" s="5">
        <f>IF(A48&gt;$C$24,"-",SS!$C$10)</f>
        <v>50000</v>
      </c>
      <c r="C48" s="30">
        <f>SUM($B$47:B48)</f>
        <v>100000</v>
      </c>
      <c r="D48" s="30">
        <f>IF(SS!$C$10&gt;=30000,$W$3,$V$3)*C48</f>
        <v>6000</v>
      </c>
      <c r="E48" s="59">
        <f ca="1">MAX(10*SS!$C$10,$D$24,1.05*C48)+R48</f>
        <v>678500</v>
      </c>
      <c r="F48" s="5" t="str">
        <f>IF(A48=$B$24,$D$24+R48,"-")</f>
        <v>-</v>
      </c>
      <c r="G48" s="70" t="e">
        <f>VLOOKUP(A48,$U$27:$V$41,2,0)*C48+VLOOKUP($B$24-A48+1,$U$9:$V$23,2,0)*R48</f>
        <v>#N/A</v>
      </c>
      <c r="H48" s="74"/>
      <c r="I48" s="73"/>
      <c r="J48" s="73"/>
      <c r="K48" s="73"/>
      <c r="R48" s="60">
        <f>SUM($D$47:D48)</f>
        <v>9000</v>
      </c>
      <c r="U48" s="55">
        <v>4</v>
      </c>
      <c r="V48" s="58">
        <v>0.70230000000000004</v>
      </c>
      <c r="Y48" s="61">
        <v>-15000</v>
      </c>
    </row>
    <row r="49" spans="1:25" ht="15.75" thickBot="1">
      <c r="A49" s="30">
        <v>3</v>
      </c>
      <c r="B49" s="5">
        <f>IF(A49&gt;$C$24,"-",SS!$C$10)</f>
        <v>50000</v>
      </c>
      <c r="C49" s="30">
        <f>SUM($B$47:B49)</f>
        <v>150000</v>
      </c>
      <c r="D49" s="30">
        <f>IF(SS!$C$10&gt;=30000,$W$3,$V$3)*C49</f>
        <v>9000</v>
      </c>
      <c r="E49" s="59">
        <f ca="1">MAX(10*SS!$C$10,$D$24,1.05*C49)+R49</f>
        <v>687500</v>
      </c>
      <c r="F49" s="5" t="str">
        <f>IF(A49=$B$24,$D$24+R49,"-")</f>
        <v>-</v>
      </c>
      <c r="G49" s="70" t="e">
        <f t="shared" ref="G49:G61" si="0">VLOOKUP(A49,$U$27:$V$41,2,0)*C49+VLOOKUP($B$24-A49+1,$U$9:$V$23,2,0)*R49</f>
        <v>#N/A</v>
      </c>
      <c r="H49" s="74"/>
      <c r="I49" s="73"/>
      <c r="J49" s="73"/>
      <c r="K49" s="73"/>
      <c r="R49" s="60">
        <f>SUM($D$47:D49)</f>
        <v>18000</v>
      </c>
      <c r="U49" s="55">
        <v>5</v>
      </c>
      <c r="V49" s="58">
        <v>0.72</v>
      </c>
      <c r="Y49" s="61">
        <v>-15000</v>
      </c>
    </row>
    <row r="50" spans="1:25" ht="15.75" thickBot="1">
      <c r="A50" s="30">
        <v>4</v>
      </c>
      <c r="B50" s="5">
        <f>IF(A50&gt;$C$24,"-",SS!$C$10)</f>
        <v>50000</v>
      </c>
      <c r="C50" s="30">
        <f>SUM($B$47:B50)</f>
        <v>200000</v>
      </c>
      <c r="D50" s="30">
        <f>IF(SS!$C$10&gt;=30000,$W$3,$V$3)*C50</f>
        <v>12000</v>
      </c>
      <c r="E50" s="59">
        <f ca="1">MAX(10*SS!$C$10,$D$24,1.05*C50)+R50</f>
        <v>699500</v>
      </c>
      <c r="F50" s="5" t="str">
        <f t="shared" ref="F50:F61" si="1">IF(A50=$B$24,$D$24+R50,"-")</f>
        <v>-</v>
      </c>
      <c r="G50" s="70" t="e">
        <f t="shared" si="0"/>
        <v>#N/A</v>
      </c>
      <c r="H50" s="74"/>
      <c r="I50" s="73"/>
      <c r="J50" s="73"/>
      <c r="K50" s="73"/>
      <c r="R50" s="60">
        <f>SUM($D$47:D50)</f>
        <v>30000</v>
      </c>
      <c r="U50" s="55">
        <v>6</v>
      </c>
      <c r="V50" s="58">
        <v>0.73750000000000004</v>
      </c>
      <c r="Y50" s="61">
        <v>-15000</v>
      </c>
    </row>
    <row r="51" spans="1:25" ht="15.75" thickBot="1">
      <c r="A51" s="30">
        <v>5</v>
      </c>
      <c r="B51" s="5">
        <f>IF(A51&gt;$C$24,"-",SS!$C$10)</f>
        <v>50000</v>
      </c>
      <c r="C51" s="30">
        <f>SUM($B$47:B51)</f>
        <v>250000</v>
      </c>
      <c r="D51" s="30">
        <f>IF(SS!$C$10&gt;=30000,$W$3,$V$3)*C51</f>
        <v>15000</v>
      </c>
      <c r="E51" s="59">
        <f ca="1">MAX(10*SS!$C$10,$D$24,1.05*C51)+R51</f>
        <v>714500</v>
      </c>
      <c r="F51" s="5" t="str">
        <f t="shared" si="1"/>
        <v>-</v>
      </c>
      <c r="G51" s="70" t="e">
        <f>VLOOKUP(A51,$U$27:$V$41,2,0)*C51+VLOOKUP($B$24-A51+1,$U$9:$V$23,2,0)*R51</f>
        <v>#N/A</v>
      </c>
      <c r="H51" s="74"/>
      <c r="I51" s="73"/>
      <c r="J51" s="73"/>
      <c r="K51" s="73"/>
      <c r="R51" s="60">
        <f>SUM($D$47:D51)</f>
        <v>45000</v>
      </c>
      <c r="U51" s="55">
        <v>7</v>
      </c>
      <c r="V51" s="58">
        <v>0.75429999999999997</v>
      </c>
      <c r="Y51" s="61">
        <v>-15000</v>
      </c>
    </row>
    <row r="52" spans="1:25" ht="15.75" thickBot="1">
      <c r="A52" s="30">
        <v>6</v>
      </c>
      <c r="B52" s="5">
        <f>IF(A52&gt;$C$24,"-",SS!$C$10)</f>
        <v>50000</v>
      </c>
      <c r="C52" s="30">
        <f>SUM($B$47:B52)</f>
        <v>300000</v>
      </c>
      <c r="D52" s="30">
        <f>IF(SS!$C$10&gt;=30000,$W$3,$V$3)*C52</f>
        <v>18000</v>
      </c>
      <c r="E52" s="59">
        <f ca="1">MAX(10*SS!$C$10,$D$24,1.05*C52)+R52</f>
        <v>732500</v>
      </c>
      <c r="F52" s="5" t="str">
        <f t="shared" si="1"/>
        <v>-</v>
      </c>
      <c r="G52" s="70">
        <f t="shared" si="0"/>
        <v>150000</v>
      </c>
      <c r="H52" s="74"/>
      <c r="I52" s="73"/>
      <c r="J52" s="73"/>
      <c r="K52" s="73"/>
      <c r="R52" s="60">
        <f>SUM($D$47:D52)</f>
        <v>63000</v>
      </c>
      <c r="U52" s="55">
        <v>8</v>
      </c>
      <c r="V52" s="58">
        <v>0.76770000000000005</v>
      </c>
      <c r="Y52" s="61">
        <v>-15000</v>
      </c>
    </row>
    <row r="53" spans="1:25" ht="15.75" thickBot="1">
      <c r="A53" s="30">
        <v>7</v>
      </c>
      <c r="B53" s="5">
        <f>IF(A53&gt;$C$24,"-",SS!$C$10)</f>
        <v>50000</v>
      </c>
      <c r="C53" s="30">
        <f>SUM($B$47:B53)</f>
        <v>350000</v>
      </c>
      <c r="D53" s="30">
        <f>IF(SS!$C$10&gt;=30000,$W$3,$V$3)*C53</f>
        <v>21000</v>
      </c>
      <c r="E53" s="59">
        <f ca="1">MAX(10*SS!$C$10,$D$24,1.05*C53)+R53</f>
        <v>753500</v>
      </c>
      <c r="F53" s="5" t="str">
        <f t="shared" si="1"/>
        <v>-</v>
      </c>
      <c r="G53" s="70">
        <f t="shared" si="0"/>
        <v>192732.4</v>
      </c>
      <c r="H53" s="74"/>
      <c r="I53" s="73"/>
      <c r="J53" s="73"/>
      <c r="K53" s="73"/>
      <c r="R53" s="60">
        <f>SUM($D$47:D53)</f>
        <v>84000</v>
      </c>
      <c r="U53" s="55">
        <v>9</v>
      </c>
      <c r="V53" s="58">
        <v>0.78339999999999999</v>
      </c>
      <c r="Y53" s="61">
        <v>-15000</v>
      </c>
    </row>
    <row r="54" spans="1:25" ht="15.75" thickBot="1">
      <c r="A54" s="30">
        <v>8</v>
      </c>
      <c r="B54" s="5">
        <f>IF(A54&gt;$C$24,"-",SS!$C$10)</f>
        <v>50000</v>
      </c>
      <c r="C54" s="30">
        <f>SUM($B$47:B54)</f>
        <v>400000</v>
      </c>
      <c r="D54" s="30">
        <f>IF(SS!$C$10&gt;=30000,$W$3,$V$3)*C54</f>
        <v>24000</v>
      </c>
      <c r="E54" s="59">
        <f ca="1">MAX(10*SS!$C$10,$D$24,1.05*C54)+R54</f>
        <v>777500</v>
      </c>
      <c r="F54" s="5" t="str">
        <f t="shared" si="1"/>
        <v>-</v>
      </c>
      <c r="G54" s="70">
        <f t="shared" si="0"/>
        <v>245380.00000000003</v>
      </c>
      <c r="H54" s="74"/>
      <c r="I54" s="73"/>
      <c r="J54" s="73"/>
      <c r="K54" s="73"/>
      <c r="R54" s="60">
        <f>SUM($D$47:D54)</f>
        <v>108000</v>
      </c>
      <c r="U54" s="55">
        <v>10</v>
      </c>
      <c r="V54" s="58">
        <v>0.80100000000000005</v>
      </c>
    </row>
    <row r="55" spans="1:25" ht="15.75" thickBot="1">
      <c r="A55" s="30">
        <v>9</v>
      </c>
      <c r="B55" s="5">
        <f>IF(A55&gt;$C$24,"-",SS!$C$10)</f>
        <v>50000</v>
      </c>
      <c r="C55" s="30">
        <f>SUM($B$47:B55)</f>
        <v>450000</v>
      </c>
      <c r="D55" s="30">
        <f>IF(SS!$C$10&gt;=30000,$W$3,$V$3)*C55</f>
        <v>27000</v>
      </c>
      <c r="E55" s="59">
        <f ca="1">MAX(10*SS!$C$10,$D$24,1.05*C55)+R55</f>
        <v>804500</v>
      </c>
      <c r="F55" s="5" t="str">
        <f t="shared" si="1"/>
        <v>-</v>
      </c>
      <c r="G55" s="70">
        <f t="shared" si="0"/>
        <v>282843</v>
      </c>
      <c r="H55" s="74"/>
      <c r="I55" s="73"/>
      <c r="J55" s="73"/>
      <c r="K55" s="73"/>
      <c r="R55" s="60">
        <f>SUM($D$47:D55)</f>
        <v>135000</v>
      </c>
      <c r="U55" s="55">
        <v>11</v>
      </c>
      <c r="V55" s="58">
        <v>0.82069999999999999</v>
      </c>
    </row>
    <row r="56" spans="1:25" ht="15.75" thickBot="1">
      <c r="A56" s="30">
        <v>10</v>
      </c>
      <c r="B56" s="5">
        <f>IF(A56&gt;$C$24,"-",SS!$C$10)</f>
        <v>50000</v>
      </c>
      <c r="C56" s="30">
        <f>SUM($B$47:B56)</f>
        <v>500000</v>
      </c>
      <c r="D56" s="30">
        <f>IF(SS!$C$10&gt;=30000,$W$3,$V$3)*C56</f>
        <v>30000</v>
      </c>
      <c r="E56" s="59">
        <f ca="1">MAX(10*SS!$C$10,$D$24,1.05*C56)+R56</f>
        <v>834500</v>
      </c>
      <c r="F56" s="5" t="str">
        <f t="shared" si="1"/>
        <v>-</v>
      </c>
      <c r="G56" s="70">
        <f t="shared" si="0"/>
        <v>323163.5</v>
      </c>
      <c r="H56" s="74"/>
      <c r="I56" s="73"/>
      <c r="J56" s="73"/>
      <c r="K56" s="73"/>
      <c r="R56" s="60">
        <f>SUM($D$47:D56)</f>
        <v>165000</v>
      </c>
      <c r="U56" s="55">
        <v>12</v>
      </c>
      <c r="V56" s="58">
        <v>0.84230000000000005</v>
      </c>
    </row>
    <row r="57" spans="1:25" ht="15.75" thickBot="1">
      <c r="A57" s="30">
        <v>11</v>
      </c>
      <c r="B57" s="5" t="str">
        <f>IF(A57&gt;$C$24,"-",SS!$C$10)</f>
        <v>-</v>
      </c>
      <c r="C57" s="30">
        <f>SUM($B$47:B57)</f>
        <v>500000</v>
      </c>
      <c r="D57" s="30">
        <f>IF(SS!$C$10&gt;=30000,$W$3,$V$3)*C57</f>
        <v>30000</v>
      </c>
      <c r="E57" s="59">
        <f ca="1">MAX(10*SS!$C$10,$D$24,1.05*C57)+R57</f>
        <v>864500</v>
      </c>
      <c r="F57" s="5" t="str">
        <f t="shared" si="1"/>
        <v>-</v>
      </c>
      <c r="G57" s="70">
        <f t="shared" si="0"/>
        <v>363531</v>
      </c>
      <c r="H57" s="74"/>
      <c r="I57" s="73"/>
      <c r="J57" s="73"/>
      <c r="K57" s="73"/>
      <c r="R57" s="60">
        <f>SUM($D$47:D57)</f>
        <v>195000</v>
      </c>
      <c r="U57" s="55">
        <v>13</v>
      </c>
      <c r="V57" s="58">
        <v>0.86609999999999998</v>
      </c>
    </row>
    <row r="58" spans="1:25" ht="15.75" thickBot="1">
      <c r="A58" s="30">
        <v>12</v>
      </c>
      <c r="B58" s="5" t="str">
        <f>IF(A58&gt;$C$24,"-",SS!$C$10)</f>
        <v>-</v>
      </c>
      <c r="C58" s="30">
        <f>SUM($B$47:B58)</f>
        <v>500000</v>
      </c>
      <c r="D58" s="30">
        <f>IF(SS!$C$10&gt;=30000,$W$3,$V$3)*C58</f>
        <v>30000</v>
      </c>
      <c r="E58" s="59">
        <f ca="1">MAX(10*SS!$C$10,$D$24,1.05*C58)+R58</f>
        <v>894500</v>
      </c>
      <c r="F58" s="5" t="str">
        <f t="shared" si="1"/>
        <v>-</v>
      </c>
      <c r="G58" s="70">
        <f t="shared" si="0"/>
        <v>381855</v>
      </c>
      <c r="H58" s="74"/>
      <c r="I58" s="73"/>
      <c r="J58" s="73"/>
      <c r="K58" s="73"/>
      <c r="R58" s="60">
        <f>SUM($D$47:D58)</f>
        <v>225000</v>
      </c>
      <c r="U58" s="55">
        <v>14</v>
      </c>
      <c r="V58" s="58">
        <v>0.8921</v>
      </c>
    </row>
    <row r="59" spans="1:25" ht="15.75" thickBot="1">
      <c r="A59" s="30">
        <v>13</v>
      </c>
      <c r="B59" s="5" t="str">
        <f>IF(A59&gt;$C$24,"-",SS!$C$10)</f>
        <v>-</v>
      </c>
      <c r="C59" s="30">
        <f>SUM($B$47:B59)</f>
        <v>500000</v>
      </c>
      <c r="D59" s="30">
        <f>IF(SS!$C$10&gt;=30000,$W$3,$V$3)*C59</f>
        <v>30000</v>
      </c>
      <c r="E59" s="59">
        <f ca="1">MAX(10*SS!$C$10,$D$24,1.05*C59)+R59</f>
        <v>924500</v>
      </c>
      <c r="F59" s="5" t="str">
        <f t="shared" si="1"/>
        <v>-</v>
      </c>
      <c r="G59" s="70">
        <f t="shared" si="0"/>
        <v>403657.5</v>
      </c>
      <c r="H59" s="74"/>
      <c r="I59" s="73"/>
      <c r="J59" s="73"/>
      <c r="K59" s="73"/>
      <c r="R59" s="60">
        <f>SUM($D$47:D59)</f>
        <v>255000</v>
      </c>
      <c r="U59" s="55">
        <v>15</v>
      </c>
      <c r="V59" s="58">
        <v>0.92049999999999998</v>
      </c>
    </row>
    <row r="60" spans="1:25">
      <c r="A60" s="30">
        <v>14</v>
      </c>
      <c r="B60" s="5" t="str">
        <f>IF(A60&gt;$C$24,"-",SS!$C$10)</f>
        <v>-</v>
      </c>
      <c r="C60" s="30">
        <f>SUM($B$47:B60)</f>
        <v>500000</v>
      </c>
      <c r="D60" s="30">
        <f>IF(SS!$C$10&gt;=30000,$W$3,$V$3)*C60</f>
        <v>30000</v>
      </c>
      <c r="E60" s="59">
        <f ca="1">MAX(10*SS!$C$10,$D$24,1.05*C60)+R60</f>
        <v>954500</v>
      </c>
      <c r="F60" s="5" t="str">
        <f t="shared" si="1"/>
        <v>-</v>
      </c>
      <c r="G60" s="70">
        <f t="shared" si="0"/>
        <v>429504</v>
      </c>
      <c r="H60" s="74"/>
      <c r="I60" s="73"/>
      <c r="J60" s="73"/>
      <c r="K60" s="73"/>
      <c r="R60" s="60">
        <f>SUM($D$47:D60)</f>
        <v>285000</v>
      </c>
    </row>
    <row r="61" spans="1:25">
      <c r="A61" s="30">
        <v>15</v>
      </c>
      <c r="B61" s="5" t="str">
        <f>IF(A61&gt;$C$24,"-",SS!$C$10)</f>
        <v>-</v>
      </c>
      <c r="C61" s="30">
        <f>SUM($B$47:B61)</f>
        <v>500000</v>
      </c>
      <c r="D61" s="30">
        <f>IF(SS!$C$10&gt;=30000,$W$3,$V$3)*C61</f>
        <v>30000</v>
      </c>
      <c r="E61" s="59">
        <f ca="1">MAX(10*SS!$C$10,$D$24,1.05*C61)+R61</f>
        <v>984500</v>
      </c>
      <c r="F61" s="5" t="str">
        <f t="shared" si="1"/>
        <v>-</v>
      </c>
      <c r="G61" s="70">
        <f t="shared" si="0"/>
        <v>460083</v>
      </c>
      <c r="H61" s="74"/>
      <c r="I61" s="73"/>
      <c r="J61" s="73"/>
      <c r="K61" s="73"/>
      <c r="R61" s="60">
        <f>SUM($D$47:D61)</f>
        <v>315000</v>
      </c>
    </row>
    <row r="62" spans="1:25" ht="15" hidden="1" customHeight="1">
      <c r="I62" s="71" t="e">
        <f t="shared" ref="I62:I76" ca="1" si="2">((MIN(A62,$C$24)/$C$24)*$D$24+R62)*VLOOKUP(A62,$U$45:$V$59,2,0)</f>
        <v>#N/A</v>
      </c>
      <c r="R62" s="60">
        <f>SUM($D$47:D62)</f>
        <v>315000</v>
      </c>
    </row>
    <row r="63" spans="1:25" ht="15" hidden="1" customHeight="1">
      <c r="I63" s="30" t="e">
        <f t="shared" ca="1" si="2"/>
        <v>#N/A</v>
      </c>
      <c r="R63" s="60">
        <f>SUM($D$47:D63)</f>
        <v>315000</v>
      </c>
    </row>
    <row r="64" spans="1:25" ht="15" hidden="1" customHeight="1">
      <c r="I64" s="30" t="e">
        <f t="shared" ca="1" si="2"/>
        <v>#N/A</v>
      </c>
      <c r="R64" s="60">
        <f>SUM($D$47:D64)</f>
        <v>315000</v>
      </c>
    </row>
    <row r="65" spans="1:25" ht="15" hidden="1" customHeight="1">
      <c r="I65" s="30" t="e">
        <f t="shared" ca="1" si="2"/>
        <v>#N/A</v>
      </c>
      <c r="R65" s="60">
        <f>SUM($D$47:D65)</f>
        <v>315000</v>
      </c>
    </row>
    <row r="66" spans="1:25" ht="15" hidden="1" customHeight="1">
      <c r="I66" s="30" t="e">
        <f t="shared" ca="1" si="2"/>
        <v>#N/A</v>
      </c>
      <c r="R66" s="60">
        <f>SUM($D$47:D66)</f>
        <v>315000</v>
      </c>
    </row>
    <row r="67" spans="1:25" ht="15" hidden="1" customHeight="1">
      <c r="I67" s="30" t="e">
        <f t="shared" ca="1" si="2"/>
        <v>#N/A</v>
      </c>
      <c r="R67" s="60">
        <f>SUM($D$47:D67)</f>
        <v>315000</v>
      </c>
    </row>
    <row r="68" spans="1:25" ht="15" hidden="1" customHeight="1">
      <c r="I68" s="30" t="e">
        <f t="shared" ca="1" si="2"/>
        <v>#N/A</v>
      </c>
      <c r="R68" s="60">
        <f>SUM($D$47:D68)</f>
        <v>315000</v>
      </c>
    </row>
    <row r="69" spans="1:25" ht="15" hidden="1" customHeight="1">
      <c r="I69" s="30" t="e">
        <f t="shared" ca="1" si="2"/>
        <v>#N/A</v>
      </c>
      <c r="R69" s="60">
        <f>SUM($D$47:D69)</f>
        <v>315000</v>
      </c>
    </row>
    <row r="70" spans="1:25" ht="15" hidden="1" customHeight="1">
      <c r="I70" s="30" t="e">
        <f t="shared" ca="1" si="2"/>
        <v>#N/A</v>
      </c>
      <c r="R70" s="60">
        <f>SUM($D$47:D70)</f>
        <v>315000</v>
      </c>
    </row>
    <row r="71" spans="1:25" ht="15" hidden="1" customHeight="1">
      <c r="I71" s="30" t="e">
        <f t="shared" ca="1" si="2"/>
        <v>#N/A</v>
      </c>
      <c r="R71" s="60">
        <f>SUM($D$47:D71)</f>
        <v>315000</v>
      </c>
    </row>
    <row r="72" spans="1:25" ht="15" hidden="1" customHeight="1">
      <c r="I72" s="30" t="e">
        <f t="shared" ca="1" si="2"/>
        <v>#N/A</v>
      </c>
      <c r="R72" s="60">
        <f>SUM($D$47:D72)</f>
        <v>315000</v>
      </c>
    </row>
    <row r="73" spans="1:25" ht="15" hidden="1" customHeight="1">
      <c r="I73" s="30" t="e">
        <f t="shared" ca="1" si="2"/>
        <v>#N/A</v>
      </c>
      <c r="R73" s="60">
        <f>SUM($D$47:D73)</f>
        <v>315000</v>
      </c>
    </row>
    <row r="74" spans="1:25" ht="15" hidden="1" customHeight="1">
      <c r="I74" s="30" t="e">
        <f t="shared" ca="1" si="2"/>
        <v>#N/A</v>
      </c>
      <c r="R74" s="60">
        <f>SUM($D$47:D74)</f>
        <v>315000</v>
      </c>
    </row>
    <row r="75" spans="1:25" ht="15" hidden="1" customHeight="1">
      <c r="I75" s="30" t="e">
        <f t="shared" ca="1" si="2"/>
        <v>#N/A</v>
      </c>
      <c r="R75" s="60">
        <f>SUM($D$47:D75)</f>
        <v>315000</v>
      </c>
    </row>
    <row r="76" spans="1:25" ht="15" hidden="1" customHeight="1">
      <c r="I76" s="30" t="e">
        <f t="shared" ca="1" si="2"/>
        <v>#N/A</v>
      </c>
      <c r="R76" s="60">
        <f>SUM($D$47:D76)</f>
        <v>315000</v>
      </c>
    </row>
    <row r="77" spans="1:25">
      <c r="Y77" s="12" t="str">
        <f>$F$61</f>
        <v>-</v>
      </c>
    </row>
    <row r="78" spans="1:25">
      <c r="A78" s="49" t="s">
        <v>40</v>
      </c>
    </row>
    <row r="79" spans="1:25">
      <c r="A79" s="62" t="s">
        <v>41</v>
      </c>
    </row>
    <row r="81" spans="1:11">
      <c r="A81" s="49" t="s">
        <v>42</v>
      </c>
    </row>
    <row r="82" spans="1:11">
      <c r="A82" s="12" t="s">
        <v>71</v>
      </c>
    </row>
    <row r="84" spans="1:11">
      <c r="A84" s="75" t="s">
        <v>59</v>
      </c>
    </row>
    <row r="85" spans="1:11">
      <c r="A85" s="76" t="s">
        <v>60</v>
      </c>
    </row>
    <row r="87" spans="1:11">
      <c r="A87" s="49" t="s">
        <v>43</v>
      </c>
    </row>
    <row r="88" spans="1:11" ht="15" customHeight="1">
      <c r="A88" s="232" t="s">
        <v>44</v>
      </c>
      <c r="B88" s="232"/>
      <c r="C88" s="232"/>
      <c r="D88" s="232"/>
      <c r="E88" s="232"/>
      <c r="F88" s="232"/>
      <c r="G88" s="232"/>
      <c r="H88" s="232"/>
      <c r="I88" s="232"/>
      <c r="J88" s="232"/>
      <c r="K88" s="232"/>
    </row>
    <row r="89" spans="1:11">
      <c r="A89" s="232"/>
      <c r="B89" s="232"/>
      <c r="C89" s="232"/>
      <c r="D89" s="232"/>
      <c r="E89" s="232"/>
      <c r="F89" s="232"/>
      <c r="G89" s="232"/>
      <c r="H89" s="232"/>
      <c r="I89" s="232"/>
      <c r="J89" s="232"/>
      <c r="K89" s="232"/>
    </row>
    <row r="90" spans="1:11">
      <c r="A90" s="82"/>
      <c r="B90" s="82"/>
      <c r="C90" s="82"/>
      <c r="D90" s="82"/>
      <c r="E90" s="82"/>
      <c r="F90" s="82"/>
      <c r="G90" s="82"/>
      <c r="H90" s="82"/>
      <c r="I90" s="82"/>
      <c r="J90" s="82"/>
      <c r="K90" s="82"/>
    </row>
    <row r="91" spans="1:11">
      <c r="A91" s="78" t="s">
        <v>62</v>
      </c>
      <c r="B91" s="79"/>
      <c r="C91" s="79"/>
      <c r="D91" s="79"/>
      <c r="E91" s="79"/>
      <c r="F91" s="79"/>
      <c r="G91" s="79"/>
      <c r="H91" s="79"/>
      <c r="I91" s="79"/>
      <c r="J91" s="79"/>
      <c r="K91" s="82"/>
    </row>
    <row r="92" spans="1:11">
      <c r="A92" s="78" t="s">
        <v>63</v>
      </c>
      <c r="B92" s="79"/>
      <c r="C92" s="79"/>
      <c r="D92" s="79"/>
      <c r="E92" s="79"/>
      <c r="F92" s="79"/>
      <c r="G92" s="79"/>
      <c r="H92" s="79"/>
      <c r="I92" s="79"/>
      <c r="J92" s="79"/>
      <c r="K92" s="82"/>
    </row>
    <row r="93" spans="1:11">
      <c r="A93" s="78" t="str">
        <f>IF($E$24&gt;=100000,"You have to submit Proof of source of Fund","")</f>
        <v/>
      </c>
      <c r="B93" s="79"/>
      <c r="C93" s="79"/>
      <c r="D93" s="79"/>
      <c r="E93" s="79"/>
      <c r="F93" s="79"/>
      <c r="G93" s="79"/>
      <c r="H93" s="79"/>
      <c r="I93" s="79"/>
      <c r="J93" s="79"/>
      <c r="K93" s="82"/>
    </row>
    <row r="94" spans="1:11">
      <c r="A94" s="79"/>
      <c r="B94" s="79"/>
      <c r="C94" s="79"/>
      <c r="D94" s="79"/>
      <c r="E94" s="79"/>
      <c r="F94" s="79"/>
      <c r="G94" s="79"/>
      <c r="H94" s="79"/>
      <c r="I94" s="79"/>
      <c r="J94" s="79"/>
      <c r="K94" s="82"/>
    </row>
    <row r="95" spans="1:11">
      <c r="A95" s="78" t="str">
        <f ca="1">IF(SS!$C$12="Single","Your SBI Life- Smart Samriddhi (UIN - 111N097V02) is a Single premium policy and you are required to pay One Time Premium of Rs." &amp; $E$24,"Your SBI Life- Smart Samriddhi (UIN - 111N097V02) is a Limited premium policy, for which your first year" &amp;" " &amp; IF(OR(SS!$C$12="Monthly SSS",SS!$C$12="Monthly ECS",SS!$C$12="Monthly SI/CC"),"Monthly",SS!$C$12) &amp; " premium is Rs. " &amp; $E$29) &amp; IF(SS!$C$12&lt;&gt;"Single",". Your Policy Term is " &amp; $B$24 &amp; " years, Premium Payment Term is  " &amp; $C$24 &amp; " years and Basic Sum Assured is Rs. " &amp; $D$24,". Your Policy Term is " &amp; $B$24 &amp; " years and Basic Sum Assured is Rs. " &amp; $D$24)</f>
        <v>Your SBI Life- Smart Samriddhi (UIN - 111N097V02) is a Limited premium policy, for which your first year Yearly premium is Rs. 52250. Your Policy Term is 20 years, Premium Payment Term is  10 years and Basic Sum Assured is Rs. 669500</v>
      </c>
      <c r="B95" s="79"/>
      <c r="C95" s="79"/>
      <c r="D95" s="79"/>
      <c r="E95" s="79"/>
      <c r="F95" s="79"/>
      <c r="G95" s="79"/>
      <c r="H95" s="79"/>
      <c r="I95" s="79"/>
      <c r="J95" s="79"/>
      <c r="K95" s="82"/>
    </row>
    <row r="97" spans="1:11">
      <c r="A97" s="226" t="s">
        <v>64</v>
      </c>
      <c r="B97" s="227"/>
      <c r="C97" s="227"/>
      <c r="D97" s="227"/>
      <c r="E97" s="227"/>
      <c r="F97" s="227"/>
      <c r="G97" s="227"/>
      <c r="H97" s="227"/>
      <c r="I97" s="227"/>
      <c r="J97" s="227"/>
      <c r="K97" s="228"/>
    </row>
    <row r="98" spans="1:11">
      <c r="A98" s="63"/>
      <c r="B98" s="17"/>
      <c r="C98" s="17"/>
      <c r="D98" s="216" t="s">
        <v>45</v>
      </c>
      <c r="E98" s="218"/>
      <c r="F98" s="218"/>
      <c r="G98" s="64"/>
      <c r="H98" s="220" t="s">
        <v>46</v>
      </c>
      <c r="I98" s="218"/>
      <c r="J98" s="222"/>
      <c r="K98" s="223"/>
    </row>
    <row r="99" spans="1:11">
      <c r="A99" s="63"/>
      <c r="B99" s="14" t="s">
        <v>47</v>
      </c>
      <c r="C99" s="14" t="s">
        <v>48</v>
      </c>
      <c r="D99" s="216"/>
      <c r="E99" s="218"/>
      <c r="F99" s="218"/>
      <c r="G99" s="17" t="s">
        <v>48</v>
      </c>
      <c r="H99" s="220"/>
      <c r="I99" s="218"/>
      <c r="J99" s="222"/>
      <c r="K99" s="223"/>
    </row>
    <row r="100" spans="1:11" ht="15.75" thickBot="1">
      <c r="A100" s="65"/>
      <c r="B100" s="66"/>
      <c r="C100" s="66"/>
      <c r="D100" s="217"/>
      <c r="E100" s="219"/>
      <c r="F100" s="219"/>
      <c r="G100" s="67"/>
      <c r="H100" s="221"/>
      <c r="I100" s="219"/>
      <c r="J100" s="224"/>
      <c r="K100" s="225"/>
    </row>
  </sheetData>
  <mergeCells count="22">
    <mergeCell ref="U2:U3"/>
    <mergeCell ref="R44:R46"/>
    <mergeCell ref="I44:I45"/>
    <mergeCell ref="J44:J45"/>
    <mergeCell ref="K44:K45"/>
    <mergeCell ref="H44:H45"/>
    <mergeCell ref="A8:K9"/>
    <mergeCell ref="A11:K12"/>
    <mergeCell ref="A14:K15"/>
    <mergeCell ref="A88:K89"/>
    <mergeCell ref="E44:E46"/>
    <mergeCell ref="F44:F46"/>
    <mergeCell ref="G44:G46"/>
    <mergeCell ref="B44:B46"/>
    <mergeCell ref="A44:A46"/>
    <mergeCell ref="C44:C46"/>
    <mergeCell ref="D44:D46"/>
    <mergeCell ref="D98:D100"/>
    <mergeCell ref="E98:F100"/>
    <mergeCell ref="H98:H100"/>
    <mergeCell ref="I98:K100"/>
    <mergeCell ref="A97:K97"/>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J78"/>
  <sheetViews>
    <sheetView topLeftCell="K19" zoomScale="84" zoomScaleNormal="84" workbookViewId="0">
      <selection activeCell="AD29" sqref="AD29"/>
    </sheetView>
  </sheetViews>
  <sheetFormatPr defaultRowHeight="15"/>
  <cols>
    <col min="1" max="3" width="9.140625" style="12"/>
    <col min="4" max="4" width="18.5703125" style="12" customWidth="1"/>
    <col min="5" max="8" width="9.140625" style="12"/>
    <col min="9" max="9" width="15.5703125" style="12" customWidth="1"/>
    <col min="10" max="17" width="9.140625" style="12"/>
    <col min="18" max="18" width="8.28515625" style="12" customWidth="1"/>
    <col min="19" max="27" width="9.85546875" style="12" customWidth="1"/>
    <col min="28" max="28" width="9.140625" style="12" customWidth="1"/>
    <col min="29" max="29" width="12.28515625" style="12" customWidth="1"/>
    <col min="30" max="30" width="9.140625" style="12" customWidth="1"/>
    <col min="31" max="31" width="14.42578125" style="12" customWidth="1"/>
    <col min="32" max="32" width="16.140625" style="12" customWidth="1"/>
    <col min="33" max="33" width="18" style="12" customWidth="1"/>
    <col min="34" max="46" width="9.140625" style="12" customWidth="1"/>
    <col min="47" max="16384" width="9.140625" style="12"/>
  </cols>
  <sheetData>
    <row r="1" spans="1:31" ht="15.75" thickBot="1">
      <c r="A1" s="262" t="s">
        <v>12</v>
      </c>
      <c r="B1" s="263"/>
      <c r="C1" s="263"/>
      <c r="D1" s="263"/>
      <c r="E1" s="263"/>
      <c r="F1" s="263"/>
      <c r="G1" s="263"/>
      <c r="H1" s="263"/>
      <c r="I1" s="263"/>
      <c r="J1" s="263"/>
      <c r="K1" s="263"/>
      <c r="L1" s="263"/>
      <c r="M1" s="263"/>
      <c r="N1" s="263"/>
      <c r="O1" s="263"/>
      <c r="P1" s="263"/>
      <c r="Q1" s="263"/>
      <c r="R1" s="263"/>
      <c r="S1" s="264"/>
      <c r="T1" s="149"/>
      <c r="U1" s="149"/>
      <c r="V1" s="149"/>
      <c r="W1" s="149"/>
      <c r="X1" s="149"/>
      <c r="Y1" s="149"/>
      <c r="Z1" s="149"/>
      <c r="AA1" s="149"/>
    </row>
    <row r="2" spans="1:31" ht="51.75" thickBot="1">
      <c r="A2" s="265" t="s">
        <v>114</v>
      </c>
      <c r="B2" s="266"/>
      <c r="C2" s="266"/>
      <c r="D2" s="266"/>
      <c r="E2" s="266"/>
      <c r="F2" s="266"/>
      <c r="G2" s="266"/>
      <c r="H2" s="266"/>
      <c r="I2" s="266"/>
      <c r="J2" s="266"/>
      <c r="K2" s="266"/>
      <c r="L2" s="266"/>
      <c r="M2" s="266"/>
      <c r="N2" s="266"/>
      <c r="O2" s="266"/>
      <c r="P2" s="266"/>
      <c r="Q2" s="266"/>
      <c r="R2" s="266"/>
      <c r="S2" s="267"/>
      <c r="T2" s="149"/>
      <c r="U2" s="149"/>
      <c r="V2" s="149"/>
      <c r="W2" s="149"/>
      <c r="X2" s="149"/>
      <c r="Y2" s="149"/>
      <c r="Z2" s="149"/>
      <c r="AA2" s="149"/>
      <c r="AC2" s="241" t="s">
        <v>36</v>
      </c>
      <c r="AD2" s="15" t="s">
        <v>49</v>
      </c>
      <c r="AE2" s="16" t="s">
        <v>50</v>
      </c>
    </row>
    <row r="3" spans="1:31" ht="15.75" thickBot="1">
      <c r="A3" s="244" t="s">
        <v>115</v>
      </c>
      <c r="B3" s="245"/>
      <c r="C3" s="245"/>
      <c r="D3" s="245"/>
      <c r="E3" s="245"/>
      <c r="F3" s="245"/>
      <c r="G3" s="245"/>
      <c r="H3" s="245"/>
      <c r="I3" s="245"/>
      <c r="J3" s="245"/>
      <c r="K3" s="245"/>
      <c r="L3" s="245"/>
      <c r="M3" s="245"/>
      <c r="N3" s="245"/>
      <c r="O3" s="245"/>
      <c r="P3" s="245"/>
      <c r="Q3" s="245"/>
      <c r="R3" s="245"/>
      <c r="S3" s="246"/>
      <c r="T3" s="99"/>
      <c r="U3" s="99"/>
      <c r="V3" s="99"/>
      <c r="W3" s="99"/>
      <c r="X3" s="99"/>
      <c r="Y3" s="99"/>
      <c r="Z3" s="99"/>
      <c r="AA3" s="99"/>
      <c r="AC3" s="242"/>
      <c r="AD3" s="18">
        <v>5.5E-2</v>
      </c>
      <c r="AE3" s="19">
        <v>0.06</v>
      </c>
    </row>
    <row r="4" spans="1:31">
      <c r="A4" s="244" t="s">
        <v>116</v>
      </c>
      <c r="B4" s="245"/>
      <c r="C4" s="245"/>
      <c r="D4" s="245"/>
      <c r="E4" s="245"/>
      <c r="F4" s="245"/>
      <c r="G4" s="245"/>
      <c r="H4" s="245"/>
      <c r="I4" s="245"/>
      <c r="J4" s="245"/>
      <c r="K4" s="245"/>
      <c r="L4" s="245"/>
      <c r="M4" s="245"/>
      <c r="N4" s="245"/>
      <c r="O4" s="245"/>
      <c r="P4" s="245"/>
      <c r="Q4" s="245"/>
      <c r="R4" s="245"/>
      <c r="S4" s="246"/>
      <c r="T4" s="99"/>
      <c r="U4" s="99"/>
      <c r="V4" s="99"/>
      <c r="W4" s="99"/>
      <c r="X4" s="99"/>
      <c r="Y4" s="99"/>
      <c r="Z4" s="99"/>
      <c r="AA4" s="99"/>
      <c r="AC4" s="83"/>
      <c r="AD4" s="84"/>
      <c r="AE4" s="85"/>
    </row>
    <row r="5" spans="1:31">
      <c r="A5" s="98"/>
      <c r="B5" s="99"/>
      <c r="C5" s="99"/>
      <c r="D5" s="99"/>
      <c r="E5" s="99"/>
      <c r="F5" s="99"/>
      <c r="G5" s="99"/>
      <c r="H5" s="99"/>
      <c r="I5" s="99"/>
      <c r="J5" s="99"/>
      <c r="K5" s="99"/>
      <c r="L5" s="99"/>
      <c r="M5" s="99"/>
      <c r="N5" s="99"/>
      <c r="O5" s="99"/>
      <c r="P5" s="99"/>
      <c r="Q5" s="99"/>
      <c r="R5" s="99"/>
      <c r="S5" s="100"/>
      <c r="T5" s="99"/>
      <c r="U5" s="99"/>
      <c r="V5" s="99"/>
      <c r="W5" s="99"/>
      <c r="X5" s="99"/>
      <c r="Y5" s="99"/>
      <c r="Z5" s="99"/>
      <c r="AA5" s="99"/>
      <c r="AC5" s="83"/>
      <c r="AD5" s="84"/>
      <c r="AE5" s="85"/>
    </row>
    <row r="6" spans="1:31">
      <c r="A6" s="247" t="s">
        <v>189</v>
      </c>
      <c r="B6" s="248"/>
      <c r="C6" s="248"/>
      <c r="D6" s="248"/>
      <c r="E6" s="248"/>
      <c r="F6" s="248"/>
      <c r="G6" s="248"/>
      <c r="H6" s="248"/>
      <c r="I6" s="248"/>
      <c r="J6" s="248"/>
      <c r="K6" s="248"/>
      <c r="L6" s="248"/>
      <c r="M6" s="248"/>
      <c r="N6" s="248"/>
      <c r="O6" s="248"/>
      <c r="P6" s="248"/>
      <c r="Q6" s="248"/>
      <c r="R6" s="248"/>
      <c r="S6" s="249"/>
      <c r="T6" s="150"/>
      <c r="U6" s="150"/>
      <c r="V6" s="150"/>
      <c r="W6" s="150"/>
      <c r="X6" s="150"/>
      <c r="Y6" s="150"/>
      <c r="Z6" s="150"/>
      <c r="AA6" s="150"/>
    </row>
    <row r="7" spans="1:31" ht="15.75" thickBot="1">
      <c r="A7" s="101"/>
      <c r="B7" s="102"/>
      <c r="C7" s="102"/>
      <c r="D7" s="102"/>
      <c r="E7" s="102"/>
      <c r="F7" s="102"/>
      <c r="G7" s="102"/>
      <c r="H7" s="102"/>
      <c r="I7" s="102"/>
      <c r="J7" s="102"/>
      <c r="K7" s="102"/>
      <c r="L7" s="102"/>
      <c r="M7" s="102"/>
      <c r="N7" s="102"/>
      <c r="O7" s="102"/>
      <c r="P7" s="102"/>
      <c r="Q7" s="102"/>
      <c r="R7" s="102"/>
      <c r="S7" s="103"/>
      <c r="T7" s="102"/>
      <c r="U7" s="102"/>
      <c r="V7" s="102"/>
      <c r="W7" s="102"/>
      <c r="X7" s="102"/>
      <c r="Y7" s="102"/>
      <c r="Z7" s="102"/>
      <c r="AA7" s="102"/>
      <c r="AC7" s="23"/>
      <c r="AD7" s="22"/>
      <c r="AE7" s="22"/>
    </row>
    <row r="8" spans="1:31">
      <c r="A8" s="250" t="s">
        <v>117</v>
      </c>
      <c r="B8" s="251"/>
      <c r="C8" s="251"/>
      <c r="D8" s="251"/>
      <c r="E8" s="251"/>
      <c r="F8" s="251"/>
      <c r="G8" s="251"/>
      <c r="H8" s="251"/>
      <c r="I8" s="251"/>
      <c r="J8" s="104" t="s">
        <v>118</v>
      </c>
      <c r="K8" s="105"/>
      <c r="L8" s="105"/>
      <c r="M8" s="105"/>
      <c r="N8" s="105"/>
      <c r="O8" s="105"/>
      <c r="P8" s="105"/>
      <c r="Q8" s="105"/>
      <c r="R8" s="105"/>
      <c r="S8" s="106"/>
      <c r="T8" s="151"/>
      <c r="U8" s="151"/>
      <c r="V8" s="151"/>
      <c r="W8" s="151"/>
      <c r="X8" s="151"/>
      <c r="Y8" s="151"/>
      <c r="Z8" s="151"/>
      <c r="AA8" s="151"/>
      <c r="AC8" s="107"/>
      <c r="AD8" s="108"/>
    </row>
    <row r="9" spans="1:31">
      <c r="A9" s="101"/>
      <c r="B9" s="102"/>
      <c r="C9" s="102"/>
      <c r="D9" s="102"/>
      <c r="E9" s="102"/>
      <c r="F9" s="102"/>
      <c r="G9" s="102"/>
      <c r="H9" s="102"/>
      <c r="I9" s="102"/>
      <c r="J9" s="102"/>
      <c r="K9" s="102"/>
      <c r="L9" s="102"/>
      <c r="M9" s="102"/>
      <c r="N9" s="102"/>
      <c r="O9" s="102"/>
      <c r="P9" s="102"/>
      <c r="Q9" s="102"/>
      <c r="R9" s="102"/>
      <c r="S9" s="103"/>
      <c r="T9" s="102"/>
      <c r="U9" s="102"/>
      <c r="V9" s="102"/>
      <c r="W9" s="102"/>
      <c r="X9" s="102"/>
      <c r="Y9" s="102"/>
      <c r="Z9" s="102"/>
      <c r="AA9" s="102"/>
      <c r="AC9" s="109"/>
      <c r="AD9" s="110"/>
    </row>
    <row r="10" spans="1:31">
      <c r="A10" s="252" t="s">
        <v>15</v>
      </c>
      <c r="B10" s="253"/>
      <c r="C10" s="102"/>
      <c r="D10" s="102"/>
      <c r="E10" s="102"/>
      <c r="F10" s="102"/>
      <c r="G10" s="102"/>
      <c r="H10" s="102"/>
      <c r="I10" s="102"/>
      <c r="J10" s="102"/>
      <c r="K10" s="102"/>
      <c r="L10" s="102"/>
      <c r="M10" s="102"/>
      <c r="N10" s="102"/>
      <c r="O10" s="102"/>
      <c r="P10" s="102"/>
      <c r="Q10" s="102"/>
      <c r="R10" s="102"/>
      <c r="S10" s="103"/>
      <c r="T10" s="102"/>
      <c r="U10" s="102"/>
      <c r="V10" s="102"/>
      <c r="W10" s="102"/>
      <c r="X10" s="102"/>
      <c r="Y10" s="102"/>
      <c r="Z10" s="102"/>
      <c r="AA10" s="102"/>
      <c r="AC10" s="109"/>
      <c r="AD10" s="110"/>
    </row>
    <row r="11" spans="1:31" ht="34.5" customHeight="1">
      <c r="A11" s="254" t="s">
        <v>119</v>
      </c>
      <c r="B11" s="255"/>
      <c r="C11" s="255"/>
      <c r="D11" s="255"/>
      <c r="E11" s="255"/>
      <c r="F11" s="255"/>
      <c r="G11" s="255"/>
      <c r="H11" s="255"/>
      <c r="I11" s="255"/>
      <c r="J11" s="255"/>
      <c r="K11" s="255"/>
      <c r="L11" s="255"/>
      <c r="M11" s="255"/>
      <c r="N11" s="255"/>
      <c r="O11" s="255"/>
      <c r="P11" s="255"/>
      <c r="Q11" s="255"/>
      <c r="R11" s="255"/>
      <c r="S11" s="256"/>
      <c r="T11" s="102"/>
      <c r="U11" s="102"/>
      <c r="V11" s="102"/>
      <c r="W11" s="102"/>
      <c r="X11" s="102"/>
      <c r="Y11" s="102"/>
      <c r="Z11" s="102"/>
      <c r="AA11" s="102"/>
      <c r="AC11" s="109"/>
      <c r="AD11" s="110"/>
    </row>
    <row r="12" spans="1:31">
      <c r="A12" s="111"/>
      <c r="B12" s="112"/>
      <c r="C12" s="112"/>
      <c r="D12" s="112"/>
      <c r="E12" s="112"/>
      <c r="F12" s="112"/>
      <c r="G12" s="112"/>
      <c r="H12" s="112"/>
      <c r="I12" s="112"/>
      <c r="J12" s="112"/>
      <c r="K12" s="112"/>
      <c r="L12" s="112"/>
      <c r="M12" s="112"/>
      <c r="N12" s="112"/>
      <c r="O12" s="112"/>
      <c r="P12" s="112"/>
      <c r="Q12" s="112"/>
      <c r="R12" s="112"/>
      <c r="S12" s="113"/>
      <c r="T12" s="102"/>
      <c r="U12" s="102"/>
      <c r="V12" s="102"/>
      <c r="W12" s="102"/>
      <c r="X12" s="102"/>
      <c r="Y12" s="102"/>
      <c r="Z12" s="102"/>
      <c r="AA12" s="102"/>
      <c r="AC12" s="109"/>
      <c r="AD12" s="110"/>
    </row>
    <row r="13" spans="1:31">
      <c r="A13" s="257" t="s">
        <v>120</v>
      </c>
      <c r="B13" s="258"/>
      <c r="C13" s="258"/>
      <c r="D13" s="258"/>
      <c r="E13" s="258"/>
      <c r="F13" s="258"/>
      <c r="G13" s="258"/>
      <c r="H13" s="258"/>
      <c r="I13" s="258"/>
      <c r="J13" s="258"/>
      <c r="K13" s="258"/>
      <c r="L13" s="258"/>
      <c r="M13" s="258"/>
      <c r="N13" s="258"/>
      <c r="O13" s="258"/>
      <c r="P13" s="258"/>
      <c r="Q13" s="258"/>
      <c r="R13" s="258"/>
      <c r="S13" s="259"/>
      <c r="T13" s="102"/>
      <c r="U13" s="102"/>
      <c r="V13" s="102"/>
      <c r="W13" s="102"/>
      <c r="X13" s="102"/>
      <c r="Y13" s="102"/>
      <c r="Z13" s="102"/>
      <c r="AA13" s="102"/>
      <c r="AC13" s="109"/>
      <c r="AD13" s="110"/>
    </row>
    <row r="14" spans="1:31">
      <c r="A14" s="114"/>
      <c r="B14" s="115"/>
      <c r="C14" s="115"/>
      <c r="D14" s="115"/>
      <c r="E14" s="115"/>
      <c r="F14" s="115"/>
      <c r="G14" s="115"/>
      <c r="H14" s="115"/>
      <c r="I14" s="115"/>
      <c r="J14" s="115"/>
      <c r="K14" s="115"/>
      <c r="L14" s="115"/>
      <c r="M14" s="115"/>
      <c r="N14" s="115"/>
      <c r="O14" s="115"/>
      <c r="P14" s="115"/>
      <c r="Q14" s="115"/>
      <c r="R14" s="115"/>
      <c r="S14" s="116"/>
      <c r="T14" s="102"/>
      <c r="U14" s="102"/>
      <c r="V14" s="102"/>
      <c r="W14" s="102"/>
      <c r="X14" s="102"/>
      <c r="Y14" s="102"/>
      <c r="Z14" s="102"/>
      <c r="AA14" s="102"/>
      <c r="AC14" s="109"/>
      <c r="AD14" s="110"/>
    </row>
    <row r="15" spans="1:31">
      <c r="A15" s="260" t="s">
        <v>121</v>
      </c>
      <c r="B15" s="260"/>
      <c r="C15" s="260"/>
      <c r="D15" s="260"/>
      <c r="E15" s="261" t="str">
        <f ca="1">IF(SS!$C$7&lt;18,SS!C15,SS!C5)</f>
        <v>Biswajit</v>
      </c>
      <c r="F15" s="261"/>
      <c r="G15" s="261"/>
      <c r="H15" s="261"/>
      <c r="I15" s="115"/>
      <c r="J15" s="117"/>
      <c r="K15" s="102"/>
      <c r="L15" s="260" t="s">
        <v>122</v>
      </c>
      <c r="M15" s="260"/>
      <c r="N15" s="260"/>
      <c r="O15" s="260"/>
      <c r="P15" s="261" t="str">
        <f>SS!C5</f>
        <v>Biswajit</v>
      </c>
      <c r="Q15" s="261"/>
      <c r="R15" s="261"/>
      <c r="S15" s="261"/>
      <c r="T15" s="102"/>
      <c r="U15" s="102"/>
      <c r="V15" s="102"/>
      <c r="W15" s="102"/>
      <c r="X15" s="102"/>
      <c r="Y15" s="102"/>
      <c r="Z15" s="102"/>
      <c r="AA15" s="102"/>
      <c r="AC15" s="109"/>
      <c r="AD15" s="110"/>
    </row>
    <row r="16" spans="1:31">
      <c r="A16" s="260" t="s">
        <v>123</v>
      </c>
      <c r="B16" s="260"/>
      <c r="C16" s="260"/>
      <c r="D16" s="260"/>
      <c r="E16" s="261">
        <f ca="1">IF(SS!$C$7&lt;18,SS!C16,SS!C7)</f>
        <v>26</v>
      </c>
      <c r="F16" s="261"/>
      <c r="G16" s="261"/>
      <c r="H16" s="261"/>
      <c r="I16" s="115"/>
      <c r="J16" s="117"/>
      <c r="K16" s="102"/>
      <c r="L16" s="260" t="s">
        <v>123</v>
      </c>
      <c r="M16" s="260"/>
      <c r="N16" s="260"/>
      <c r="O16" s="260"/>
      <c r="P16" s="261">
        <f ca="1">SS!C7</f>
        <v>26</v>
      </c>
      <c r="Q16" s="261"/>
      <c r="R16" s="261"/>
      <c r="S16" s="261"/>
      <c r="T16" s="102"/>
      <c r="U16" s="102"/>
      <c r="V16" s="102"/>
      <c r="W16" s="102"/>
      <c r="X16" s="102"/>
      <c r="Y16" s="102"/>
      <c r="Z16" s="102"/>
      <c r="AA16" s="102"/>
      <c r="AC16" s="109"/>
      <c r="AD16" s="110"/>
    </row>
    <row r="17" spans="1:36" ht="15" customHeight="1">
      <c r="A17" s="260" t="s">
        <v>124</v>
      </c>
      <c r="B17" s="260"/>
      <c r="C17" s="260"/>
      <c r="D17" s="260"/>
      <c r="E17" s="261" t="str">
        <f ca="1">IF(SS!$C$7&lt;18,SS!C17,SS!C8)</f>
        <v>Male</v>
      </c>
      <c r="F17" s="261"/>
      <c r="G17" s="261"/>
      <c r="H17" s="261"/>
      <c r="I17" s="115"/>
      <c r="J17" s="118"/>
      <c r="K17" s="119"/>
      <c r="L17" s="260" t="s">
        <v>3</v>
      </c>
      <c r="M17" s="260"/>
      <c r="N17" s="260"/>
      <c r="O17" s="260"/>
      <c r="P17" s="261" t="str">
        <f>SS!C8</f>
        <v>Male</v>
      </c>
      <c r="Q17" s="261"/>
      <c r="R17" s="261"/>
      <c r="S17" s="261"/>
      <c r="T17" s="102"/>
      <c r="U17" s="102"/>
      <c r="V17" s="102"/>
      <c r="W17" s="102"/>
      <c r="X17" s="102"/>
      <c r="Y17" s="102"/>
      <c r="Z17" s="102"/>
      <c r="AA17" s="102"/>
      <c r="AC17" s="109"/>
      <c r="AD17" s="110"/>
    </row>
    <row r="18" spans="1:36">
      <c r="I18" s="119"/>
      <c r="J18" s="119"/>
      <c r="K18" s="119"/>
      <c r="L18" s="289" t="s">
        <v>76</v>
      </c>
      <c r="M18" s="290"/>
      <c r="N18" s="290"/>
      <c r="O18" s="291"/>
      <c r="P18" s="295" t="str">
        <f>SS!C4</f>
        <v>ORISSA</v>
      </c>
      <c r="Q18" s="293"/>
      <c r="R18" s="293"/>
      <c r="S18" s="294"/>
      <c r="T18" s="102"/>
      <c r="U18" s="102"/>
      <c r="V18" s="102"/>
      <c r="W18" s="102"/>
      <c r="X18" s="102"/>
      <c r="Y18" s="102"/>
      <c r="Z18" s="102"/>
      <c r="AA18" s="102"/>
      <c r="AC18" s="109"/>
      <c r="AD18" s="110"/>
    </row>
    <row r="19" spans="1:36">
      <c r="A19" s="123"/>
      <c r="B19" s="120"/>
      <c r="C19" s="120"/>
      <c r="D19" s="120"/>
      <c r="E19" s="121"/>
      <c r="F19" s="121"/>
      <c r="G19" s="121"/>
      <c r="H19" s="121"/>
      <c r="I19" s="119"/>
      <c r="J19" s="119"/>
      <c r="K19" s="119"/>
      <c r="L19" s="120"/>
      <c r="M19" s="120"/>
      <c r="N19" s="120"/>
      <c r="O19" s="120"/>
      <c r="P19" s="121"/>
      <c r="Q19" s="121"/>
      <c r="R19" s="121"/>
      <c r="S19" s="122"/>
      <c r="T19" s="102"/>
      <c r="U19" s="102"/>
      <c r="V19" s="102"/>
      <c r="W19" s="102"/>
      <c r="X19" s="102"/>
      <c r="Y19" s="102"/>
      <c r="Z19" s="102"/>
      <c r="AA19" s="102"/>
      <c r="AC19" s="109"/>
      <c r="AD19" s="110"/>
    </row>
    <row r="20" spans="1:36">
      <c r="A20" s="296" t="s">
        <v>125</v>
      </c>
      <c r="B20" s="297"/>
      <c r="C20" s="297"/>
      <c r="D20" s="297"/>
      <c r="E20" s="297"/>
      <c r="F20" s="297"/>
      <c r="G20" s="297"/>
      <c r="H20" s="297"/>
      <c r="I20" s="297"/>
      <c r="J20" s="297"/>
      <c r="K20" s="297"/>
      <c r="L20" s="297"/>
      <c r="M20" s="297"/>
      <c r="N20" s="297"/>
      <c r="O20" s="297"/>
      <c r="P20" s="297"/>
      <c r="Q20" s="297"/>
      <c r="R20" s="297"/>
      <c r="S20" s="298"/>
      <c r="T20" s="102"/>
      <c r="U20" s="102"/>
      <c r="V20" s="102"/>
      <c r="W20" s="102"/>
      <c r="X20" s="102"/>
      <c r="Y20" s="102"/>
      <c r="Z20" s="102"/>
      <c r="AA20" s="102"/>
      <c r="AC20" s="109"/>
      <c r="AD20" s="110"/>
    </row>
    <row r="21" spans="1:36" ht="15" customHeight="1">
      <c r="A21" s="286" t="s">
        <v>162</v>
      </c>
      <c r="B21" s="287"/>
      <c r="C21" s="287"/>
      <c r="D21" s="287"/>
      <c r="E21" s="287"/>
      <c r="F21" s="287"/>
      <c r="G21" s="287"/>
      <c r="H21" s="287"/>
      <c r="I21" s="287"/>
      <c r="J21" s="287"/>
      <c r="K21" s="287"/>
      <c r="L21" s="287"/>
      <c r="M21" s="287"/>
      <c r="N21" s="287"/>
      <c r="O21" s="287"/>
      <c r="P21" s="287"/>
      <c r="Q21" s="287"/>
      <c r="R21" s="287"/>
      <c r="S21" s="288"/>
      <c r="T21" s="102"/>
      <c r="U21" s="102"/>
      <c r="V21" s="102"/>
      <c r="W21" s="102"/>
      <c r="X21" s="102"/>
      <c r="Y21" s="102"/>
      <c r="Z21" s="102"/>
      <c r="AA21" s="102"/>
      <c r="AC21" s="109"/>
      <c r="AD21" s="110"/>
    </row>
    <row r="22" spans="1:36" ht="8.25" customHeight="1">
      <c r="A22" s="114"/>
      <c r="B22" s="115"/>
      <c r="C22" s="115"/>
      <c r="D22" s="115"/>
      <c r="E22" s="115"/>
      <c r="F22" s="115"/>
      <c r="G22" s="115"/>
      <c r="H22" s="115"/>
      <c r="I22" s="115"/>
      <c r="J22" s="115"/>
      <c r="K22" s="115"/>
      <c r="L22" s="115"/>
      <c r="M22" s="115"/>
      <c r="N22" s="115"/>
      <c r="O22" s="115"/>
      <c r="P22" s="115"/>
      <c r="Q22" s="115"/>
      <c r="R22" s="115"/>
      <c r="S22" s="116"/>
      <c r="T22" s="102"/>
      <c r="U22" s="102"/>
      <c r="V22" s="102"/>
      <c r="W22" s="102"/>
      <c r="X22" s="102"/>
      <c r="Y22" s="102"/>
      <c r="Z22" s="102"/>
      <c r="AA22" s="102"/>
      <c r="AC22" s="109"/>
      <c r="AD22" s="110"/>
    </row>
    <row r="23" spans="1:36" ht="51.75" customHeight="1">
      <c r="A23" s="286"/>
      <c r="B23" s="287"/>
      <c r="C23" s="287"/>
      <c r="D23" s="287"/>
      <c r="E23" s="287"/>
      <c r="F23" s="287"/>
      <c r="G23" s="287"/>
      <c r="H23" s="287"/>
      <c r="I23" s="287"/>
      <c r="J23" s="287"/>
      <c r="K23" s="287"/>
      <c r="L23" s="287"/>
      <c r="M23" s="287"/>
      <c r="N23" s="287"/>
      <c r="O23" s="287"/>
      <c r="P23" s="287"/>
      <c r="Q23" s="287"/>
      <c r="R23" s="287"/>
      <c r="S23" s="288"/>
      <c r="T23" s="102"/>
      <c r="U23" s="102"/>
      <c r="V23" s="102"/>
      <c r="W23" s="102"/>
      <c r="X23" s="102"/>
      <c r="Y23" s="102"/>
      <c r="Z23" s="102"/>
      <c r="AA23" s="102"/>
      <c r="AC23" s="109"/>
      <c r="AD23" s="110"/>
    </row>
    <row r="24" spans="1:36">
      <c r="A24" s="101"/>
      <c r="B24" s="102"/>
      <c r="C24" s="102"/>
      <c r="D24" s="102"/>
      <c r="E24" s="102"/>
      <c r="F24" s="102"/>
      <c r="G24" s="102"/>
      <c r="H24" s="102"/>
      <c r="I24" s="102"/>
      <c r="J24" s="102"/>
      <c r="K24" s="102"/>
      <c r="L24" s="120"/>
      <c r="M24" s="120"/>
      <c r="N24" s="120"/>
      <c r="O24" s="120"/>
      <c r="P24" s="124"/>
      <c r="Q24" s="124"/>
      <c r="R24" s="124"/>
      <c r="S24" s="125"/>
      <c r="T24" s="102"/>
      <c r="U24" s="102"/>
      <c r="V24" s="102"/>
      <c r="W24" s="102"/>
      <c r="X24" s="102"/>
      <c r="Y24" s="102"/>
      <c r="Z24" s="102"/>
      <c r="AA24" s="102"/>
      <c r="AC24" s="109"/>
      <c r="AD24" s="110"/>
    </row>
    <row r="25" spans="1:36" ht="15" customHeight="1">
      <c r="A25" s="257" t="s">
        <v>126</v>
      </c>
      <c r="B25" s="258"/>
      <c r="C25" s="258"/>
      <c r="D25" s="258"/>
      <c r="E25" s="258"/>
      <c r="F25" s="258"/>
      <c r="G25" s="258"/>
      <c r="H25" s="258"/>
      <c r="I25" s="258"/>
      <c r="J25" s="258"/>
      <c r="K25" s="258"/>
      <c r="L25" s="258"/>
      <c r="M25" s="258"/>
      <c r="N25" s="258"/>
      <c r="O25" s="258"/>
      <c r="P25" s="258"/>
      <c r="Q25" s="258"/>
      <c r="R25" s="258"/>
      <c r="S25" s="259"/>
      <c r="T25" s="102"/>
      <c r="U25" s="102"/>
      <c r="V25" s="102"/>
      <c r="W25" s="102"/>
      <c r="X25" s="102"/>
      <c r="Y25" s="102"/>
      <c r="Z25" s="102"/>
      <c r="AA25" s="102"/>
    </row>
    <row r="26" spans="1:36">
      <c r="A26" s="101"/>
      <c r="B26" s="102"/>
      <c r="C26" s="102"/>
      <c r="D26" s="102"/>
      <c r="E26" s="102"/>
      <c r="F26" s="102"/>
      <c r="G26" s="102"/>
      <c r="H26" s="102"/>
      <c r="I26" s="102"/>
      <c r="J26" s="102"/>
      <c r="K26" s="102"/>
      <c r="L26" s="102"/>
      <c r="M26" s="102"/>
      <c r="N26" s="102"/>
      <c r="O26" s="102"/>
      <c r="P26" s="102"/>
      <c r="Q26" s="102"/>
      <c r="R26" s="102"/>
      <c r="S26" s="103"/>
      <c r="T26" s="102"/>
      <c r="U26" s="102"/>
      <c r="V26" s="102"/>
      <c r="W26" s="102"/>
      <c r="X26" s="102"/>
      <c r="Y26" s="102"/>
      <c r="Z26" s="102"/>
      <c r="AA26" s="102"/>
      <c r="AC26" s="39" t="s">
        <v>52</v>
      </c>
    </row>
    <row r="27" spans="1:36" ht="15" customHeight="1">
      <c r="A27" s="260" t="s">
        <v>127</v>
      </c>
      <c r="B27" s="260"/>
      <c r="C27" s="260"/>
      <c r="D27" s="260"/>
      <c r="E27" s="260"/>
      <c r="F27" s="285" t="s">
        <v>128</v>
      </c>
      <c r="G27" s="285"/>
      <c r="H27" s="285"/>
      <c r="I27" s="115"/>
      <c r="J27" s="289" t="s">
        <v>129</v>
      </c>
      <c r="K27" s="290"/>
      <c r="L27" s="290"/>
      <c r="M27" s="290"/>
      <c r="N27" s="290"/>
      <c r="O27" s="291"/>
      <c r="P27" s="292">
        <f>IF(SS!$C$12="Monthly",SS!$C$10*8.5%,SS!$C$10)</f>
        <v>50000</v>
      </c>
      <c r="Q27" s="293"/>
      <c r="R27" s="293"/>
      <c r="S27" s="294"/>
      <c r="T27" s="102"/>
      <c r="U27" s="102"/>
      <c r="V27" s="102"/>
      <c r="W27" s="102"/>
      <c r="X27" s="102"/>
      <c r="Y27" s="102"/>
      <c r="Z27" s="102"/>
      <c r="AA27" s="102"/>
      <c r="AC27" s="42" t="s">
        <v>26</v>
      </c>
      <c r="AD27" s="126" t="s">
        <v>53</v>
      </c>
      <c r="AF27" s="8" t="s">
        <v>196</v>
      </c>
      <c r="AG27"/>
    </row>
    <row r="28" spans="1:36" ht="15" customHeight="1">
      <c r="A28" s="307" t="s">
        <v>165</v>
      </c>
      <c r="B28" s="307"/>
      <c r="C28" s="307"/>
      <c r="D28" s="307"/>
      <c r="E28" s="307"/>
      <c r="F28" s="308" t="s">
        <v>166</v>
      </c>
      <c r="G28" s="308"/>
      <c r="H28" s="308"/>
      <c r="I28" s="121"/>
      <c r="J28" s="289" t="s">
        <v>130</v>
      </c>
      <c r="K28" s="290"/>
      <c r="L28" s="290"/>
      <c r="M28" s="290"/>
      <c r="N28" s="290"/>
      <c r="O28" s="291"/>
      <c r="P28" s="292">
        <f ca="1">SS!C11</f>
        <v>669500</v>
      </c>
      <c r="Q28" s="305"/>
      <c r="R28" s="305"/>
      <c r="S28" s="306"/>
      <c r="T28" s="102"/>
      <c r="U28" s="102"/>
      <c r="V28" s="102"/>
      <c r="W28" s="102"/>
      <c r="X28" s="102"/>
      <c r="Y28" s="102"/>
      <c r="Z28" s="102"/>
      <c r="AA28" s="102"/>
      <c r="AC28" s="42"/>
      <c r="AD28" s="127"/>
      <c r="AF28"/>
      <c r="AG28"/>
    </row>
    <row r="29" spans="1:36" ht="15" customHeight="1">
      <c r="A29" s="307" t="s">
        <v>131</v>
      </c>
      <c r="B29" s="307"/>
      <c r="C29" s="307"/>
      <c r="D29" s="307"/>
      <c r="E29" s="307"/>
      <c r="F29" s="308">
        <f>SS!C9</f>
        <v>20</v>
      </c>
      <c r="G29" s="308"/>
      <c r="H29" s="308"/>
      <c r="I29" s="115"/>
      <c r="J29" s="289" t="s">
        <v>132</v>
      </c>
      <c r="K29" s="290"/>
      <c r="L29" s="290"/>
      <c r="M29" s="290"/>
      <c r="N29" s="290"/>
      <c r="O29" s="291"/>
      <c r="P29" s="292">
        <f ca="1">K45-G45</f>
        <v>669500</v>
      </c>
      <c r="Q29" s="305"/>
      <c r="R29" s="305"/>
      <c r="S29" s="306"/>
      <c r="T29" s="102"/>
      <c r="U29" s="102"/>
      <c r="V29" s="102"/>
      <c r="W29" s="102"/>
      <c r="X29" s="102"/>
      <c r="Y29" s="102"/>
      <c r="Z29" s="102"/>
      <c r="AA29" s="102"/>
      <c r="AC29" s="42">
        <v>1</v>
      </c>
      <c r="AD29" s="178" t="e">
        <f>VLOOKUP(B45,GSV!$A$6:$C$21,MATCH(SS!$C$13,GSV!$A$6:$C$6,0),FALSE)</f>
        <v>#N/A</v>
      </c>
      <c r="AF29" s="166" t="s">
        <v>197</v>
      </c>
      <c r="AG29" s="191" t="s">
        <v>198</v>
      </c>
    </row>
    <row r="30" spans="1:36" ht="33.75" customHeight="1">
      <c r="A30" s="260" t="s">
        <v>133</v>
      </c>
      <c r="B30" s="260"/>
      <c r="C30" s="260"/>
      <c r="D30" s="260"/>
      <c r="E30" s="260"/>
      <c r="F30" s="285">
        <f>SS!C13</f>
        <v>10</v>
      </c>
      <c r="G30" s="285"/>
      <c r="H30" s="285"/>
      <c r="I30" s="115"/>
      <c r="J30" s="299" t="s">
        <v>134</v>
      </c>
      <c r="K30" s="300"/>
      <c r="L30" s="300"/>
      <c r="M30" s="300"/>
      <c r="N30" s="300"/>
      <c r="O30" s="301"/>
      <c r="P30" s="302" t="s">
        <v>182</v>
      </c>
      <c r="Q30" s="293"/>
      <c r="R30" s="293"/>
      <c r="S30" s="294"/>
      <c r="T30" s="102"/>
      <c r="U30" s="102"/>
      <c r="V30" s="102"/>
      <c r="W30" s="102"/>
      <c r="X30" s="102"/>
      <c r="Y30" s="102"/>
      <c r="Z30" s="102"/>
      <c r="AA30" s="102"/>
      <c r="AC30" s="43">
        <v>2</v>
      </c>
      <c r="AD30" s="178" t="e">
        <f>VLOOKUP(B46,GSV!$A$6:$C$21,MATCH(SS!$C$13,GSV!$A$6:$C$6,0),FALSE)</f>
        <v>#N/A</v>
      </c>
      <c r="AF30" s="160">
        <v>0</v>
      </c>
      <c r="AG30" s="161">
        <v>0.3</v>
      </c>
    </row>
    <row r="31" spans="1:36" s="129" customFormat="1" ht="30" customHeight="1">
      <c r="A31" s="303" t="s">
        <v>135</v>
      </c>
      <c r="B31" s="303"/>
      <c r="C31" s="303"/>
      <c r="D31" s="303"/>
      <c r="E31" s="303"/>
      <c r="F31" s="304" t="str">
        <f>SS!C12</f>
        <v>Yearly</v>
      </c>
      <c r="G31" s="304"/>
      <c r="H31" s="304"/>
      <c r="I31" s="128"/>
      <c r="T31" s="102"/>
      <c r="U31" s="102"/>
      <c r="V31" s="102"/>
      <c r="W31" s="102"/>
      <c r="X31" s="102"/>
      <c r="Y31" s="102"/>
      <c r="Z31" s="102"/>
      <c r="AA31" s="102"/>
      <c r="AC31" s="43">
        <v>3</v>
      </c>
      <c r="AD31" s="178" t="e">
        <f>VLOOKUP(B47,GSV!$A$6:$C$21,MATCH(SS!$C$13,GSV!$A$6:$C$6,0),FALSE)</f>
        <v>#N/A</v>
      </c>
      <c r="AE31" s="12"/>
      <c r="AF31" s="160">
        <v>1</v>
      </c>
      <c r="AG31" s="161">
        <v>0.27450000000000002</v>
      </c>
      <c r="AH31" s="12"/>
      <c r="AI31" s="12"/>
      <c r="AJ31" s="12"/>
    </row>
    <row r="32" spans="1:36">
      <c r="A32" s="101"/>
      <c r="B32" s="102"/>
      <c r="C32" s="102"/>
      <c r="D32" s="102"/>
      <c r="E32" s="102"/>
      <c r="F32" s="102"/>
      <c r="G32" s="102"/>
      <c r="H32" s="102"/>
      <c r="I32" s="115"/>
      <c r="J32" s="115"/>
      <c r="K32" s="102"/>
      <c r="L32" s="102"/>
      <c r="M32" s="102"/>
      <c r="N32" s="102"/>
      <c r="O32" s="102"/>
      <c r="P32" s="102"/>
      <c r="Q32" s="102"/>
      <c r="R32" s="102"/>
      <c r="S32" s="103"/>
      <c r="T32" s="102"/>
      <c r="U32" s="102"/>
      <c r="V32" s="102"/>
      <c r="W32" s="102"/>
      <c r="X32" s="102"/>
      <c r="Y32" s="102"/>
      <c r="Z32" s="102"/>
      <c r="AA32" s="102"/>
      <c r="AC32" s="43">
        <v>4</v>
      </c>
      <c r="AD32" s="178" t="e">
        <f>VLOOKUP(B48,GSV!$A$6:$C$21,MATCH(SS!$C$13,GSV!$A$6:$C$6,0),FALSE)</f>
        <v>#N/A</v>
      </c>
      <c r="AF32" s="160">
        <v>2</v>
      </c>
      <c r="AG32" s="161">
        <v>0.25119999999999998</v>
      </c>
    </row>
    <row r="33" spans="1:34" ht="15" customHeight="1">
      <c r="A33" s="257" t="s">
        <v>136</v>
      </c>
      <c r="B33" s="258"/>
      <c r="C33" s="258"/>
      <c r="D33" s="258"/>
      <c r="E33" s="258"/>
      <c r="F33" s="258"/>
      <c r="G33" s="258"/>
      <c r="H33" s="258"/>
      <c r="I33" s="258"/>
      <c r="J33" s="258"/>
      <c r="K33" s="258"/>
      <c r="L33" s="258"/>
      <c r="M33" s="258"/>
      <c r="N33" s="258"/>
      <c r="O33" s="258"/>
      <c r="P33" s="258"/>
      <c r="Q33" s="258"/>
      <c r="R33" s="258"/>
      <c r="S33" s="259"/>
      <c r="T33" s="102"/>
      <c r="U33" s="102"/>
      <c r="V33" s="102"/>
      <c r="W33" s="102"/>
      <c r="X33" s="102"/>
      <c r="Y33" s="102"/>
      <c r="Z33" s="102"/>
      <c r="AA33" s="102"/>
      <c r="AC33" s="43">
        <v>5</v>
      </c>
      <c r="AD33" s="178" t="e">
        <f>VLOOKUP(B49,GSV!$A$6:$C$21,MATCH(SS!$C$13,GSV!$A$6:$C$6,0),FALSE)</f>
        <v>#N/A</v>
      </c>
      <c r="AF33" s="160">
        <v>3</v>
      </c>
      <c r="AG33" s="161">
        <v>0.23</v>
      </c>
    </row>
    <row r="34" spans="1:34">
      <c r="A34" s="101"/>
      <c r="B34" s="102"/>
      <c r="C34" s="102"/>
      <c r="D34" s="102"/>
      <c r="E34" s="102"/>
      <c r="F34" s="102"/>
      <c r="G34" s="102"/>
      <c r="H34" s="102"/>
      <c r="I34" s="102"/>
      <c r="J34" s="102"/>
      <c r="K34" s="102"/>
      <c r="L34" s="102"/>
      <c r="M34" s="102"/>
      <c r="N34" s="102"/>
      <c r="O34" s="102"/>
      <c r="P34" s="102"/>
      <c r="Q34" s="102"/>
      <c r="R34" s="102"/>
      <c r="S34" s="103"/>
      <c r="T34" s="102"/>
      <c r="U34" s="102"/>
      <c r="V34" s="102"/>
      <c r="W34" s="102"/>
      <c r="X34" s="102"/>
      <c r="Y34" s="102"/>
      <c r="Z34" s="102"/>
      <c r="AA34" s="102"/>
      <c r="AC34" s="43">
        <v>6</v>
      </c>
      <c r="AD34" s="178" t="e">
        <f>VLOOKUP(B50,GSV!$A$6:$C$21,MATCH(SS!$C$13,GSV!$A$6:$C$6,0),FALSE)</f>
        <v>#N/A</v>
      </c>
      <c r="AF34" s="160">
        <v>4</v>
      </c>
      <c r="AG34" s="161">
        <v>0.21049999999999999</v>
      </c>
    </row>
    <row r="35" spans="1:34" ht="13.5" customHeight="1">
      <c r="A35" s="101"/>
      <c r="B35" s="102"/>
      <c r="C35" s="102"/>
      <c r="D35" s="309"/>
      <c r="E35" s="310"/>
      <c r="F35" s="310"/>
      <c r="G35" s="310"/>
      <c r="H35" s="310"/>
      <c r="I35" s="311"/>
      <c r="J35" s="285" t="s">
        <v>137</v>
      </c>
      <c r="K35" s="285"/>
      <c r="L35" s="285" t="s">
        <v>138</v>
      </c>
      <c r="M35" s="285"/>
      <c r="N35" s="312" t="s">
        <v>139</v>
      </c>
      <c r="O35" s="312"/>
      <c r="P35" s="312"/>
      <c r="Q35" s="312"/>
      <c r="R35" s="102"/>
      <c r="S35" s="103"/>
      <c r="T35" s="102"/>
      <c r="U35" s="102"/>
      <c r="V35" s="102"/>
      <c r="W35" s="102"/>
      <c r="X35" s="102"/>
      <c r="Y35" s="102"/>
      <c r="Z35" s="102"/>
      <c r="AA35" s="102"/>
      <c r="AC35" s="46">
        <v>7</v>
      </c>
      <c r="AD35" s="178" t="e">
        <f>VLOOKUP(B51,GSV!$A$6:$C$21,MATCH(SS!$C$13,GSV!$A$6:$C$6,0),FALSE)</f>
        <v>#N/A</v>
      </c>
      <c r="AF35" s="160">
        <v>5</v>
      </c>
      <c r="AG35" s="161">
        <v>0.19270000000000001</v>
      </c>
    </row>
    <row r="36" spans="1:34" ht="15" customHeight="1">
      <c r="A36" s="101"/>
      <c r="B36" s="102"/>
      <c r="C36" s="102"/>
      <c r="D36" s="289" t="s">
        <v>140</v>
      </c>
      <c r="E36" s="290"/>
      <c r="F36" s="290"/>
      <c r="G36" s="290"/>
      <c r="H36" s="290"/>
      <c r="I36" s="291"/>
      <c r="J36" s="292">
        <f>$P$27</f>
        <v>50000</v>
      </c>
      <c r="K36" s="306"/>
      <c r="L36" s="313" t="s">
        <v>128</v>
      </c>
      <c r="M36" s="314"/>
      <c r="N36" s="315">
        <f>J36</f>
        <v>50000</v>
      </c>
      <c r="O36" s="316"/>
      <c r="P36" s="316"/>
      <c r="Q36" s="317"/>
      <c r="R36" s="102"/>
      <c r="S36" s="103"/>
      <c r="T36" s="102"/>
      <c r="U36" s="102"/>
      <c r="V36" s="102"/>
      <c r="W36" s="102"/>
      <c r="X36" s="102"/>
      <c r="Y36" s="102"/>
      <c r="Z36" s="102"/>
      <c r="AA36" s="102"/>
      <c r="AC36" s="46">
        <v>8</v>
      </c>
      <c r="AD36" s="178" t="e">
        <f>VLOOKUP(B52,GSV!$A$6:$C$21,MATCH(SS!$C$13,GSV!$A$6:$C$6,0),FALSE)</f>
        <v>#N/A</v>
      </c>
      <c r="AF36" s="160">
        <v>6</v>
      </c>
      <c r="AG36" s="161">
        <v>0.17649999999999999</v>
      </c>
    </row>
    <row r="37" spans="1:34" ht="15" customHeight="1">
      <c r="A37" s="101"/>
      <c r="B37" s="102"/>
      <c r="C37" s="102"/>
      <c r="D37" s="289" t="s">
        <v>141</v>
      </c>
      <c r="E37" s="290"/>
      <c r="F37" s="290"/>
      <c r="G37" s="290"/>
      <c r="H37" s="290"/>
      <c r="I37" s="291"/>
      <c r="J37" s="292">
        <f>$J$36+ROUNDUP($J$36*2.25%,0)+ROUNDUP($J$36*2.25%,0)</f>
        <v>52250</v>
      </c>
      <c r="K37" s="306"/>
      <c r="L37" s="313" t="s">
        <v>128</v>
      </c>
      <c r="M37" s="314"/>
      <c r="N37" s="315">
        <f>J37</f>
        <v>52250</v>
      </c>
      <c r="O37" s="316"/>
      <c r="P37" s="316"/>
      <c r="Q37" s="317"/>
      <c r="R37" s="102"/>
      <c r="S37" s="103"/>
      <c r="T37" s="102"/>
      <c r="U37" s="102"/>
      <c r="V37" s="102"/>
      <c r="W37" s="102"/>
      <c r="X37" s="102"/>
      <c r="Y37" s="102"/>
      <c r="Z37" s="102"/>
      <c r="AA37" s="102"/>
      <c r="AC37" s="46">
        <v>9</v>
      </c>
      <c r="AD37" s="178" t="e">
        <f>VLOOKUP(B53,GSV!$A$6:$C$21,MATCH(SS!$C$13,GSV!$A$6:$C$6,0),FALSE)</f>
        <v>#N/A</v>
      </c>
      <c r="AF37" s="160">
        <v>7</v>
      </c>
      <c r="AG37" s="161">
        <v>0.16159999999999999</v>
      </c>
    </row>
    <row r="38" spans="1:34" ht="15" customHeight="1">
      <c r="A38" s="101"/>
      <c r="B38" s="102"/>
      <c r="C38" s="102"/>
      <c r="D38" s="289" t="s">
        <v>142</v>
      </c>
      <c r="E38" s="290"/>
      <c r="F38" s="290"/>
      <c r="G38" s="290"/>
      <c r="H38" s="290"/>
      <c r="I38" s="291"/>
      <c r="J38" s="292">
        <f>$J$36+ROUNDUP($J$36*1.125%,0)+ROUNDUP($J$36*1.125%,0)</f>
        <v>51126</v>
      </c>
      <c r="K38" s="306"/>
      <c r="L38" s="313" t="s">
        <v>128</v>
      </c>
      <c r="M38" s="314"/>
      <c r="N38" s="315">
        <f>J38</f>
        <v>51126</v>
      </c>
      <c r="O38" s="316"/>
      <c r="P38" s="316"/>
      <c r="Q38" s="317"/>
      <c r="R38" s="102"/>
      <c r="S38" s="103"/>
      <c r="T38" s="102"/>
      <c r="U38" s="102"/>
      <c r="V38" s="102"/>
      <c r="W38" s="102"/>
      <c r="X38" s="102"/>
      <c r="Y38" s="102"/>
      <c r="Z38" s="102"/>
      <c r="AA38" s="102"/>
      <c r="AC38" s="46">
        <v>10</v>
      </c>
      <c r="AD38" s="178" t="e">
        <f>VLOOKUP(B54,GSV!$A$6:$C$21,MATCH(SS!$C$13,GSV!$A$6:$C$6,0),FALSE)</f>
        <v>#N/A</v>
      </c>
      <c r="AF38" s="160">
        <v>8</v>
      </c>
      <c r="AG38" s="161">
        <v>0.14810000000000001</v>
      </c>
    </row>
    <row r="39" spans="1:34">
      <c r="A39" s="101"/>
      <c r="B39" s="102"/>
      <c r="C39" s="102"/>
      <c r="D39" s="120"/>
      <c r="E39" s="120"/>
      <c r="F39" s="120"/>
      <c r="G39" s="120"/>
      <c r="H39" s="120"/>
      <c r="I39" s="120"/>
      <c r="J39" s="121"/>
      <c r="K39" s="121"/>
      <c r="L39" s="130"/>
      <c r="M39" s="130"/>
      <c r="N39" s="130"/>
      <c r="O39" s="130"/>
      <c r="P39" s="130"/>
      <c r="Q39" s="130"/>
      <c r="R39" s="102"/>
      <c r="S39" s="103"/>
      <c r="T39" s="102"/>
      <c r="U39" s="102"/>
      <c r="V39" s="102"/>
      <c r="W39" s="102"/>
      <c r="X39" s="102"/>
      <c r="Y39" s="102"/>
      <c r="Z39" s="102"/>
      <c r="AA39" s="102"/>
      <c r="AC39" s="46">
        <v>11</v>
      </c>
      <c r="AD39" s="178" t="e">
        <f>VLOOKUP(B55,GSV!$A$6:$C$21,MATCH(SS!$C$13,GSV!$A$6:$C$6,0),FALSE)</f>
        <v>#N/A</v>
      </c>
      <c r="AF39" s="160">
        <v>9</v>
      </c>
      <c r="AG39" s="161">
        <v>0.13569999999999999</v>
      </c>
    </row>
    <row r="40" spans="1:34" ht="65.25" customHeight="1">
      <c r="A40" s="318" t="s">
        <v>143</v>
      </c>
      <c r="B40" s="319"/>
      <c r="C40" s="319"/>
      <c r="D40" s="319"/>
      <c r="E40" s="319"/>
      <c r="F40" s="319"/>
      <c r="G40" s="319"/>
      <c r="H40" s="319"/>
      <c r="I40" s="319"/>
      <c r="J40" s="319"/>
      <c r="K40" s="319"/>
      <c r="L40" s="319"/>
      <c r="M40" s="319"/>
      <c r="N40" s="319"/>
      <c r="O40" s="319"/>
      <c r="P40" s="319"/>
      <c r="Q40" s="319"/>
      <c r="R40" s="319"/>
      <c r="S40" s="320"/>
      <c r="T40" s="102"/>
      <c r="U40" s="102"/>
      <c r="V40" s="102"/>
      <c r="W40" s="102"/>
      <c r="X40" s="102"/>
      <c r="Y40" s="102"/>
      <c r="Z40" s="102"/>
      <c r="AA40" s="102"/>
      <c r="AC40" s="46">
        <v>12</v>
      </c>
      <c r="AD40" s="178" t="e">
        <f>VLOOKUP(B56,GSV!$A$6:$C$21,MATCH(SS!$C$13,GSV!$A$6:$C$6,0),FALSE)</f>
        <v>#N/A</v>
      </c>
      <c r="AF40" s="160">
        <v>10</v>
      </c>
      <c r="AG40" s="161">
        <v>0.1244</v>
      </c>
    </row>
    <row r="41" spans="1:34">
      <c r="A41" s="101"/>
      <c r="B41" s="102"/>
      <c r="C41" s="102"/>
      <c r="D41" s="120"/>
      <c r="E41" s="120"/>
      <c r="F41" s="120"/>
      <c r="G41" s="120"/>
      <c r="H41" s="120"/>
      <c r="I41" s="120"/>
      <c r="J41" s="121"/>
      <c r="K41" s="121"/>
      <c r="L41" s="130"/>
      <c r="M41" s="130"/>
      <c r="N41" s="130"/>
      <c r="O41" s="130"/>
      <c r="P41" s="130"/>
      <c r="Q41" s="130"/>
      <c r="R41" s="102"/>
      <c r="S41" s="103"/>
      <c r="T41" s="102"/>
      <c r="U41" s="102"/>
      <c r="V41" s="102"/>
      <c r="W41" s="102"/>
      <c r="X41" s="102"/>
      <c r="Y41" s="102"/>
      <c r="Z41" s="102"/>
      <c r="AA41" s="102"/>
      <c r="AC41" s="46">
        <v>13</v>
      </c>
      <c r="AD41" s="178" t="e">
        <f>VLOOKUP(B57,GSV!$A$6:$C$21,MATCH(SS!$C$13,GSV!$A$6:$C$6,0),FALSE)</f>
        <v>#N/A</v>
      </c>
      <c r="AF41" s="160">
        <v>11</v>
      </c>
      <c r="AG41" s="161">
        <v>0.114</v>
      </c>
    </row>
    <row r="42" spans="1:34">
      <c r="A42" s="101"/>
      <c r="B42" s="131" t="s">
        <v>169</v>
      </c>
      <c r="C42" s="132"/>
      <c r="D42" s="132"/>
      <c r="E42" s="132"/>
      <c r="F42" s="132"/>
      <c r="G42" s="132"/>
      <c r="H42" s="132"/>
      <c r="I42" s="132"/>
      <c r="J42" s="132"/>
      <c r="K42" s="132"/>
      <c r="L42" s="132"/>
      <c r="M42" s="132"/>
      <c r="N42" s="132"/>
      <c r="O42" s="132"/>
      <c r="P42" s="132"/>
      <c r="Q42" s="133"/>
      <c r="R42" s="134"/>
      <c r="S42" s="135"/>
      <c r="T42" s="102"/>
      <c r="U42" s="102"/>
      <c r="V42" s="102"/>
      <c r="W42" s="102"/>
      <c r="X42" s="102"/>
      <c r="Y42" s="102"/>
      <c r="Z42" s="102"/>
      <c r="AA42" s="102"/>
      <c r="AC42" s="46">
        <v>14</v>
      </c>
      <c r="AD42" s="178" t="e">
        <f>VLOOKUP(B58,GSV!$A$6:$C$21,MATCH(SS!$C$13,GSV!$A$6:$C$6,0),FALSE)</f>
        <v>#N/A</v>
      </c>
      <c r="AF42" s="160">
        <v>12</v>
      </c>
      <c r="AG42" s="161">
        <v>0.1046</v>
      </c>
    </row>
    <row r="43" spans="1:34">
      <c r="A43" s="101"/>
      <c r="B43" s="321" t="s">
        <v>144</v>
      </c>
      <c r="C43" s="321" t="s">
        <v>145</v>
      </c>
      <c r="D43" s="321"/>
      <c r="E43" s="322" t="s">
        <v>146</v>
      </c>
      <c r="F43" s="323"/>
      <c r="G43" s="323"/>
      <c r="H43" s="323"/>
      <c r="I43" s="323"/>
      <c r="J43" s="323"/>
      <c r="K43" s="323"/>
      <c r="L43" s="323"/>
      <c r="M43" s="323"/>
      <c r="N43" s="324"/>
      <c r="O43" s="325" t="s">
        <v>147</v>
      </c>
      <c r="P43" s="325"/>
      <c r="Q43" s="325"/>
      <c r="R43" s="134"/>
      <c r="S43" s="135"/>
      <c r="T43" s="102"/>
      <c r="U43" s="102"/>
      <c r="V43" s="102"/>
      <c r="W43" s="102"/>
      <c r="X43" s="102"/>
      <c r="Y43" s="102"/>
      <c r="Z43" s="102"/>
      <c r="AA43" s="102"/>
      <c r="AC43" s="46">
        <v>15</v>
      </c>
      <c r="AD43" s="178" t="e">
        <f>VLOOKUP(B59,GSV!$A$6:$C$21,MATCH(SS!$C$13,GSV!$A$6:$C$6,0),FALSE)</f>
        <v>#N/A</v>
      </c>
      <c r="AF43" s="160">
        <v>13</v>
      </c>
      <c r="AG43" s="161">
        <v>9.6000000000000002E-2</v>
      </c>
    </row>
    <row r="44" spans="1:34" ht="51.75" customHeight="1">
      <c r="A44" s="101"/>
      <c r="B44" s="321"/>
      <c r="C44" s="321"/>
      <c r="D44" s="321"/>
      <c r="E44" s="326" t="s">
        <v>148</v>
      </c>
      <c r="F44" s="326"/>
      <c r="G44" s="321" t="s">
        <v>149</v>
      </c>
      <c r="H44" s="321"/>
      <c r="I44" s="321" t="s">
        <v>150</v>
      </c>
      <c r="J44" s="321"/>
      <c r="K44" s="327" t="s">
        <v>151</v>
      </c>
      <c r="L44" s="328"/>
      <c r="M44" s="321" t="s">
        <v>152</v>
      </c>
      <c r="N44" s="321"/>
      <c r="O44" s="329" t="s">
        <v>59</v>
      </c>
      <c r="P44" s="329"/>
      <c r="Q44" s="329"/>
      <c r="R44" s="134"/>
      <c r="S44" s="135"/>
      <c r="T44" s="102"/>
      <c r="U44" s="102"/>
      <c r="V44" s="102"/>
      <c r="W44" s="102"/>
      <c r="X44" s="102"/>
      <c r="Y44" s="102"/>
      <c r="Z44" s="102"/>
      <c r="AA44" s="102"/>
      <c r="AF44" s="160">
        <v>14</v>
      </c>
      <c r="AG44" s="161">
        <v>8.8099999999999998E-2</v>
      </c>
    </row>
    <row r="45" spans="1:34" ht="36" customHeight="1">
      <c r="A45" s="101"/>
      <c r="B45" s="136">
        <v>1</v>
      </c>
      <c r="C45" s="315">
        <f>IF(B45&gt;SS!$C$13,"-",SS!$C$10)</f>
        <v>50000</v>
      </c>
      <c r="D45" s="317"/>
      <c r="E45" s="333">
        <v>0</v>
      </c>
      <c r="F45" s="334"/>
      <c r="G45" s="315">
        <f>IF(B45&lt;=SS!$C$9,IFERROR(IF(SS!$C$10&gt;=30000,$AE$3,$AD$3)*SUM($C$45:C45),"-"),0)</f>
        <v>3000</v>
      </c>
      <c r="H45" s="317"/>
      <c r="I45" s="315" t="str">
        <f>IF(B45=SS!$C$9,AH46+$P$28,"-")</f>
        <v>-</v>
      </c>
      <c r="J45" s="317"/>
      <c r="K45" s="315">
        <f ca="1">IF(B45&lt;=SS!$C$9,SUM($G45:G$45)+MAX($P$28,10*SS!$C$10,105%*SUM($AF46:AF$46)),0)</f>
        <v>672500</v>
      </c>
      <c r="L45" s="317"/>
      <c r="M45" s="330" t="e">
        <f>IF(B45&lt;=SS!$C$9,AD29,"-")</f>
        <v>#N/A</v>
      </c>
      <c r="N45" s="332"/>
      <c r="O45" s="330" t="e">
        <f ca="1">((IF(B45&gt;SS!$C$13,1,'Output OLD'!B45/SS!$C$13)*SS!$C$11)+SUM($G45:G$45))*IF(AD48="NA",0,AD48)</f>
        <v>#N/A</v>
      </c>
      <c r="P45" s="331"/>
      <c r="Q45" s="332"/>
      <c r="R45" s="134"/>
      <c r="S45" s="135"/>
      <c r="T45" s="102"/>
      <c r="U45" s="102"/>
      <c r="V45" s="102"/>
      <c r="W45" s="102"/>
      <c r="X45" s="102"/>
      <c r="Y45" s="102"/>
      <c r="Z45" s="102"/>
      <c r="AA45" s="102"/>
      <c r="AC45" s="12" t="s">
        <v>54</v>
      </c>
      <c r="AF45" s="160">
        <v>15</v>
      </c>
      <c r="AG45" s="161">
        <v>8.1000000000000003E-2</v>
      </c>
      <c r="AH45" s="12">
        <f>IF(F31="Monthly",12,1)</f>
        <v>1</v>
      </c>
    </row>
    <row r="46" spans="1:34" ht="25.5">
      <c r="A46" s="101"/>
      <c r="B46" s="136">
        <v>2</v>
      </c>
      <c r="C46" s="315">
        <f>IF(B46&gt;SS!$C$13,"-",SS!$C$10)</f>
        <v>50000</v>
      </c>
      <c r="D46" s="317"/>
      <c r="E46" s="333">
        <v>0</v>
      </c>
      <c r="F46" s="334"/>
      <c r="G46" s="315">
        <f>IF(B46&lt;=SS!$C$9,IFERROR(IF(SS!$C$10&gt;=30000,$AE$3,$AD$3)*SUM($C$45:C46),"-"),0)</f>
        <v>6000</v>
      </c>
      <c r="H46" s="317"/>
      <c r="I46" s="315" t="str">
        <f>IF(B46=SS!$C$9,AH47+$P$28,"-")</f>
        <v>-</v>
      </c>
      <c r="J46" s="317"/>
      <c r="K46" s="315">
        <f ca="1">IF(B46&lt;=SS!$C$9,SUM($G$45:G46)+MAX($P$28,10*SS!$C$10,105%*SUM($AF$46:AF47)),0)</f>
        <v>678500</v>
      </c>
      <c r="L46" s="317"/>
      <c r="M46" s="330" t="e">
        <f>IF(B46&lt;=SS!$C$9,AD30*SUM($AF$46:AF47),"-")</f>
        <v>#N/A</v>
      </c>
      <c r="N46" s="332"/>
      <c r="O46" s="330" t="e">
        <f ca="1">((IF(B46&gt;SS!$C$13,1,'Output OLD'!B46/SS!$C$13)*SS!$C$11)+SUM($G$45:G46))*IF(AD49="NA",0,AD49)</f>
        <v>#N/A</v>
      </c>
      <c r="P46" s="331"/>
      <c r="Q46" s="332"/>
      <c r="R46" s="134"/>
      <c r="S46" s="135"/>
      <c r="T46" s="102"/>
      <c r="U46" s="102"/>
      <c r="V46" s="102"/>
      <c r="W46" s="102"/>
      <c r="X46" s="102"/>
      <c r="Y46" s="102"/>
      <c r="Z46" s="102"/>
      <c r="AA46" s="102"/>
      <c r="AC46" s="137" t="s">
        <v>55</v>
      </c>
      <c r="AD46" s="138" t="s">
        <v>56</v>
      </c>
      <c r="AF46" s="160">
        <v>16</v>
      </c>
      <c r="AG46" s="161">
        <v>7.4399999999999994E-2</v>
      </c>
      <c r="AH46" s="80">
        <f>SUM(G$45:G45)</f>
        <v>3000</v>
      </c>
    </row>
    <row r="47" spans="1:34">
      <c r="A47" s="101"/>
      <c r="B47" s="136">
        <v>3</v>
      </c>
      <c r="C47" s="315">
        <f>IF(B47&gt;SS!$C$13,"-",SS!$C$10)</f>
        <v>50000</v>
      </c>
      <c r="D47" s="317"/>
      <c r="E47" s="333">
        <v>0</v>
      </c>
      <c r="F47" s="334"/>
      <c r="G47" s="315">
        <f>IF(B47&lt;=SS!$C$9,IFERROR(IF(SS!$C$10&gt;=30000,$AE$3,$AD$3)*SUM($C$45:C47),"-"),0)</f>
        <v>9000</v>
      </c>
      <c r="H47" s="317"/>
      <c r="I47" s="315" t="str">
        <f>IF(B47=SS!$C$9,AH48+$P$28,"-")</f>
        <v>-</v>
      </c>
      <c r="J47" s="317"/>
      <c r="K47" s="315">
        <f ca="1">IF(B47&lt;=SS!$C$9,SUM($G$45:G47)+MAX($P$28,10*SS!$C$10,105%*SUM($AF$46:AF48)),0)</f>
        <v>687500</v>
      </c>
      <c r="L47" s="317"/>
      <c r="M47" s="330" t="e">
        <f>IF(B47&lt;=SS!$C$9,AD31*SUM($AF$46:AF48),"-")</f>
        <v>#N/A</v>
      </c>
      <c r="N47" s="332"/>
      <c r="O47" s="330" t="e">
        <f ca="1">((IF(B47&gt;SS!$C$13,1,'Output OLD'!B47/SS!$C$13)*SS!$C$11)+SUM($G$45:G47))*IF(AD50="NA",0,AD50)</f>
        <v>#N/A</v>
      </c>
      <c r="P47" s="331"/>
      <c r="Q47" s="332"/>
      <c r="R47" s="134"/>
      <c r="S47" s="135"/>
      <c r="T47" s="102"/>
      <c r="U47" s="102"/>
      <c r="V47" s="102"/>
      <c r="W47" s="102"/>
      <c r="X47" s="102"/>
      <c r="Y47" s="102"/>
      <c r="Z47" s="102"/>
      <c r="AA47" s="102"/>
      <c r="AC47" s="137"/>
      <c r="AD47" s="139"/>
      <c r="AF47" s="160">
        <v>17</v>
      </c>
      <c r="AG47" s="161">
        <v>6.8500000000000005E-2</v>
      </c>
      <c r="AH47" s="80">
        <f>SUM(G$45:G46)</f>
        <v>9000</v>
      </c>
    </row>
    <row r="48" spans="1:34" ht="15" customHeight="1" thickBot="1">
      <c r="A48" s="101"/>
      <c r="B48" s="136">
        <v>4</v>
      </c>
      <c r="C48" s="315">
        <f>IF(B48&gt;SS!$C$13,"-",SS!$C$10)</f>
        <v>50000</v>
      </c>
      <c r="D48" s="317"/>
      <c r="E48" s="333">
        <v>0</v>
      </c>
      <c r="F48" s="334"/>
      <c r="G48" s="315">
        <f>IF(B48&lt;=SS!$C$9,IFERROR(IF(SS!$C$10&gt;=30000,$AE$3,$AD$3)*SUM($C$45:C48),"-"),0)</f>
        <v>12000</v>
      </c>
      <c r="H48" s="317"/>
      <c r="I48" s="315" t="str">
        <f>IF(B48=SS!$C$9,AH49+$P$28,"-")</f>
        <v>-</v>
      </c>
      <c r="J48" s="317"/>
      <c r="K48" s="315">
        <f ca="1">IF(B48&lt;=SS!$C$9,SUM($G$45:G48)+MAX($P$28,10*SS!$C$10,105%*SUM($AF$46:AF49)),0)</f>
        <v>699500</v>
      </c>
      <c r="L48" s="317"/>
      <c r="M48" s="330" t="e">
        <f>IF(B48&lt;=SS!$C$9,AD32*SUM($AF$46:AF49),"-")</f>
        <v>#N/A</v>
      </c>
      <c r="N48" s="332"/>
      <c r="O48" s="330" t="e">
        <f ca="1">((IF(B48&gt;SS!$C$13,1,'Output OLD'!B48/SS!$C$13)*SS!$C$11)+SUM($G$45:G48))*IF(AD51="NA",0,AD51)</f>
        <v>#N/A</v>
      </c>
      <c r="P48" s="331"/>
      <c r="Q48" s="332"/>
      <c r="R48" s="134"/>
      <c r="S48" s="135"/>
      <c r="T48" s="102"/>
      <c r="U48" s="102"/>
      <c r="V48" s="102"/>
      <c r="W48" s="102"/>
      <c r="X48" s="102"/>
      <c r="Y48" s="102"/>
      <c r="Z48" s="102"/>
      <c r="AA48" s="102"/>
      <c r="AC48" s="140">
        <v>1</v>
      </c>
      <c r="AD48" s="58" t="e">
        <f>VLOOKUP(B45,SSV!$C$9:$E$24,MATCH(SS!$C$13,SSV!$C$9:$E$9,0),FALSE)</f>
        <v>#N/A</v>
      </c>
      <c r="AF48" s="160">
        <v>18</v>
      </c>
      <c r="AG48" s="161">
        <v>6.3100000000000003E-2</v>
      </c>
      <c r="AH48" s="80">
        <f>SUM(G$45:G47)</f>
        <v>18000</v>
      </c>
    </row>
    <row r="49" spans="1:34" ht="15.75" thickBot="1">
      <c r="A49" s="101"/>
      <c r="B49" s="136">
        <v>5</v>
      </c>
      <c r="C49" s="315">
        <f>IF(B49&gt;SS!$C$13,"-",SS!$C$10)</f>
        <v>50000</v>
      </c>
      <c r="D49" s="317"/>
      <c r="E49" s="333">
        <v>0</v>
      </c>
      <c r="F49" s="334"/>
      <c r="G49" s="315">
        <f>IF(B49&lt;=SS!$C$9,IFERROR(IF(SS!$C$10&gt;=30000,$AE$3,$AD$3)*SUM($C$45:C49),"-"),0)</f>
        <v>15000</v>
      </c>
      <c r="H49" s="317"/>
      <c r="I49" s="315" t="str">
        <f>IF(B49=SS!$C$9,AH50+$P$28,"-")</f>
        <v>-</v>
      </c>
      <c r="J49" s="317"/>
      <c r="K49" s="315">
        <f ca="1">IF(B49&lt;=SS!$C$9,SUM($G$45:G49)+MAX($P$28,10*SS!$C$10,105%*SUM($AF$46:AF50)),0)</f>
        <v>714500</v>
      </c>
      <c r="L49" s="317"/>
      <c r="M49" s="330" t="e">
        <f>IF(B49&lt;=SS!$C$9,AD33*SUM($AF$46:AF50),"-")</f>
        <v>#N/A</v>
      </c>
      <c r="N49" s="332"/>
      <c r="O49" s="330" t="e">
        <f ca="1">((IF(B49&gt;SS!$C$13,1,'Output OLD'!B49/SS!$C$13)*SS!$C$11)+SUM($G$45:G49))*IF(AD52="NA",0,AD52)</f>
        <v>#N/A</v>
      </c>
      <c r="P49" s="331"/>
      <c r="Q49" s="332"/>
      <c r="R49" s="134"/>
      <c r="S49" s="135"/>
      <c r="T49" s="102"/>
      <c r="U49" s="102"/>
      <c r="V49" s="102"/>
      <c r="W49" s="102"/>
      <c r="X49" s="102"/>
      <c r="Y49" s="102"/>
      <c r="Z49" s="102"/>
      <c r="AA49" s="102"/>
      <c r="AC49" s="140">
        <v>2</v>
      </c>
      <c r="AD49" s="58" t="e">
        <f>VLOOKUP(B46,SSV!$C$9:$E$24,MATCH(SS!$C$13,SSV!$C$9:$E$9,0),FALSE)</f>
        <v>#N/A</v>
      </c>
      <c r="AF49" s="160">
        <v>19</v>
      </c>
      <c r="AG49" s="161">
        <v>5.8099999999999999E-2</v>
      </c>
      <c r="AH49" s="80">
        <f>SUM(G$45:G48)</f>
        <v>30000</v>
      </c>
    </row>
    <row r="50" spans="1:34" ht="15.75" thickBot="1">
      <c r="A50" s="101"/>
      <c r="B50" s="136">
        <v>6</v>
      </c>
      <c r="C50" s="315">
        <f>IF(B50&gt;SS!$C$13,"-",SS!$C$10)</f>
        <v>50000</v>
      </c>
      <c r="D50" s="317"/>
      <c r="E50" s="333">
        <v>0</v>
      </c>
      <c r="F50" s="334"/>
      <c r="G50" s="315">
        <f>IF(B50&lt;=SS!$C$9,IFERROR(IF(SS!$C$10&gt;=30000,$AE$3,$AD$3)*SUM($C$45:C50),"-"),0)</f>
        <v>18000</v>
      </c>
      <c r="H50" s="317"/>
      <c r="I50" s="315" t="str">
        <f>IF(B50=SS!$C$9,AH51+$P$28,"-")</f>
        <v>-</v>
      </c>
      <c r="J50" s="317"/>
      <c r="K50" s="315">
        <f ca="1">IF(B50&lt;=SS!$C$9,SUM($G$45:G50)+MAX($P$28,10*SS!$C$10,105%*SUM($AF$46:AF51)),0)</f>
        <v>732500</v>
      </c>
      <c r="L50" s="317"/>
      <c r="M50" s="330" t="e">
        <f>IF(B50&lt;=SS!$C$9,AD34*SUM($AF$46:AF51),"-")</f>
        <v>#N/A</v>
      </c>
      <c r="N50" s="332"/>
      <c r="O50" s="330" t="e">
        <f ca="1">((IF(B50&gt;SS!$C$13,1,'Output OLD'!B50/SS!$C$13)*SS!$C$11)+SUM($G$45:G50))*IF(AD53="NA",0,AD53)</f>
        <v>#N/A</v>
      </c>
      <c r="P50" s="331"/>
      <c r="Q50" s="332"/>
      <c r="R50" s="134"/>
      <c r="S50" s="135"/>
      <c r="T50" s="102"/>
      <c r="U50" s="102"/>
      <c r="V50" s="102"/>
      <c r="W50" s="102"/>
      <c r="X50" s="102"/>
      <c r="Y50" s="102"/>
      <c r="Z50" s="102"/>
      <c r="AA50" s="102"/>
      <c r="AC50" s="140">
        <v>3</v>
      </c>
      <c r="AD50" s="58" t="e">
        <f>VLOOKUP(B47,SSV!$C$9:$E$24,MATCH(SS!$C$13,SSV!$C$9:$E$9,0),FALSE)</f>
        <v>#N/A</v>
      </c>
      <c r="AF50" s="160">
        <v>20</v>
      </c>
      <c r="AG50" s="161">
        <v>5.3600000000000002E-2</v>
      </c>
      <c r="AH50" s="80">
        <f>SUM(G$45:G49)</f>
        <v>45000</v>
      </c>
    </row>
    <row r="51" spans="1:34" ht="15.75" thickBot="1">
      <c r="A51" s="101"/>
      <c r="B51" s="136">
        <v>7</v>
      </c>
      <c r="C51" s="315">
        <f>IF(B51&gt;SS!$C$13,"-",SS!$C$10)</f>
        <v>50000</v>
      </c>
      <c r="D51" s="317"/>
      <c r="E51" s="333">
        <v>0</v>
      </c>
      <c r="F51" s="334"/>
      <c r="G51" s="315">
        <f>IF(B51&lt;=SS!$C$9,IFERROR(IF(SS!$C$10&gt;=30000,$AE$3,$AD$3)*SUM($C$45:C51),"-"),0)</f>
        <v>21000</v>
      </c>
      <c r="H51" s="317"/>
      <c r="I51" s="315" t="str">
        <f>IF(B51=SS!$C$9,AH52+$P$28,"-")</f>
        <v>-</v>
      </c>
      <c r="J51" s="317"/>
      <c r="K51" s="315">
        <f ca="1">IF(B51&lt;=SS!$C$9,SUM($G$45:G51)+MAX($P$28,10*SS!$C$10,105%*SUM($AF$46:AF52)),0)</f>
        <v>753500</v>
      </c>
      <c r="L51" s="317"/>
      <c r="M51" s="330" t="e">
        <f>IF(B51&lt;=SS!$C$9,AD35*SUM($AF$46:AF52),"-")</f>
        <v>#N/A</v>
      </c>
      <c r="N51" s="332"/>
      <c r="O51" s="330" t="e">
        <f ca="1">((IF(B51&gt;SS!$C$13,1,'Output OLD'!B51/SS!$C$13)*SS!$C$11)+SUM($G$45:G51))*IF(AD54="NA",0,AD54)</f>
        <v>#N/A</v>
      </c>
      <c r="P51" s="331"/>
      <c r="Q51" s="332"/>
      <c r="R51" s="134"/>
      <c r="S51" s="135"/>
      <c r="T51" s="102"/>
      <c r="U51" s="102"/>
      <c r="V51" s="102"/>
      <c r="W51" s="102"/>
      <c r="X51" s="102"/>
      <c r="Y51" s="102"/>
      <c r="Z51" s="102"/>
      <c r="AA51" s="102"/>
      <c r="AC51" s="140">
        <v>4</v>
      </c>
      <c r="AD51" s="58" t="e">
        <f>VLOOKUP(B48,SSV!$C$9:$E$24,MATCH(SS!$C$13,SSV!$C$9:$E$9,0),FALSE)</f>
        <v>#N/A</v>
      </c>
      <c r="AF51"/>
      <c r="AG51"/>
      <c r="AH51" s="80">
        <f>SUM(G$45:G50)</f>
        <v>63000</v>
      </c>
    </row>
    <row r="52" spans="1:34" ht="15.75" thickBot="1">
      <c r="A52" s="101"/>
      <c r="B52" s="136">
        <v>8</v>
      </c>
      <c r="C52" s="315">
        <f>IF(B52&gt;SS!$C$13,"-",SS!$C$10)</f>
        <v>50000</v>
      </c>
      <c r="D52" s="317"/>
      <c r="E52" s="333">
        <v>0</v>
      </c>
      <c r="F52" s="334"/>
      <c r="G52" s="315">
        <f>IF(B52&lt;=SS!$C$9,IFERROR(IF(SS!$C$10&gt;=30000,$AE$3,$AD$3)*SUM($C$45:C52),"-"),0)</f>
        <v>24000</v>
      </c>
      <c r="H52" s="317"/>
      <c r="I52" s="315" t="str">
        <f>IF(B52=SS!$C$9,AH53+$P$28,"-")</f>
        <v>-</v>
      </c>
      <c r="J52" s="317"/>
      <c r="K52" s="315">
        <f ca="1">IF(B52&lt;=SS!$C$9,SUM($G$45:G52)+MAX($P$28,10*SS!$C$10,105%*SUM($AF$46:AF53)),0)</f>
        <v>777500</v>
      </c>
      <c r="L52" s="317"/>
      <c r="M52" s="330" t="e">
        <f>IF(B52&lt;=SS!$C$9,AD36*SUM($AF$46:AF53),"-")</f>
        <v>#N/A</v>
      </c>
      <c r="N52" s="332"/>
      <c r="O52" s="330" t="e">
        <f ca="1">((IF(B52&gt;SS!$C$13,1,'Output OLD'!B52/SS!$C$13)*SS!$C$11)+SUM($G$45:G52))*IF(AD55="NA",0,AD55)</f>
        <v>#N/A</v>
      </c>
      <c r="P52" s="331"/>
      <c r="Q52" s="332"/>
      <c r="R52" s="134"/>
      <c r="S52" s="135"/>
      <c r="T52" s="102"/>
      <c r="U52" s="102"/>
      <c r="V52" s="102"/>
      <c r="W52" s="102"/>
      <c r="X52" s="102"/>
      <c r="Y52" s="102"/>
      <c r="Z52" s="102"/>
      <c r="AA52" s="102"/>
      <c r="AC52" s="140">
        <v>5</v>
      </c>
      <c r="AD52" s="58" t="e">
        <f>VLOOKUP(B49,SSV!$C$9:$E$24,MATCH(SS!$C$13,SSV!$C$9:$E$9,0),FALSE)</f>
        <v>#N/A</v>
      </c>
      <c r="AF52"/>
      <c r="AG52"/>
      <c r="AH52" s="80">
        <f>SUM(G$45:G51)</f>
        <v>84000</v>
      </c>
    </row>
    <row r="53" spans="1:34" ht="15.75" thickBot="1">
      <c r="A53" s="101"/>
      <c r="B53" s="136">
        <v>9</v>
      </c>
      <c r="C53" s="315">
        <f>IF(B53&gt;SS!$C$13,"-",SS!$C$10)</f>
        <v>50000</v>
      </c>
      <c r="D53" s="317"/>
      <c r="E53" s="333">
        <v>0</v>
      </c>
      <c r="F53" s="334"/>
      <c r="G53" s="315">
        <f>IF(B53&lt;=SS!$C$9,IFERROR(IF(SS!$C$10&gt;=30000,$AE$3,$AD$3)*SUM($C$45:C53),"-"),0)</f>
        <v>27000</v>
      </c>
      <c r="H53" s="317"/>
      <c r="I53" s="315" t="str">
        <f>IF(B53=SS!$C$9,AH54+$P$28,"-")</f>
        <v>-</v>
      </c>
      <c r="J53" s="317"/>
      <c r="K53" s="315">
        <f ca="1">IF(B53&lt;=SS!$C$9,SUM($G$45:G53)+MAX($P$28,10*SS!$C$10,105%*SUM($AF$46:AF54)),0)</f>
        <v>804500</v>
      </c>
      <c r="L53" s="317"/>
      <c r="M53" s="330" t="e">
        <f>IF(B53&lt;=SS!$C$9,AD37*SUM($AF$46:AF54),"-")</f>
        <v>#N/A</v>
      </c>
      <c r="N53" s="332"/>
      <c r="O53" s="330" t="e">
        <f ca="1">((IF(B53&gt;SS!$C$13,1,'Output OLD'!B53/SS!$C$13)*SS!$C$11)+SUM($G$45:G53))*IF(AD56="NA",0,AD56)</f>
        <v>#N/A</v>
      </c>
      <c r="P53" s="331"/>
      <c r="Q53" s="332"/>
      <c r="R53" s="134"/>
      <c r="S53" s="135"/>
      <c r="T53" s="102"/>
      <c r="U53" s="102"/>
      <c r="V53" s="102"/>
      <c r="W53" s="102"/>
      <c r="X53" s="102"/>
      <c r="Y53" s="102"/>
      <c r="Z53" s="102"/>
      <c r="AA53" s="102"/>
      <c r="AC53" s="140">
        <v>6</v>
      </c>
      <c r="AD53" s="58" t="e">
        <f>VLOOKUP(B50,SSV!$C$9:$E$24,MATCH(SS!$C$13,SSV!$C$9:$E$9,0),FALSE)</f>
        <v>#N/A</v>
      </c>
      <c r="AF53" s="12">
        <f t="shared" ref="AF53:AF60" si="0">IF(B52&lt;=$F$30,$P$27*$AH$45,0)</f>
        <v>50000</v>
      </c>
      <c r="AH53" s="80">
        <f>SUM(G$45:G52)</f>
        <v>108000</v>
      </c>
    </row>
    <row r="54" spans="1:34" ht="15.75" thickBot="1">
      <c r="A54" s="101"/>
      <c r="B54" s="136">
        <v>10</v>
      </c>
      <c r="C54" s="315">
        <f>IF(B54&gt;SS!$C$13,"-",SS!$C$10)</f>
        <v>50000</v>
      </c>
      <c r="D54" s="317"/>
      <c r="E54" s="333">
        <v>0</v>
      </c>
      <c r="F54" s="334"/>
      <c r="G54" s="315">
        <f>IF(B54&lt;=SS!$C$9,IFERROR(IF(SS!$C$10&gt;=30000,$AE$3,$AD$3)*SUM($C$45:C54),"-"),0)</f>
        <v>30000</v>
      </c>
      <c r="H54" s="317"/>
      <c r="I54" s="315" t="str">
        <f>IF(B54=SS!$C$9,AH55+$P$28,"-")</f>
        <v>-</v>
      </c>
      <c r="J54" s="317"/>
      <c r="K54" s="315">
        <f ca="1">IF(B54&lt;=SS!$C$9,SUM($G$45:G54)+MAX($P$28,10*SS!$C$10,105%*SUM($AF$46:AF55)),0)</f>
        <v>834500</v>
      </c>
      <c r="L54" s="317"/>
      <c r="M54" s="330" t="e">
        <f>IF(B54&lt;=SS!$C$9,AD38*SUM($AF$46:AF55),"-")</f>
        <v>#N/A</v>
      </c>
      <c r="N54" s="332"/>
      <c r="O54" s="330" t="e">
        <f ca="1">((IF(B54&gt;SS!$C$13,1,'Output OLD'!B54/SS!$C$13)*SS!$C$11)+SUM($G$45:G54))*IF(AD57="NA",0,AD57)</f>
        <v>#N/A</v>
      </c>
      <c r="P54" s="331"/>
      <c r="Q54" s="332"/>
      <c r="R54" s="102"/>
      <c r="S54" s="141"/>
      <c r="T54" s="102"/>
      <c r="U54" s="102"/>
      <c r="V54" s="102"/>
      <c r="W54" s="102"/>
      <c r="X54" s="102"/>
      <c r="Y54" s="102"/>
      <c r="Z54" s="102"/>
      <c r="AA54" s="102"/>
      <c r="AC54" s="140">
        <v>7</v>
      </c>
      <c r="AD54" s="58" t="e">
        <f>VLOOKUP(B51,SSV!$C$9:$E$24,MATCH(SS!$C$13,SSV!$C$9:$E$9,0),FALSE)</f>
        <v>#N/A</v>
      </c>
      <c r="AF54" s="12">
        <f t="shared" si="0"/>
        <v>50000</v>
      </c>
      <c r="AH54" s="80">
        <f>SUM(G$45:G53)</f>
        <v>135000</v>
      </c>
    </row>
    <row r="55" spans="1:34" ht="15.75" thickBot="1">
      <c r="A55" s="101"/>
      <c r="B55" s="136">
        <v>11</v>
      </c>
      <c r="C55" s="315" t="str">
        <f>IF(B55&gt;SS!$C$13,"-",SS!$C$10)</f>
        <v>-</v>
      </c>
      <c r="D55" s="317"/>
      <c r="E55" s="333">
        <v>0</v>
      </c>
      <c r="F55" s="334"/>
      <c r="G55" s="315">
        <f>IF(B55&lt;=SS!$C$9,IFERROR(IF(SS!$C$10&gt;=30000,$AE$3,$AD$3)*SUM($C$45:C55),"-"),0)</f>
        <v>30000</v>
      </c>
      <c r="H55" s="317"/>
      <c r="I55" s="315" t="str">
        <f>IF(B55=SS!$C$9,AH56+$P$28,"-")</f>
        <v>-</v>
      </c>
      <c r="J55" s="317"/>
      <c r="K55" s="315">
        <f ca="1">IF(B55&lt;=SS!$C$9,SUM($G$45:G55)+MAX($P$28,10*SS!$C$10,105%*SUM($AF$46:AF56)),0)</f>
        <v>864500</v>
      </c>
      <c r="L55" s="317"/>
      <c r="M55" s="330" t="e">
        <f>IF(B55&lt;=SS!$C$9,AD39*SUM($AF$46:AF56),"-")</f>
        <v>#N/A</v>
      </c>
      <c r="N55" s="332"/>
      <c r="O55" s="330" t="e">
        <f ca="1">((IF(B55&gt;SS!$C$13,1,'Output OLD'!B55/SS!$C$13)*SS!$C$11)+SUM($G$45:G55))*IF(AD58="NA",0,AD58)</f>
        <v>#N/A</v>
      </c>
      <c r="P55" s="331"/>
      <c r="Q55" s="332"/>
      <c r="R55" s="102"/>
      <c r="S55" s="141"/>
      <c r="T55" s="102"/>
      <c r="U55" s="102"/>
      <c r="V55" s="102"/>
      <c r="W55" s="102"/>
      <c r="X55" s="102"/>
      <c r="Y55" s="102"/>
      <c r="Z55" s="102"/>
      <c r="AA55" s="102"/>
      <c r="AC55" s="140">
        <v>8</v>
      </c>
      <c r="AD55" s="58" t="e">
        <f>VLOOKUP(B52,SSV!$C$9:$E$24,MATCH(SS!$C$13,SSV!$C$9:$E$9,0),FALSE)</f>
        <v>#N/A</v>
      </c>
      <c r="AF55" s="12">
        <f t="shared" si="0"/>
        <v>50000</v>
      </c>
      <c r="AH55" s="80">
        <f>SUM(G$45:G54)</f>
        <v>165000</v>
      </c>
    </row>
    <row r="56" spans="1:34" ht="15.75" thickBot="1">
      <c r="A56" s="101"/>
      <c r="B56" s="136">
        <v>12</v>
      </c>
      <c r="C56" s="315" t="str">
        <f>IF(B56&gt;SS!$C$13,"-",SS!$C$10)</f>
        <v>-</v>
      </c>
      <c r="D56" s="317"/>
      <c r="E56" s="333">
        <v>0</v>
      </c>
      <c r="F56" s="334"/>
      <c r="G56" s="315">
        <f>IF(B56&lt;=SS!$C$9,IFERROR(IF(SS!$C$10&gt;=30000,$AE$3,$AD$3)*SUM($C$45:C56),"-"),0)</f>
        <v>30000</v>
      </c>
      <c r="H56" s="317"/>
      <c r="I56" s="315" t="str">
        <f>IF(B56=SS!$C$9,AH57+$P$28,"-")</f>
        <v>-</v>
      </c>
      <c r="J56" s="317"/>
      <c r="K56" s="315">
        <f ca="1">IF(B56&lt;=SS!$C$9,SUM($G$45:G56)+MAX($P$28,10*SS!$C$10,105%*SUM($AF$46:AF57)),0)</f>
        <v>894500</v>
      </c>
      <c r="L56" s="317"/>
      <c r="M56" s="330" t="e">
        <f>IF(B56&lt;=SS!$C$9,AD40*SUM($AF$46:AF57),"-")</f>
        <v>#N/A</v>
      </c>
      <c r="N56" s="332"/>
      <c r="O56" s="330" t="e">
        <f ca="1">((IF(B56&gt;SS!$C$13,1,'Output OLD'!B56/SS!$C$13)*SS!$C$11)+SUM($G$45:G56))*IF(AD59="NA",0,AD59)</f>
        <v>#N/A</v>
      </c>
      <c r="P56" s="331"/>
      <c r="Q56" s="332"/>
      <c r="R56" s="102"/>
      <c r="S56" s="141"/>
      <c r="T56" s="102"/>
      <c r="U56" s="102"/>
      <c r="V56" s="102"/>
      <c r="W56" s="102"/>
      <c r="X56" s="102"/>
      <c r="Y56" s="102"/>
      <c r="Z56" s="102"/>
      <c r="AA56" s="102"/>
      <c r="AC56" s="140">
        <v>9</v>
      </c>
      <c r="AD56" s="58" t="e">
        <f>VLOOKUP(B53,SSV!$C$9:$E$24,MATCH(SS!$C$13,SSV!$C$9:$E$9,0),FALSE)</f>
        <v>#N/A</v>
      </c>
      <c r="AF56" s="12">
        <f t="shared" si="0"/>
        <v>0</v>
      </c>
      <c r="AH56" s="80">
        <f>SUM(G$45:G55)</f>
        <v>195000</v>
      </c>
    </row>
    <row r="57" spans="1:34" ht="15.75" thickBot="1">
      <c r="A57" s="101"/>
      <c r="B57" s="136">
        <v>13</v>
      </c>
      <c r="C57" s="315" t="str">
        <f>IF(B57&gt;SS!$C$13,"-",SS!$C$10)</f>
        <v>-</v>
      </c>
      <c r="D57" s="317"/>
      <c r="E57" s="333">
        <v>0</v>
      </c>
      <c r="F57" s="334"/>
      <c r="G57" s="315">
        <f>IF(B57&lt;=SS!$C$9,IFERROR(IF(SS!$C$10&gt;=30000,$AE$3,$AD$3)*SUM($C$45:C57),"-"),0)</f>
        <v>30000</v>
      </c>
      <c r="H57" s="317"/>
      <c r="I57" s="315" t="str">
        <f>IF(B57=SS!$C$9,AH58+$P$28,"-")</f>
        <v>-</v>
      </c>
      <c r="J57" s="317"/>
      <c r="K57" s="315">
        <f ca="1">IF(B57&lt;=SS!$C$9,SUM($G$45:G57)+MAX($P$28,10*SS!$C$10,105%*SUM($AF$46:AF58)),0)</f>
        <v>924500</v>
      </c>
      <c r="L57" s="317"/>
      <c r="M57" s="330" t="e">
        <f>IF(B57&lt;=SS!$C$9,AD41*SUM($AF$46:AF58),"-")</f>
        <v>#N/A</v>
      </c>
      <c r="N57" s="332"/>
      <c r="O57" s="330" t="e">
        <f ca="1">((IF(B57&gt;SS!$C$13,1,'Output OLD'!B57/SS!$C$13)*SS!$C$11)+SUM($G$45:G57))*IF(AD60="NA",0,AD60)</f>
        <v>#N/A</v>
      </c>
      <c r="P57" s="331"/>
      <c r="Q57" s="332"/>
      <c r="R57" s="102"/>
      <c r="S57" s="141"/>
      <c r="T57" s="102"/>
      <c r="U57" s="102"/>
      <c r="V57" s="102"/>
      <c r="W57" s="102"/>
      <c r="X57" s="102"/>
      <c r="Y57" s="102"/>
      <c r="Z57" s="102"/>
      <c r="AA57" s="102"/>
      <c r="AC57" s="140">
        <v>10</v>
      </c>
      <c r="AD57" s="58" t="e">
        <f>VLOOKUP(B54,SSV!$C$9:$E$24,MATCH(SS!$C$13,SSV!$C$9:$E$9,0),FALSE)</f>
        <v>#N/A</v>
      </c>
      <c r="AF57" s="12">
        <f t="shared" si="0"/>
        <v>0</v>
      </c>
      <c r="AH57" s="80">
        <f>SUM(G$45:G56)</f>
        <v>225000</v>
      </c>
    </row>
    <row r="58" spans="1:34" ht="15.75" thickBot="1">
      <c r="A58" s="101"/>
      <c r="B58" s="136">
        <v>14</v>
      </c>
      <c r="C58" s="315" t="str">
        <f>IF(B58&gt;SS!$C$13,"-",SS!$C$10)</f>
        <v>-</v>
      </c>
      <c r="D58" s="317"/>
      <c r="E58" s="333">
        <v>0</v>
      </c>
      <c r="F58" s="334"/>
      <c r="G58" s="315">
        <f>IF(B58&lt;=SS!$C$9,IFERROR(IF(SS!$C$10&gt;=30000,$AE$3,$AD$3)*SUM($C$45:C58),"-"),0)</f>
        <v>30000</v>
      </c>
      <c r="H58" s="317"/>
      <c r="I58" s="315" t="str">
        <f>IF(B58=SS!$C$9,AH59+$P$28,"-")</f>
        <v>-</v>
      </c>
      <c r="J58" s="317"/>
      <c r="K58" s="315">
        <f ca="1">IF(B58&lt;=SS!$C$9,SUM($G$45:G58)+MAX($P$28,10*SS!$C$10,105%*SUM($AF$46:AF59)),0)</f>
        <v>954500</v>
      </c>
      <c r="L58" s="317"/>
      <c r="M58" s="330" t="e">
        <f>IF(B58&lt;=SS!$C$9,AD42*SUM($AF$46:AF59),"-")</f>
        <v>#N/A</v>
      </c>
      <c r="N58" s="332"/>
      <c r="O58" s="330" t="e">
        <f ca="1">((IF(B58&gt;SS!$C$13,1,'Output OLD'!B58/SS!$C$13)*SS!$C$11)+SUM($G$45:G58))*IF(AD61="NA",0,AD61)</f>
        <v>#N/A</v>
      </c>
      <c r="P58" s="331"/>
      <c r="Q58" s="332"/>
      <c r="R58" s="102"/>
      <c r="S58" s="141"/>
      <c r="T58" s="102"/>
      <c r="U58" s="102"/>
      <c r="V58" s="102"/>
      <c r="W58" s="102"/>
      <c r="X58" s="102"/>
      <c r="Y58" s="102"/>
      <c r="Z58" s="102"/>
      <c r="AA58" s="102"/>
      <c r="AC58" s="140">
        <v>11</v>
      </c>
      <c r="AD58" s="58" t="e">
        <f>VLOOKUP(B55,SSV!$C$9:$E$24,MATCH(SS!$C$13,SSV!$C$9:$E$9,0),FALSE)</f>
        <v>#N/A</v>
      </c>
      <c r="AF58" s="12">
        <f t="shared" si="0"/>
        <v>0</v>
      </c>
      <c r="AH58" s="80">
        <f>SUM(G$45:G57)</f>
        <v>255000</v>
      </c>
    </row>
    <row r="59" spans="1:34" ht="15.75" thickBot="1">
      <c r="A59" s="101"/>
      <c r="B59" s="136">
        <v>15</v>
      </c>
      <c r="C59" s="315" t="str">
        <f>IF(B59&gt;SS!$C$13,"-",SS!$C$10)</f>
        <v>-</v>
      </c>
      <c r="D59" s="317"/>
      <c r="E59" s="333">
        <v>0</v>
      </c>
      <c r="F59" s="334"/>
      <c r="G59" s="315">
        <f>IF(B59&lt;=SS!$C$9,IFERROR(IF(SS!$C$10&gt;=30000,$AE$3,$AD$3)*SUM($C$45:C59),"-"),0)</f>
        <v>30000</v>
      </c>
      <c r="H59" s="317"/>
      <c r="I59" s="315" t="str">
        <f>IF(B59=SS!$C$9,AH60+$P$28,"-")</f>
        <v>-</v>
      </c>
      <c r="J59" s="317"/>
      <c r="K59" s="315">
        <f ca="1">IF(B59&lt;=SS!$C$9,SUM($G$45:G59)+MAX($P$28,10*SS!$C$10,105%*SUM($AF$46:AF60)),0)</f>
        <v>984500</v>
      </c>
      <c r="L59" s="317"/>
      <c r="M59" s="330" t="e">
        <f>IF(B59&lt;=SS!$C$9,AD43*SUM($AF$46:AF60),"-")</f>
        <v>#N/A</v>
      </c>
      <c r="N59" s="332"/>
      <c r="O59" s="330" t="e">
        <f ca="1">((IF(B59&gt;SS!$C$13,1,'Output OLD'!B59/SS!$C$13)*SS!$C$11)+SUM($G$45:G59))*IF(AD62="NA",0,AD62)</f>
        <v>#N/A</v>
      </c>
      <c r="P59" s="331"/>
      <c r="Q59" s="332"/>
      <c r="R59" s="102"/>
      <c r="S59" s="141"/>
      <c r="T59" s="102"/>
      <c r="U59" s="102"/>
      <c r="V59" s="102"/>
      <c r="W59" s="102"/>
      <c r="X59" s="102"/>
      <c r="Y59" s="102"/>
      <c r="Z59" s="102"/>
      <c r="AA59" s="102"/>
      <c r="AC59" s="140">
        <v>12</v>
      </c>
      <c r="AD59" s="58" t="e">
        <f>VLOOKUP(B56,SSV!$C$9:$E$24,MATCH(SS!$C$13,SSV!$C$9:$E$9,0),FALSE)</f>
        <v>#N/A</v>
      </c>
      <c r="AF59" s="12">
        <f t="shared" si="0"/>
        <v>0</v>
      </c>
      <c r="AH59" s="80">
        <f>SUM(G$45:G58)</f>
        <v>285000</v>
      </c>
    </row>
    <row r="60" spans="1:34" ht="15.75" thickBot="1">
      <c r="A60" s="101"/>
      <c r="B60" s="102"/>
      <c r="C60" s="102"/>
      <c r="D60" s="102"/>
      <c r="E60" s="102"/>
      <c r="F60" s="102"/>
      <c r="G60" s="102"/>
      <c r="H60" s="102"/>
      <c r="I60" s="102"/>
      <c r="J60" s="102"/>
      <c r="K60" s="102"/>
      <c r="L60" s="102"/>
      <c r="M60" s="119"/>
      <c r="N60" s="119"/>
      <c r="O60" s="102"/>
      <c r="P60" s="102"/>
      <c r="Q60" s="102"/>
      <c r="R60" s="102"/>
      <c r="S60" s="103"/>
      <c r="T60" s="102"/>
      <c r="U60" s="102"/>
      <c r="V60" s="102"/>
      <c r="W60" s="102"/>
      <c r="X60" s="102"/>
      <c r="Y60" s="102"/>
      <c r="Z60" s="102"/>
      <c r="AA60" s="102"/>
      <c r="AC60" s="140">
        <v>13</v>
      </c>
      <c r="AD60" s="58" t="e">
        <f>VLOOKUP(B57,SSV!$C$9:$E$24,MATCH(SS!$C$13,SSV!$C$9:$E$9,0),FALSE)</f>
        <v>#N/A</v>
      </c>
      <c r="AF60" s="12">
        <f t="shared" si="0"/>
        <v>0</v>
      </c>
      <c r="AH60" s="80">
        <f>SUM(G$45:G59)</f>
        <v>315000</v>
      </c>
    </row>
    <row r="61" spans="1:34" ht="15.75" thickBot="1">
      <c r="A61" s="142" t="s">
        <v>154</v>
      </c>
      <c r="B61" s="102"/>
      <c r="C61" s="102"/>
      <c r="D61" s="102"/>
      <c r="E61" s="102"/>
      <c r="F61" s="102"/>
      <c r="G61" s="102"/>
      <c r="H61" s="102"/>
      <c r="I61" s="102"/>
      <c r="J61" s="102"/>
      <c r="K61" s="102"/>
      <c r="L61" s="102"/>
      <c r="M61" s="102"/>
      <c r="N61" s="102"/>
      <c r="O61" s="102"/>
      <c r="P61" s="102"/>
      <c r="Q61" s="102"/>
      <c r="R61" s="102"/>
      <c r="S61" s="103"/>
      <c r="T61" s="102"/>
      <c r="U61" s="102"/>
      <c r="V61" s="102"/>
      <c r="W61" s="102"/>
      <c r="X61" s="102"/>
      <c r="Y61" s="102"/>
      <c r="Z61" s="102"/>
      <c r="AA61" s="102"/>
      <c r="AC61" s="140">
        <v>14</v>
      </c>
      <c r="AD61" s="58" t="e">
        <f>VLOOKUP(B58,SSV!$C$9:$E$24,MATCH(SS!$C$13,SSV!$C$9:$E$9,0),FALSE)</f>
        <v>#N/A</v>
      </c>
      <c r="AH61" s="80"/>
    </row>
    <row r="62" spans="1:34" s="155" customFormat="1" ht="31.5" customHeight="1" thickBot="1">
      <c r="A62" s="282" t="s">
        <v>163</v>
      </c>
      <c r="B62" s="283"/>
      <c r="C62" s="283"/>
      <c r="D62" s="283"/>
      <c r="E62" s="283"/>
      <c r="F62" s="283"/>
      <c r="G62" s="283"/>
      <c r="H62" s="283"/>
      <c r="I62" s="283"/>
      <c r="J62" s="283"/>
      <c r="K62" s="283"/>
      <c r="L62" s="283"/>
      <c r="M62" s="283"/>
      <c r="N62" s="283"/>
      <c r="O62" s="283"/>
      <c r="P62" s="283"/>
      <c r="Q62" s="283"/>
      <c r="R62" s="283"/>
      <c r="S62" s="284"/>
      <c r="W62" s="102"/>
      <c r="X62" s="102"/>
      <c r="Y62" s="102"/>
      <c r="Z62" s="102"/>
      <c r="AA62" s="102"/>
      <c r="AC62" s="155">
        <v>15</v>
      </c>
      <c r="AD62" s="58" t="e">
        <f>VLOOKUP(B59,SSV!$C$9:$E$24,MATCH(SS!$C$13,SSV!$C$9:$E$9,0),FALSE)</f>
        <v>#N/A</v>
      </c>
      <c r="AF62" s="12"/>
    </row>
    <row r="63" spans="1:34">
      <c r="A63" s="280" t="s">
        <v>155</v>
      </c>
      <c r="B63" s="251"/>
      <c r="C63" s="251"/>
      <c r="D63" s="251"/>
      <c r="E63" s="251"/>
      <c r="F63" s="251"/>
      <c r="G63" s="251"/>
      <c r="H63" s="251"/>
      <c r="I63" s="251"/>
      <c r="J63" s="251"/>
      <c r="K63" s="251"/>
      <c r="L63" s="251"/>
      <c r="M63" s="251"/>
      <c r="N63" s="251"/>
      <c r="O63" s="251"/>
      <c r="P63" s="251"/>
      <c r="Q63" s="251"/>
      <c r="R63" s="251"/>
      <c r="S63" s="281"/>
      <c r="T63" s="102"/>
      <c r="U63" s="102"/>
      <c r="V63" s="102"/>
      <c r="W63" s="102"/>
      <c r="X63" s="102"/>
      <c r="Y63" s="102"/>
      <c r="Z63" s="102"/>
      <c r="AA63" s="102"/>
    </row>
    <row r="64" spans="1:34" ht="31.5" customHeight="1">
      <c r="A64" s="277" t="s">
        <v>164</v>
      </c>
      <c r="B64" s="278"/>
      <c r="C64" s="278"/>
      <c r="D64" s="278"/>
      <c r="E64" s="278"/>
      <c r="F64" s="278"/>
      <c r="G64" s="278"/>
      <c r="H64" s="278"/>
      <c r="I64" s="278"/>
      <c r="J64" s="278"/>
      <c r="K64" s="278"/>
      <c r="L64" s="278"/>
      <c r="M64" s="278"/>
      <c r="N64" s="278"/>
      <c r="O64" s="278"/>
      <c r="P64" s="278"/>
      <c r="Q64" s="278"/>
      <c r="R64" s="278"/>
      <c r="S64" s="279"/>
      <c r="T64" s="102"/>
      <c r="U64" s="102"/>
      <c r="V64" s="102"/>
      <c r="W64" s="102"/>
      <c r="X64" s="102"/>
      <c r="Y64" s="102"/>
      <c r="Z64" s="102"/>
      <c r="AA64" s="102"/>
      <c r="AC64" s="143"/>
    </row>
    <row r="65" spans="1:35">
      <c r="A65" s="152"/>
      <c r="B65" s="153"/>
      <c r="C65" s="153"/>
      <c r="D65" s="153"/>
      <c r="E65" s="153"/>
      <c r="F65" s="153"/>
      <c r="G65" s="153"/>
      <c r="H65" s="153"/>
      <c r="I65" s="153"/>
      <c r="J65" s="153"/>
      <c r="K65" s="153"/>
      <c r="L65" s="153"/>
      <c r="M65" s="153"/>
      <c r="N65" s="153"/>
      <c r="O65" s="153"/>
      <c r="P65" s="153"/>
      <c r="Q65" s="153"/>
      <c r="R65" s="153"/>
      <c r="S65" s="154"/>
      <c r="T65" s="102"/>
      <c r="U65" s="102"/>
      <c r="V65" s="102"/>
      <c r="W65" s="102"/>
      <c r="X65" s="102"/>
      <c r="Y65" s="102"/>
      <c r="Z65" s="102"/>
      <c r="AA65" s="102"/>
    </row>
    <row r="66" spans="1:35" ht="15" customHeight="1">
      <c r="A66" s="274"/>
      <c r="B66" s="275"/>
      <c r="C66" s="275"/>
      <c r="D66" s="275"/>
      <c r="E66" s="275"/>
      <c r="F66" s="275"/>
      <c r="G66" s="275"/>
      <c r="H66" s="275"/>
      <c r="I66" s="275"/>
      <c r="J66" s="275"/>
      <c r="K66" s="275"/>
      <c r="L66" s="275"/>
      <c r="M66" s="275"/>
      <c r="N66" s="275"/>
      <c r="O66" s="275"/>
      <c r="P66" s="275"/>
      <c r="Q66" s="275"/>
      <c r="R66" s="275"/>
      <c r="S66" s="276"/>
      <c r="T66" s="102"/>
      <c r="U66" s="102"/>
      <c r="V66" s="102"/>
      <c r="W66" s="102"/>
      <c r="X66" s="102"/>
      <c r="Y66" s="102"/>
      <c r="Z66" s="102"/>
      <c r="AA66" s="102"/>
    </row>
    <row r="67" spans="1:35">
      <c r="A67" s="271" t="s">
        <v>156</v>
      </c>
      <c r="B67" s="272"/>
      <c r="C67" s="272"/>
      <c r="D67" s="272"/>
      <c r="E67" s="272"/>
      <c r="F67" s="272"/>
      <c r="G67" s="272"/>
      <c r="H67" s="272"/>
      <c r="I67" s="272"/>
      <c r="J67" s="272"/>
      <c r="K67" s="272"/>
      <c r="L67" s="272"/>
      <c r="M67" s="272"/>
      <c r="N67" s="272"/>
      <c r="O67" s="272"/>
      <c r="P67" s="272"/>
      <c r="Q67" s="272"/>
      <c r="R67" s="272"/>
      <c r="S67" s="273"/>
      <c r="T67" s="102"/>
      <c r="U67" s="102"/>
      <c r="V67" s="102"/>
      <c r="W67" s="102"/>
      <c r="X67" s="102"/>
      <c r="Y67" s="102"/>
      <c r="Z67" s="102"/>
      <c r="AA67" s="102"/>
      <c r="AI67" s="80"/>
    </row>
    <row r="68" spans="1:35" ht="15" customHeight="1">
      <c r="A68" s="144"/>
      <c r="B68" s="145"/>
      <c r="C68" s="145"/>
      <c r="D68" s="145"/>
      <c r="E68" s="145"/>
      <c r="F68" s="145"/>
      <c r="G68" s="145"/>
      <c r="H68" s="145"/>
      <c r="I68" s="145"/>
      <c r="J68" s="102"/>
      <c r="K68" s="102"/>
      <c r="L68" s="102"/>
      <c r="M68" s="102"/>
      <c r="N68" s="102"/>
      <c r="O68" s="102"/>
      <c r="P68" s="102"/>
      <c r="Q68" s="102"/>
      <c r="R68" s="102"/>
      <c r="S68" s="103"/>
      <c r="T68" s="102"/>
      <c r="U68" s="102"/>
      <c r="V68" s="102"/>
      <c r="W68" s="102"/>
      <c r="X68" s="102"/>
      <c r="Y68" s="102"/>
      <c r="Z68" s="102"/>
      <c r="AA68" s="102"/>
    </row>
    <row r="69" spans="1:35">
      <c r="A69" s="268" t="s">
        <v>62</v>
      </c>
      <c r="B69" s="269"/>
      <c r="C69" s="269"/>
      <c r="D69" s="269"/>
      <c r="E69" s="269"/>
      <c r="F69" s="269"/>
      <c r="G69" s="269"/>
      <c r="H69" s="269"/>
      <c r="I69" s="269"/>
      <c r="J69" s="269"/>
      <c r="K69" s="269"/>
      <c r="L69" s="269"/>
      <c r="M69" s="269"/>
      <c r="N69" s="269"/>
      <c r="O69" s="269"/>
      <c r="P69" s="269"/>
      <c r="Q69" s="269"/>
      <c r="R69" s="269"/>
      <c r="S69" s="270"/>
      <c r="T69" s="102"/>
      <c r="U69" s="102"/>
      <c r="V69" s="102"/>
      <c r="W69" s="102"/>
      <c r="X69" s="102"/>
      <c r="Y69" s="102"/>
      <c r="Z69" s="102"/>
      <c r="AA69" s="102"/>
    </row>
    <row r="70" spans="1:35">
      <c r="A70" s="101"/>
      <c r="B70" s="146"/>
      <c r="C70" s="146"/>
      <c r="D70" s="146"/>
      <c r="E70" s="146"/>
      <c r="F70" s="146"/>
      <c r="G70" s="146"/>
      <c r="H70" s="146"/>
      <c r="I70" s="146"/>
      <c r="J70" s="102"/>
      <c r="K70" s="102"/>
      <c r="L70" s="102"/>
      <c r="M70" s="102"/>
      <c r="N70" s="102"/>
      <c r="O70" s="102"/>
      <c r="P70" s="102"/>
      <c r="Q70" s="102"/>
      <c r="R70" s="102"/>
      <c r="S70" s="103"/>
      <c r="T70" s="102"/>
      <c r="U70" s="102"/>
      <c r="V70" s="102"/>
      <c r="W70" s="102"/>
      <c r="X70" s="102"/>
      <c r="Y70" s="102"/>
      <c r="Z70" s="102"/>
      <c r="AA70" s="102"/>
    </row>
    <row r="71" spans="1:35">
      <c r="A71" s="101"/>
      <c r="B71" s="102"/>
      <c r="C71" s="102"/>
      <c r="D71" s="102"/>
      <c r="E71" s="102"/>
      <c r="F71" s="102"/>
      <c r="G71" s="102"/>
      <c r="H71" s="102"/>
      <c r="I71" s="102"/>
      <c r="J71" s="102"/>
      <c r="K71" s="102"/>
      <c r="L71" s="102"/>
      <c r="M71" s="102"/>
      <c r="N71" s="102"/>
      <c r="O71" s="102"/>
      <c r="P71" s="102"/>
      <c r="Q71" s="102"/>
      <c r="R71" s="102"/>
      <c r="S71" s="103"/>
      <c r="T71" s="102"/>
      <c r="U71" s="102"/>
      <c r="V71" s="102"/>
      <c r="W71" s="102"/>
      <c r="X71" s="102"/>
      <c r="Y71" s="102"/>
      <c r="Z71" s="102"/>
      <c r="AA71" s="102"/>
    </row>
    <row r="72" spans="1:35" ht="15" customHeight="1">
      <c r="A72" s="337" t="s">
        <v>157</v>
      </c>
      <c r="B72" s="338"/>
      <c r="C72" s="338"/>
      <c r="D72" s="338"/>
      <c r="E72" s="338"/>
      <c r="F72" s="338"/>
      <c r="G72" s="338"/>
      <c r="H72" s="338"/>
      <c r="I72" s="339"/>
      <c r="J72" s="102"/>
      <c r="K72" s="337" t="str">
        <f>CONCATENATE("I",","," ",P15,","," ","having received the information with respect to the above, have understood the above statement before entering into the contract.")</f>
        <v>I, Biswajit, having received the information with respect to the above, have understood the above statement before entering into the contract.</v>
      </c>
      <c r="L72" s="338"/>
      <c r="M72" s="338"/>
      <c r="N72" s="338"/>
      <c r="O72" s="338"/>
      <c r="P72" s="338"/>
      <c r="Q72" s="338"/>
      <c r="R72" s="338"/>
      <c r="S72" s="339"/>
      <c r="T72" s="102"/>
      <c r="U72" s="102"/>
      <c r="V72" s="102"/>
      <c r="W72" s="102"/>
      <c r="X72" s="102"/>
      <c r="Y72" s="102"/>
      <c r="Z72" s="102"/>
      <c r="AA72" s="102"/>
    </row>
    <row r="73" spans="1:35">
      <c r="A73" s="340"/>
      <c r="B73" s="341"/>
      <c r="C73" s="341"/>
      <c r="D73" s="341"/>
      <c r="E73" s="341"/>
      <c r="F73" s="341"/>
      <c r="G73" s="341"/>
      <c r="H73" s="341"/>
      <c r="I73" s="342"/>
      <c r="J73" s="102"/>
      <c r="K73" s="340"/>
      <c r="L73" s="341"/>
      <c r="M73" s="341"/>
      <c r="N73" s="341"/>
      <c r="O73" s="341"/>
      <c r="P73" s="341"/>
      <c r="Q73" s="341"/>
      <c r="R73" s="341"/>
      <c r="S73" s="342"/>
      <c r="T73" s="102"/>
      <c r="U73" s="102"/>
      <c r="V73" s="102"/>
      <c r="W73" s="102"/>
      <c r="X73" s="102"/>
      <c r="Y73" s="102"/>
      <c r="Z73" s="102"/>
      <c r="AA73" s="102"/>
    </row>
    <row r="74" spans="1:35">
      <c r="A74" s="340"/>
      <c r="B74" s="341"/>
      <c r="C74" s="341"/>
      <c r="D74" s="341"/>
      <c r="E74" s="341"/>
      <c r="F74" s="341"/>
      <c r="G74" s="341"/>
      <c r="H74" s="341"/>
      <c r="I74" s="342"/>
      <c r="J74" s="102"/>
      <c r="K74" s="340"/>
      <c r="L74" s="341"/>
      <c r="M74" s="341"/>
      <c r="N74" s="341"/>
      <c r="O74" s="341"/>
      <c r="P74" s="341"/>
      <c r="Q74" s="341"/>
      <c r="R74" s="341"/>
      <c r="S74" s="342"/>
      <c r="T74" s="102"/>
      <c r="U74" s="102"/>
      <c r="V74" s="102"/>
      <c r="W74" s="102"/>
      <c r="X74" s="102"/>
      <c r="Y74" s="102"/>
      <c r="Z74" s="102"/>
      <c r="AA74" s="102"/>
    </row>
    <row r="75" spans="1:35">
      <c r="A75" s="343"/>
      <c r="B75" s="344"/>
      <c r="C75" s="344"/>
      <c r="D75" s="344"/>
      <c r="E75" s="344"/>
      <c r="F75" s="344"/>
      <c r="G75" s="344"/>
      <c r="H75" s="344"/>
      <c r="I75" s="345"/>
      <c r="J75" s="102"/>
      <c r="K75" s="343"/>
      <c r="L75" s="344"/>
      <c r="M75" s="344"/>
      <c r="N75" s="344"/>
      <c r="O75" s="344"/>
      <c r="P75" s="344"/>
      <c r="Q75" s="344"/>
      <c r="R75" s="344"/>
      <c r="S75" s="345"/>
      <c r="T75" s="102"/>
      <c r="U75" s="102"/>
      <c r="V75" s="102"/>
      <c r="W75" s="102"/>
      <c r="X75" s="102"/>
      <c r="Y75" s="102"/>
      <c r="Z75" s="102"/>
      <c r="AA75" s="102"/>
    </row>
    <row r="76" spans="1:35">
      <c r="A76" s="343"/>
      <c r="B76" s="344"/>
      <c r="C76" s="344"/>
      <c r="D76" s="344"/>
      <c r="E76" s="344"/>
      <c r="F76" s="344"/>
      <c r="G76" s="344"/>
      <c r="H76" s="344"/>
      <c r="I76" s="345"/>
      <c r="J76" s="102"/>
      <c r="K76" s="343"/>
      <c r="L76" s="344"/>
      <c r="M76" s="344"/>
      <c r="N76" s="344"/>
      <c r="O76" s="344"/>
      <c r="P76" s="344"/>
      <c r="Q76" s="344"/>
      <c r="R76" s="344"/>
      <c r="S76" s="345"/>
      <c r="T76" s="102"/>
      <c r="U76" s="102"/>
      <c r="V76" s="102"/>
      <c r="W76" s="102"/>
      <c r="X76" s="102"/>
      <c r="Y76" s="102"/>
      <c r="Z76" s="102"/>
      <c r="AA76" s="102"/>
    </row>
    <row r="77" spans="1:35">
      <c r="A77" s="101" t="s">
        <v>158</v>
      </c>
      <c r="B77" s="344"/>
      <c r="C77" s="344"/>
      <c r="D77" s="344"/>
      <c r="E77" s="344"/>
      <c r="F77" s="344"/>
      <c r="G77" s="344"/>
      <c r="H77" s="344"/>
      <c r="I77" s="345"/>
      <c r="J77" s="102"/>
      <c r="K77" s="101" t="s">
        <v>158</v>
      </c>
      <c r="L77" s="344"/>
      <c r="M77" s="344"/>
      <c r="N77" s="344"/>
      <c r="O77" s="344"/>
      <c r="P77" s="344"/>
      <c r="Q77" s="344"/>
      <c r="R77" s="344"/>
      <c r="S77" s="345"/>
      <c r="T77" s="102"/>
      <c r="U77" s="102"/>
      <c r="V77" s="102"/>
      <c r="W77" s="102"/>
      <c r="X77" s="102"/>
      <c r="Y77" s="102"/>
      <c r="Z77" s="102"/>
      <c r="AA77" s="102"/>
    </row>
    <row r="78" spans="1:35">
      <c r="A78" s="147" t="s">
        <v>159</v>
      </c>
      <c r="B78" s="335"/>
      <c r="C78" s="335"/>
      <c r="D78" s="335"/>
      <c r="E78" s="335" t="s">
        <v>160</v>
      </c>
      <c r="F78" s="335"/>
      <c r="G78" s="335"/>
      <c r="H78" s="335"/>
      <c r="I78" s="336"/>
      <c r="J78" s="148"/>
      <c r="K78" s="147" t="s">
        <v>159</v>
      </c>
      <c r="L78" s="335"/>
      <c r="M78" s="335"/>
      <c r="N78" s="335"/>
      <c r="O78" s="335" t="s">
        <v>161</v>
      </c>
      <c r="P78" s="335"/>
      <c r="Q78" s="335"/>
      <c r="R78" s="335"/>
      <c r="S78" s="336"/>
      <c r="T78" s="102"/>
      <c r="U78" s="102"/>
      <c r="V78" s="102"/>
      <c r="W78" s="102"/>
      <c r="X78" s="130"/>
      <c r="Y78" s="130"/>
      <c r="Z78" s="130"/>
      <c r="AA78" s="130"/>
    </row>
  </sheetData>
  <mergeCells count="197">
    <mergeCell ref="B78:D78"/>
    <mergeCell ref="E78:I78"/>
    <mergeCell ref="L78:N78"/>
    <mergeCell ref="O78:S78"/>
    <mergeCell ref="A72:I74"/>
    <mergeCell ref="K72:S74"/>
    <mergeCell ref="A75:I76"/>
    <mergeCell ref="K75:S76"/>
    <mergeCell ref="B77:D77"/>
    <mergeCell ref="E77:I77"/>
    <mergeCell ref="L77:N77"/>
    <mergeCell ref="O77:S77"/>
    <mergeCell ref="O58:Q58"/>
    <mergeCell ref="C59:D59"/>
    <mergeCell ref="E59:F59"/>
    <mergeCell ref="G59:H59"/>
    <mergeCell ref="I59:J59"/>
    <mergeCell ref="K59:L59"/>
    <mergeCell ref="M59:N59"/>
    <mergeCell ref="O59:Q59"/>
    <mergeCell ref="C58:D58"/>
    <mergeCell ref="E58:F58"/>
    <mergeCell ref="G58:H58"/>
    <mergeCell ref="I58:J58"/>
    <mergeCell ref="K58:L58"/>
    <mergeCell ref="M58:N58"/>
    <mergeCell ref="O56:Q56"/>
    <mergeCell ref="C57:D57"/>
    <mergeCell ref="E57:F57"/>
    <mergeCell ref="G57:H57"/>
    <mergeCell ref="I57:J57"/>
    <mergeCell ref="K57:L57"/>
    <mergeCell ref="M57:N57"/>
    <mergeCell ref="O57:Q57"/>
    <mergeCell ref="C56:D56"/>
    <mergeCell ref="E56:F56"/>
    <mergeCell ref="G56:H56"/>
    <mergeCell ref="I56:J56"/>
    <mergeCell ref="K56:L56"/>
    <mergeCell ref="M56:N56"/>
    <mergeCell ref="O54:Q54"/>
    <mergeCell ref="C55:D55"/>
    <mergeCell ref="E55:F55"/>
    <mergeCell ref="G55:H55"/>
    <mergeCell ref="I55:J55"/>
    <mergeCell ref="K55:L55"/>
    <mergeCell ref="M55:N55"/>
    <mergeCell ref="O55:Q55"/>
    <mergeCell ref="C54:D54"/>
    <mergeCell ref="E54:F54"/>
    <mergeCell ref="G54:H54"/>
    <mergeCell ref="I54:J54"/>
    <mergeCell ref="K54:L54"/>
    <mergeCell ref="M54:N54"/>
    <mergeCell ref="O52:Q52"/>
    <mergeCell ref="C53:D53"/>
    <mergeCell ref="E53:F53"/>
    <mergeCell ref="G53:H53"/>
    <mergeCell ref="I53:J53"/>
    <mergeCell ref="K53:L53"/>
    <mergeCell ref="M53:N53"/>
    <mergeCell ref="O53:Q53"/>
    <mergeCell ref="C52:D52"/>
    <mergeCell ref="E52:F52"/>
    <mergeCell ref="G52:H52"/>
    <mergeCell ref="I52:J52"/>
    <mergeCell ref="K52:L52"/>
    <mergeCell ref="M52:N52"/>
    <mergeCell ref="O50:Q50"/>
    <mergeCell ref="C51:D51"/>
    <mergeCell ref="E51:F51"/>
    <mergeCell ref="G51:H51"/>
    <mergeCell ref="I51:J51"/>
    <mergeCell ref="K51:L51"/>
    <mergeCell ref="M51:N51"/>
    <mergeCell ref="O51:Q51"/>
    <mergeCell ref="C50:D50"/>
    <mergeCell ref="E50:F50"/>
    <mergeCell ref="G50:H50"/>
    <mergeCell ref="I50:J50"/>
    <mergeCell ref="K50:L50"/>
    <mergeCell ref="M50:N50"/>
    <mergeCell ref="O48:Q48"/>
    <mergeCell ref="C49:D49"/>
    <mergeCell ref="E49:F49"/>
    <mergeCell ref="G49:H49"/>
    <mergeCell ref="I49:J49"/>
    <mergeCell ref="K49:L49"/>
    <mergeCell ref="M49:N49"/>
    <mergeCell ref="O49:Q49"/>
    <mergeCell ref="C48:D48"/>
    <mergeCell ref="E48:F48"/>
    <mergeCell ref="G48:H48"/>
    <mergeCell ref="I48:J48"/>
    <mergeCell ref="K48:L48"/>
    <mergeCell ref="M48:N48"/>
    <mergeCell ref="O46:Q46"/>
    <mergeCell ref="C47:D47"/>
    <mergeCell ref="E47:F47"/>
    <mergeCell ref="G47:H47"/>
    <mergeCell ref="I47:J47"/>
    <mergeCell ref="K47:L47"/>
    <mergeCell ref="O45:Q45"/>
    <mergeCell ref="M47:N47"/>
    <mergeCell ref="O47:Q47"/>
    <mergeCell ref="C46:D46"/>
    <mergeCell ref="E46:F46"/>
    <mergeCell ref="G46:H46"/>
    <mergeCell ref="I46:J46"/>
    <mergeCell ref="K46:L46"/>
    <mergeCell ref="M46:N46"/>
    <mergeCell ref="C45:D45"/>
    <mergeCell ref="E45:F45"/>
    <mergeCell ref="G45:H45"/>
    <mergeCell ref="I45:J45"/>
    <mergeCell ref="K45:L45"/>
    <mergeCell ref="M45:N45"/>
    <mergeCell ref="B43:B44"/>
    <mergeCell ref="C43:D44"/>
    <mergeCell ref="E43:N43"/>
    <mergeCell ref="O43:Q43"/>
    <mergeCell ref="E44:F44"/>
    <mergeCell ref="G44:H44"/>
    <mergeCell ref="I44:J44"/>
    <mergeCell ref="K44:L44"/>
    <mergeCell ref="M44:N44"/>
    <mergeCell ref="O44:Q44"/>
    <mergeCell ref="J37:K37"/>
    <mergeCell ref="L37:M37"/>
    <mergeCell ref="N37:Q37"/>
    <mergeCell ref="J38:K38"/>
    <mergeCell ref="L38:M38"/>
    <mergeCell ref="N38:Q38"/>
    <mergeCell ref="A40:S40"/>
    <mergeCell ref="D38:I38"/>
    <mergeCell ref="D37:I37"/>
    <mergeCell ref="A33:S33"/>
    <mergeCell ref="D35:I35"/>
    <mergeCell ref="J35:K35"/>
    <mergeCell ref="L35:M35"/>
    <mergeCell ref="N35:Q35"/>
    <mergeCell ref="D36:I36"/>
    <mergeCell ref="J36:K36"/>
    <mergeCell ref="L36:M36"/>
    <mergeCell ref="N36:Q36"/>
    <mergeCell ref="A20:S20"/>
    <mergeCell ref="A21:S21"/>
    <mergeCell ref="A30:E30"/>
    <mergeCell ref="F30:H30"/>
    <mergeCell ref="J30:O30"/>
    <mergeCell ref="P30:S30"/>
    <mergeCell ref="A31:E31"/>
    <mergeCell ref="F31:H31"/>
    <mergeCell ref="J28:O28"/>
    <mergeCell ref="P28:S28"/>
    <mergeCell ref="A29:E29"/>
    <mergeCell ref="F29:H29"/>
    <mergeCell ref="J29:O29"/>
    <mergeCell ref="P29:S29"/>
    <mergeCell ref="A28:E28"/>
    <mergeCell ref="F28:H28"/>
    <mergeCell ref="A1:S1"/>
    <mergeCell ref="A2:S2"/>
    <mergeCell ref="A69:S69"/>
    <mergeCell ref="A67:S67"/>
    <mergeCell ref="A66:S66"/>
    <mergeCell ref="A64:S64"/>
    <mergeCell ref="A63:S63"/>
    <mergeCell ref="A62:S62"/>
    <mergeCell ref="A16:D16"/>
    <mergeCell ref="E16:H16"/>
    <mergeCell ref="L16:O16"/>
    <mergeCell ref="P16:S16"/>
    <mergeCell ref="A17:D17"/>
    <mergeCell ref="E17:H17"/>
    <mergeCell ref="L17:O17"/>
    <mergeCell ref="P17:S17"/>
    <mergeCell ref="A27:E27"/>
    <mergeCell ref="F27:H27"/>
    <mergeCell ref="A23:S23"/>
    <mergeCell ref="A25:S25"/>
    <mergeCell ref="J27:O27"/>
    <mergeCell ref="P27:S27"/>
    <mergeCell ref="L18:O18"/>
    <mergeCell ref="P18:S18"/>
    <mergeCell ref="AC2:AC3"/>
    <mergeCell ref="A3:S3"/>
    <mergeCell ref="A4:S4"/>
    <mergeCell ref="A6:S6"/>
    <mergeCell ref="A8:I8"/>
    <mergeCell ref="A10:B10"/>
    <mergeCell ref="A11:S11"/>
    <mergeCell ref="A13:S13"/>
    <mergeCell ref="A15:D15"/>
    <mergeCell ref="E15:H15"/>
    <mergeCell ref="L15:O15"/>
    <mergeCell ref="P15:S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J83"/>
  <sheetViews>
    <sheetView tabSelected="1" topLeftCell="A13" zoomScale="84" zoomScaleNormal="84" workbookViewId="0">
      <selection activeCell="AF46" sqref="AF46"/>
    </sheetView>
  </sheetViews>
  <sheetFormatPr defaultColWidth="15.28515625" defaultRowHeight="15"/>
  <cols>
    <col min="1" max="16384" width="15.28515625" style="12"/>
  </cols>
  <sheetData>
    <row r="1" spans="1:31" ht="15.75" thickBot="1">
      <c r="A1" s="262" t="s">
        <v>12</v>
      </c>
      <c r="B1" s="263"/>
      <c r="C1" s="263"/>
      <c r="D1" s="263"/>
      <c r="E1" s="263"/>
      <c r="F1" s="263"/>
      <c r="G1" s="263"/>
      <c r="H1" s="263"/>
      <c r="I1" s="263"/>
      <c r="J1" s="263"/>
      <c r="K1" s="263"/>
      <c r="L1" s="263"/>
      <c r="M1" s="263"/>
      <c r="N1" s="263"/>
      <c r="O1" s="263"/>
      <c r="P1" s="263"/>
      <c r="Q1" s="263"/>
      <c r="R1" s="263"/>
      <c r="S1" s="264"/>
      <c r="T1" s="179"/>
      <c r="U1" s="179"/>
      <c r="V1" s="179"/>
      <c r="W1" s="179"/>
      <c r="X1" s="179"/>
      <c r="Y1" s="179"/>
      <c r="Z1" s="179"/>
      <c r="AA1" s="179"/>
    </row>
    <row r="2" spans="1:31" ht="39" thickBot="1">
      <c r="A2" s="265" t="s">
        <v>114</v>
      </c>
      <c r="B2" s="266"/>
      <c r="C2" s="266"/>
      <c r="D2" s="266"/>
      <c r="E2" s="266"/>
      <c r="F2" s="266"/>
      <c r="G2" s="266"/>
      <c r="H2" s="266"/>
      <c r="I2" s="266"/>
      <c r="J2" s="266"/>
      <c r="K2" s="266"/>
      <c r="L2" s="266"/>
      <c r="M2" s="266"/>
      <c r="N2" s="266"/>
      <c r="O2" s="266"/>
      <c r="P2" s="266"/>
      <c r="Q2" s="266"/>
      <c r="R2" s="266"/>
      <c r="S2" s="267"/>
      <c r="T2" s="179"/>
      <c r="U2" s="179"/>
      <c r="V2" s="179"/>
      <c r="W2" s="179"/>
      <c r="X2" s="179"/>
      <c r="Y2" s="179"/>
      <c r="Z2" s="179"/>
      <c r="AA2" s="179"/>
      <c r="AC2" s="352" t="s">
        <v>36</v>
      </c>
      <c r="AD2" s="212" t="s">
        <v>49</v>
      </c>
      <c r="AE2" s="211" t="s">
        <v>50</v>
      </c>
    </row>
    <row r="3" spans="1:31" ht="15.75" thickBot="1">
      <c r="A3" s="244" t="s">
        <v>115</v>
      </c>
      <c r="B3" s="245"/>
      <c r="C3" s="245"/>
      <c r="D3" s="245"/>
      <c r="E3" s="245"/>
      <c r="F3" s="245"/>
      <c r="G3" s="245"/>
      <c r="H3" s="245"/>
      <c r="I3" s="245"/>
      <c r="J3" s="245"/>
      <c r="K3" s="245"/>
      <c r="L3" s="245"/>
      <c r="M3" s="245"/>
      <c r="N3" s="245"/>
      <c r="O3" s="245"/>
      <c r="P3" s="245"/>
      <c r="Q3" s="245"/>
      <c r="R3" s="245"/>
      <c r="S3" s="246"/>
      <c r="T3" s="181"/>
      <c r="U3" s="181"/>
      <c r="V3" s="181"/>
      <c r="W3" s="181"/>
      <c r="X3" s="181"/>
      <c r="Y3" s="181"/>
      <c r="Z3" s="181"/>
      <c r="AA3" s="181"/>
      <c r="AC3" s="353"/>
      <c r="AD3" s="210">
        <v>5.5E-2</v>
      </c>
      <c r="AE3" s="209">
        <v>0.06</v>
      </c>
    </row>
    <row r="4" spans="1:31">
      <c r="A4" s="244" t="s">
        <v>200</v>
      </c>
      <c r="B4" s="245"/>
      <c r="C4" s="245"/>
      <c r="D4" s="245"/>
      <c r="E4" s="245"/>
      <c r="F4" s="245"/>
      <c r="G4" s="245"/>
      <c r="H4" s="245"/>
      <c r="I4" s="245"/>
      <c r="J4" s="245"/>
      <c r="K4" s="245"/>
      <c r="L4" s="245"/>
      <c r="M4" s="245"/>
      <c r="N4" s="245"/>
      <c r="O4" s="245"/>
      <c r="P4" s="245"/>
      <c r="Q4" s="245"/>
      <c r="R4" s="245"/>
      <c r="S4" s="246"/>
      <c r="T4" s="181"/>
      <c r="U4" s="181"/>
      <c r="V4" s="181"/>
      <c r="W4" s="181"/>
      <c r="X4" s="181"/>
      <c r="Y4" s="181"/>
      <c r="Z4" s="181"/>
      <c r="AA4" s="181"/>
      <c r="AC4" s="208"/>
      <c r="AD4" s="207"/>
      <c r="AE4" s="206"/>
    </row>
    <row r="5" spans="1:31">
      <c r="A5" s="180"/>
      <c r="B5" s="181"/>
      <c r="C5" s="181"/>
      <c r="D5" s="181"/>
      <c r="E5" s="181"/>
      <c r="F5" s="181"/>
      <c r="G5" s="181"/>
      <c r="H5" s="181"/>
      <c r="I5" s="181"/>
      <c r="J5" s="181"/>
      <c r="K5" s="181"/>
      <c r="L5" s="181"/>
      <c r="M5" s="181"/>
      <c r="N5" s="181"/>
      <c r="O5" s="181"/>
      <c r="P5" s="181"/>
      <c r="Q5" s="181"/>
      <c r="R5" s="181"/>
      <c r="S5" s="182"/>
      <c r="T5" s="181"/>
      <c r="U5" s="181"/>
      <c r="V5" s="181"/>
      <c r="W5" s="181"/>
      <c r="X5" s="181"/>
      <c r="Y5" s="181"/>
      <c r="Z5" s="181"/>
      <c r="AA5" s="181"/>
      <c r="AC5" s="208"/>
      <c r="AD5" s="207"/>
      <c r="AE5" s="206"/>
    </row>
    <row r="6" spans="1:31">
      <c r="A6" s="247" t="s">
        <v>189</v>
      </c>
      <c r="B6" s="248"/>
      <c r="C6" s="248"/>
      <c r="D6" s="248"/>
      <c r="E6" s="248"/>
      <c r="F6" s="248"/>
      <c r="G6" s="248"/>
      <c r="H6" s="248"/>
      <c r="I6" s="248"/>
      <c r="J6" s="248"/>
      <c r="K6" s="248"/>
      <c r="L6" s="248"/>
      <c r="M6" s="248"/>
      <c r="N6" s="248"/>
      <c r="O6" s="248"/>
      <c r="P6" s="248"/>
      <c r="Q6" s="248"/>
      <c r="R6" s="248"/>
      <c r="S6" s="249"/>
      <c r="T6" s="183"/>
      <c r="U6" s="183"/>
      <c r="V6" s="183"/>
      <c r="W6" s="183"/>
      <c r="X6" s="183"/>
      <c r="Y6" s="183"/>
      <c r="Z6" s="183"/>
      <c r="AA6" s="183"/>
    </row>
    <row r="7" spans="1:31" ht="15.75" thickBot="1">
      <c r="A7" s="101"/>
      <c r="B7" s="102"/>
      <c r="C7" s="102"/>
      <c r="D7" s="102"/>
      <c r="E7" s="102"/>
      <c r="F7" s="102"/>
      <c r="G7" s="102"/>
      <c r="H7" s="102"/>
      <c r="I7" s="102"/>
      <c r="J7" s="102"/>
      <c r="K7" s="102"/>
      <c r="L7" s="102"/>
      <c r="M7" s="102"/>
      <c r="N7" s="102"/>
      <c r="O7" s="102"/>
      <c r="P7" s="102"/>
      <c r="Q7" s="102"/>
      <c r="R7" s="102"/>
      <c r="S7" s="103"/>
      <c r="T7" s="102"/>
      <c r="U7" s="102"/>
      <c r="V7" s="102"/>
      <c r="W7" s="102"/>
      <c r="X7" s="102"/>
      <c r="Y7" s="102"/>
      <c r="Z7" s="102"/>
      <c r="AA7" s="102"/>
      <c r="AC7" s="205"/>
      <c r="AD7" s="204"/>
      <c r="AE7" s="204"/>
    </row>
    <row r="8" spans="1:31">
      <c r="A8" s="250" t="s">
        <v>117</v>
      </c>
      <c r="B8" s="251"/>
      <c r="C8" s="251"/>
      <c r="D8" s="251"/>
      <c r="E8" s="251"/>
      <c r="F8" s="251"/>
      <c r="G8" s="251"/>
      <c r="H8" s="251"/>
      <c r="I8" s="251"/>
      <c r="J8" s="104" t="s">
        <v>118</v>
      </c>
      <c r="K8" s="105"/>
      <c r="L8" s="105"/>
      <c r="M8" s="105"/>
      <c r="N8" s="105"/>
      <c r="O8" s="105"/>
      <c r="P8" s="105"/>
      <c r="Q8" s="105"/>
      <c r="R8" s="105"/>
      <c r="S8" s="106"/>
      <c r="T8" s="151"/>
      <c r="U8" s="151"/>
      <c r="V8" s="151"/>
      <c r="W8" s="151"/>
      <c r="X8" s="151"/>
      <c r="Y8" s="151"/>
      <c r="Z8" s="151"/>
      <c r="AA8" s="151"/>
      <c r="AC8" s="203"/>
      <c r="AD8" s="202"/>
    </row>
    <row r="9" spans="1:31">
      <c r="A9" s="101"/>
      <c r="B9" s="102"/>
      <c r="C9" s="102"/>
      <c r="D9" s="102"/>
      <c r="E9" s="102"/>
      <c r="F9" s="102"/>
      <c r="G9" s="102"/>
      <c r="H9" s="102"/>
      <c r="I9" s="102"/>
      <c r="J9" s="102"/>
      <c r="K9" s="102"/>
      <c r="L9" s="102"/>
      <c r="M9" s="102"/>
      <c r="N9" s="102"/>
      <c r="O9" s="102"/>
      <c r="P9" s="102"/>
      <c r="Q9" s="102"/>
      <c r="R9" s="102"/>
      <c r="S9" s="103"/>
      <c r="T9" s="102"/>
      <c r="U9" s="102"/>
      <c r="V9" s="102"/>
      <c r="W9" s="102"/>
      <c r="X9" s="102"/>
      <c r="Y9" s="102"/>
      <c r="Z9" s="102"/>
      <c r="AA9" s="102"/>
      <c r="AC9" s="201"/>
      <c r="AD9" s="110"/>
    </row>
    <row r="10" spans="1:31">
      <c r="A10" s="252" t="s">
        <v>15</v>
      </c>
      <c r="B10" s="253"/>
      <c r="C10" s="102"/>
      <c r="D10" s="102"/>
      <c r="E10" s="102"/>
      <c r="F10" s="102"/>
      <c r="G10" s="102"/>
      <c r="H10" s="102"/>
      <c r="I10" s="102"/>
      <c r="J10" s="102"/>
      <c r="K10" s="102"/>
      <c r="L10" s="102"/>
      <c r="M10" s="102"/>
      <c r="N10" s="102"/>
      <c r="O10" s="102"/>
      <c r="P10" s="102"/>
      <c r="Q10" s="102"/>
      <c r="R10" s="102"/>
      <c r="S10" s="103"/>
      <c r="T10" s="102"/>
      <c r="U10" s="102"/>
      <c r="V10" s="102"/>
      <c r="W10" s="102"/>
      <c r="X10" s="102"/>
      <c r="Y10" s="102"/>
      <c r="Z10" s="102"/>
      <c r="AA10" s="102"/>
      <c r="AC10" s="201"/>
      <c r="AD10" s="110"/>
    </row>
    <row r="11" spans="1:31" ht="34.5" customHeight="1">
      <c r="A11" s="254" t="s">
        <v>119</v>
      </c>
      <c r="B11" s="255"/>
      <c r="C11" s="255"/>
      <c r="D11" s="255"/>
      <c r="E11" s="255"/>
      <c r="F11" s="255"/>
      <c r="G11" s="255"/>
      <c r="H11" s="255"/>
      <c r="I11" s="255"/>
      <c r="J11" s="255"/>
      <c r="K11" s="255"/>
      <c r="L11" s="255"/>
      <c r="M11" s="255"/>
      <c r="N11" s="255"/>
      <c r="O11" s="255"/>
      <c r="P11" s="255"/>
      <c r="Q11" s="255"/>
      <c r="R11" s="255"/>
      <c r="S11" s="256"/>
      <c r="T11" s="102"/>
      <c r="U11" s="102"/>
      <c r="V11" s="102"/>
      <c r="W11" s="102"/>
      <c r="X11" s="102"/>
      <c r="Y11" s="102"/>
      <c r="Z11" s="102"/>
      <c r="AA11" s="102"/>
      <c r="AC11" s="201"/>
      <c r="AD11" s="110"/>
    </row>
    <row r="12" spans="1:31">
      <c r="A12" s="111"/>
      <c r="B12" s="112"/>
      <c r="C12" s="112"/>
      <c r="D12" s="112"/>
      <c r="E12" s="112"/>
      <c r="F12" s="112"/>
      <c r="G12" s="112"/>
      <c r="H12" s="112"/>
      <c r="I12" s="112"/>
      <c r="J12" s="112"/>
      <c r="K12" s="112"/>
      <c r="L12" s="112"/>
      <c r="M12" s="112"/>
      <c r="N12" s="112"/>
      <c r="O12" s="112"/>
      <c r="P12" s="112"/>
      <c r="Q12" s="112"/>
      <c r="R12" s="112"/>
      <c r="S12" s="113"/>
      <c r="T12" s="102"/>
      <c r="U12" s="102"/>
      <c r="V12" s="102"/>
      <c r="W12" s="102"/>
      <c r="X12" s="102"/>
      <c r="Y12" s="102"/>
      <c r="Z12" s="102"/>
      <c r="AA12" s="102"/>
      <c r="AC12" s="201"/>
      <c r="AD12" s="110"/>
    </row>
    <row r="13" spans="1:31">
      <c r="A13" s="257" t="s">
        <v>120</v>
      </c>
      <c r="B13" s="258"/>
      <c r="C13" s="258"/>
      <c r="D13" s="258"/>
      <c r="E13" s="258"/>
      <c r="F13" s="258"/>
      <c r="G13" s="258"/>
      <c r="H13" s="258"/>
      <c r="I13" s="258"/>
      <c r="J13" s="258"/>
      <c r="K13" s="258"/>
      <c r="L13" s="258"/>
      <c r="M13" s="258"/>
      <c r="N13" s="258"/>
      <c r="O13" s="258"/>
      <c r="P13" s="258"/>
      <c r="Q13" s="258"/>
      <c r="R13" s="258"/>
      <c r="S13" s="259"/>
      <c r="T13" s="102"/>
      <c r="U13" s="102"/>
      <c r="V13" s="102"/>
      <c r="W13" s="102"/>
      <c r="X13" s="102"/>
      <c r="Y13" s="102"/>
      <c r="Z13" s="102"/>
      <c r="AA13" s="102"/>
      <c r="AC13" s="201"/>
      <c r="AD13" s="110"/>
    </row>
    <row r="14" spans="1:31">
      <c r="A14" s="114"/>
      <c r="B14" s="115"/>
      <c r="C14" s="115"/>
      <c r="D14" s="115"/>
      <c r="E14" s="115"/>
      <c r="F14" s="115"/>
      <c r="G14" s="115"/>
      <c r="H14" s="115"/>
      <c r="I14" s="115"/>
      <c r="J14" s="115"/>
      <c r="K14" s="115"/>
      <c r="L14" s="115"/>
      <c r="M14" s="115"/>
      <c r="N14" s="115"/>
      <c r="O14" s="115"/>
      <c r="P14" s="115"/>
      <c r="Q14" s="115"/>
      <c r="R14" s="115"/>
      <c r="S14" s="116"/>
      <c r="T14" s="102"/>
      <c r="U14" s="102"/>
      <c r="V14" s="102"/>
      <c r="W14" s="102"/>
      <c r="X14" s="102"/>
      <c r="Y14" s="102"/>
      <c r="Z14" s="102"/>
      <c r="AA14" s="102"/>
      <c r="AC14" s="201"/>
      <c r="AD14" s="110"/>
    </row>
    <row r="15" spans="1:31">
      <c r="A15" s="260" t="s">
        <v>121</v>
      </c>
      <c r="B15" s="260"/>
      <c r="C15" s="260"/>
      <c r="D15" s="260"/>
      <c r="E15" s="261" t="str">
        <f ca="1">IF(SS!$C$7&lt;18,SS!C15,SS!C5)</f>
        <v>Biswajit</v>
      </c>
      <c r="F15" s="261"/>
      <c r="G15" s="261"/>
      <c r="H15" s="261"/>
      <c r="I15" s="115"/>
      <c r="J15" s="117"/>
      <c r="K15" s="102"/>
      <c r="L15" s="260" t="s">
        <v>122</v>
      </c>
      <c r="M15" s="260"/>
      <c r="N15" s="260"/>
      <c r="O15" s="260"/>
      <c r="P15" s="261" t="str">
        <f>SS!C5</f>
        <v>Biswajit</v>
      </c>
      <c r="Q15" s="261"/>
      <c r="R15" s="261"/>
      <c r="S15" s="261"/>
      <c r="T15" s="102"/>
      <c r="U15" s="102"/>
      <c r="V15" s="102"/>
      <c r="W15" s="102"/>
      <c r="X15" s="102"/>
      <c r="Y15" s="102"/>
      <c r="Z15" s="102"/>
      <c r="AA15" s="102"/>
      <c r="AC15" s="201"/>
      <c r="AD15" s="110"/>
    </row>
    <row r="16" spans="1:31">
      <c r="A16" s="260" t="s">
        <v>123</v>
      </c>
      <c r="B16" s="260"/>
      <c r="C16" s="260"/>
      <c r="D16" s="260"/>
      <c r="E16" s="261">
        <f ca="1">IF(SS!$C$7&lt;18,SS!C16,SS!C7)</f>
        <v>26</v>
      </c>
      <c r="F16" s="261"/>
      <c r="G16" s="261"/>
      <c r="H16" s="261"/>
      <c r="I16" s="115"/>
      <c r="J16" s="117"/>
      <c r="K16" s="102"/>
      <c r="L16" s="260" t="s">
        <v>123</v>
      </c>
      <c r="M16" s="260"/>
      <c r="N16" s="260"/>
      <c r="O16" s="260"/>
      <c r="P16" s="261">
        <f ca="1">SS!C7</f>
        <v>26</v>
      </c>
      <c r="Q16" s="261"/>
      <c r="R16" s="261"/>
      <c r="S16" s="261"/>
      <c r="T16" s="102"/>
      <c r="U16" s="102"/>
      <c r="V16" s="102"/>
      <c r="W16" s="102"/>
      <c r="X16" s="102"/>
      <c r="Y16" s="102"/>
      <c r="Z16" s="102"/>
      <c r="AA16" s="102"/>
      <c r="AC16" s="201"/>
      <c r="AD16" s="110"/>
    </row>
    <row r="17" spans="1:36" ht="15" customHeight="1">
      <c r="A17" s="260" t="s">
        <v>124</v>
      </c>
      <c r="B17" s="260"/>
      <c r="C17" s="260"/>
      <c r="D17" s="260"/>
      <c r="E17" s="261" t="str">
        <f ca="1">IF(SS!$C$7&lt;18,SS!C17,SS!C8)</f>
        <v>Male</v>
      </c>
      <c r="F17" s="261"/>
      <c r="G17" s="261"/>
      <c r="H17" s="261"/>
      <c r="I17" s="115"/>
      <c r="J17" s="118"/>
      <c r="K17" s="119"/>
      <c r="L17" s="260" t="s">
        <v>3</v>
      </c>
      <c r="M17" s="260"/>
      <c r="N17" s="260"/>
      <c r="O17" s="260"/>
      <c r="P17" s="261" t="str">
        <f>SS!C8</f>
        <v>Male</v>
      </c>
      <c r="Q17" s="261"/>
      <c r="R17" s="261"/>
      <c r="S17" s="261"/>
      <c r="T17" s="102"/>
      <c r="U17" s="102"/>
      <c r="V17" s="102"/>
      <c r="W17" s="102"/>
      <c r="X17" s="102"/>
      <c r="Y17" s="102"/>
      <c r="Z17" s="102"/>
      <c r="AA17" s="102"/>
      <c r="AC17" s="201"/>
      <c r="AD17" s="110"/>
    </row>
    <row r="18" spans="1:36">
      <c r="I18" s="119"/>
      <c r="J18" s="119"/>
      <c r="K18" s="119"/>
      <c r="L18" s="289" t="s">
        <v>76</v>
      </c>
      <c r="M18" s="290"/>
      <c r="N18" s="290"/>
      <c r="O18" s="291"/>
      <c r="P18" s="295" t="str">
        <f>SS!C4</f>
        <v>ORISSA</v>
      </c>
      <c r="Q18" s="293"/>
      <c r="R18" s="293"/>
      <c r="S18" s="294"/>
      <c r="T18" s="102"/>
      <c r="U18" s="102"/>
      <c r="V18" s="102"/>
      <c r="W18" s="102"/>
      <c r="X18" s="102"/>
      <c r="Y18" s="102"/>
      <c r="Z18" s="102"/>
      <c r="AA18" s="102"/>
      <c r="AC18" s="201"/>
      <c r="AD18" s="110"/>
    </row>
    <row r="19" spans="1:36">
      <c r="A19" s="123"/>
      <c r="B19" s="120"/>
      <c r="C19" s="120"/>
      <c r="D19" s="120"/>
      <c r="E19" s="121"/>
      <c r="F19" s="121"/>
      <c r="G19" s="121"/>
      <c r="H19" s="121"/>
      <c r="I19" s="119"/>
      <c r="J19" s="119"/>
      <c r="K19" s="119"/>
      <c r="L19" s="120"/>
      <c r="M19" s="120"/>
      <c r="N19" s="120"/>
      <c r="O19" s="120"/>
      <c r="P19" s="121"/>
      <c r="Q19" s="121"/>
      <c r="R19" s="121"/>
      <c r="S19" s="122"/>
      <c r="T19" s="102"/>
      <c r="U19" s="102"/>
      <c r="V19" s="102"/>
      <c r="W19" s="102"/>
      <c r="X19" s="102"/>
      <c r="Y19" s="102"/>
      <c r="Z19" s="102"/>
      <c r="AA19" s="102"/>
      <c r="AC19" s="201"/>
      <c r="AD19" s="110"/>
      <c r="AF19" s="200" t="s">
        <v>52</v>
      </c>
    </row>
    <row r="20" spans="1:36" ht="38.25">
      <c r="A20" s="296" t="s">
        <v>125</v>
      </c>
      <c r="B20" s="297"/>
      <c r="C20" s="297"/>
      <c r="D20" s="297"/>
      <c r="E20" s="297"/>
      <c r="F20" s="297"/>
      <c r="G20" s="297"/>
      <c r="H20" s="297"/>
      <c r="I20" s="297"/>
      <c r="J20" s="297"/>
      <c r="K20" s="297"/>
      <c r="L20" s="297"/>
      <c r="M20" s="297"/>
      <c r="N20" s="297"/>
      <c r="O20" s="297"/>
      <c r="P20" s="297"/>
      <c r="Q20" s="297"/>
      <c r="R20" s="297"/>
      <c r="S20" s="298"/>
      <c r="T20" s="102"/>
      <c r="U20" s="102"/>
      <c r="V20" s="102"/>
      <c r="W20" s="102"/>
      <c r="X20" s="102"/>
      <c r="Y20" s="102"/>
      <c r="Z20" s="102"/>
      <c r="AA20" s="102"/>
      <c r="AC20" s="201"/>
      <c r="AD20" s="110"/>
      <c r="AF20" s="198" t="s">
        <v>26</v>
      </c>
      <c r="AG20" s="199" t="s">
        <v>53</v>
      </c>
    </row>
    <row r="21" spans="1:36" ht="15" customHeight="1">
      <c r="A21" s="286" t="s">
        <v>162</v>
      </c>
      <c r="B21" s="287"/>
      <c r="C21" s="287"/>
      <c r="D21" s="287"/>
      <c r="E21" s="287"/>
      <c r="F21" s="287"/>
      <c r="G21" s="287"/>
      <c r="H21" s="287"/>
      <c r="I21" s="287"/>
      <c r="J21" s="287"/>
      <c r="K21" s="287"/>
      <c r="L21" s="287"/>
      <c r="M21" s="287"/>
      <c r="N21" s="287"/>
      <c r="O21" s="287"/>
      <c r="P21" s="287"/>
      <c r="Q21" s="287"/>
      <c r="R21" s="287"/>
      <c r="S21" s="288"/>
      <c r="T21" s="102"/>
      <c r="U21" s="102"/>
      <c r="V21" s="102"/>
      <c r="W21" s="102"/>
      <c r="X21" s="102"/>
      <c r="Y21" s="102"/>
      <c r="Z21" s="102"/>
      <c r="AA21" s="102"/>
      <c r="AC21" s="201"/>
      <c r="AD21" s="110"/>
      <c r="AF21" s="198"/>
      <c r="AG21" s="127"/>
    </row>
    <row r="22" spans="1:36" ht="8.25" customHeight="1">
      <c r="A22" s="114"/>
      <c r="B22" s="115"/>
      <c r="C22" s="115"/>
      <c r="D22" s="115"/>
      <c r="E22" s="115"/>
      <c r="F22" s="115"/>
      <c r="G22" s="115"/>
      <c r="H22" s="115"/>
      <c r="I22" s="115"/>
      <c r="J22" s="115"/>
      <c r="K22" s="115"/>
      <c r="L22" s="115"/>
      <c r="M22" s="115"/>
      <c r="N22" s="115"/>
      <c r="O22" s="115"/>
      <c r="P22" s="115"/>
      <c r="Q22" s="115"/>
      <c r="R22" s="115"/>
      <c r="S22" s="116"/>
      <c r="T22" s="102"/>
      <c r="U22" s="102"/>
      <c r="V22" s="102"/>
      <c r="W22" s="102"/>
      <c r="X22" s="102"/>
      <c r="Y22" s="102"/>
      <c r="Z22" s="102"/>
      <c r="AA22" s="102"/>
      <c r="AC22" s="201"/>
      <c r="AD22" s="110"/>
      <c r="AF22" s="198">
        <v>1</v>
      </c>
      <c r="AG22" s="178">
        <f>VLOOKUP(B45,GSV!$H$6:$K$26,MATCH(SS!$C$13,GSV!$H$6:$K$6,0),FALSE)</f>
        <v>0</v>
      </c>
    </row>
    <row r="23" spans="1:36" ht="51.75" customHeight="1">
      <c r="A23" s="286"/>
      <c r="B23" s="287"/>
      <c r="C23" s="287"/>
      <c r="D23" s="287"/>
      <c r="E23" s="287"/>
      <c r="F23" s="287"/>
      <c r="G23" s="287"/>
      <c r="H23" s="287"/>
      <c r="I23" s="287"/>
      <c r="J23" s="287"/>
      <c r="K23" s="287"/>
      <c r="L23" s="287"/>
      <c r="M23" s="287"/>
      <c r="N23" s="287"/>
      <c r="O23" s="287"/>
      <c r="P23" s="287"/>
      <c r="Q23" s="287"/>
      <c r="R23" s="287"/>
      <c r="S23" s="288"/>
      <c r="T23" s="102"/>
      <c r="U23" s="102"/>
      <c r="V23" s="102"/>
      <c r="W23" s="102"/>
      <c r="X23" s="102"/>
      <c r="Y23" s="102"/>
      <c r="Z23" s="102"/>
      <c r="AA23" s="102"/>
      <c r="AC23" s="201"/>
      <c r="AD23" s="110"/>
      <c r="AF23" s="197">
        <v>2</v>
      </c>
      <c r="AG23" s="178">
        <f>VLOOKUP(B46,GSV!$H$6:$K$26,MATCH(SS!$C$13,GSV!$H$6:$K$6,0),FALSE)</f>
        <v>0.3</v>
      </c>
    </row>
    <row r="24" spans="1:36">
      <c r="A24" s="101"/>
      <c r="B24" s="102"/>
      <c r="C24" s="102"/>
      <c r="D24" s="102"/>
      <c r="E24" s="102"/>
      <c r="F24" s="102"/>
      <c r="G24" s="102"/>
      <c r="H24" s="102"/>
      <c r="I24" s="102"/>
      <c r="J24" s="102"/>
      <c r="K24" s="102"/>
      <c r="L24" s="120"/>
      <c r="M24" s="120"/>
      <c r="N24" s="120"/>
      <c r="O24" s="120"/>
      <c r="P24" s="124"/>
      <c r="Q24" s="124"/>
      <c r="R24" s="124"/>
      <c r="S24" s="125"/>
      <c r="T24" s="102"/>
      <c r="U24" s="102"/>
      <c r="V24" s="102"/>
      <c r="W24" s="102"/>
      <c r="X24" s="102"/>
      <c r="Y24" s="102"/>
      <c r="Z24" s="102"/>
      <c r="AA24" s="102"/>
      <c r="AC24" s="201"/>
      <c r="AD24" s="110"/>
      <c r="AF24" s="197">
        <v>3</v>
      </c>
      <c r="AG24" s="178">
        <f>VLOOKUP(B47,GSV!$H$6:$K$26,MATCH(SS!$C$13,GSV!$H$6:$K$6,0),FALSE)</f>
        <v>0.35</v>
      </c>
    </row>
    <row r="25" spans="1:36" ht="15" customHeight="1">
      <c r="A25" s="257" t="s">
        <v>126</v>
      </c>
      <c r="B25" s="258"/>
      <c r="C25" s="258"/>
      <c r="D25" s="258"/>
      <c r="E25" s="258"/>
      <c r="F25" s="258"/>
      <c r="G25" s="258"/>
      <c r="H25" s="258"/>
      <c r="I25" s="258"/>
      <c r="J25" s="258"/>
      <c r="K25" s="258"/>
      <c r="L25" s="258"/>
      <c r="M25" s="258"/>
      <c r="N25" s="258"/>
      <c r="O25" s="258"/>
      <c r="P25" s="258"/>
      <c r="Q25" s="258"/>
      <c r="R25" s="258"/>
      <c r="S25" s="259"/>
      <c r="T25" s="102"/>
      <c r="U25" s="102"/>
      <c r="V25" s="102"/>
      <c r="W25" s="102"/>
      <c r="X25" s="102"/>
      <c r="Y25" s="102"/>
      <c r="Z25" s="102"/>
      <c r="AA25" s="102"/>
      <c r="AF25" s="197">
        <v>4</v>
      </c>
      <c r="AG25" s="178">
        <f>VLOOKUP(B48,GSV!$H$6:$K$26,MATCH(SS!$C$13,GSV!$H$6:$K$6,0),FALSE)</f>
        <v>0.5</v>
      </c>
    </row>
    <row r="26" spans="1:36">
      <c r="A26" s="101"/>
      <c r="B26" s="102"/>
      <c r="C26" s="102"/>
      <c r="D26" s="102"/>
      <c r="E26" s="102"/>
      <c r="F26" s="102"/>
      <c r="G26" s="102"/>
      <c r="H26" s="102"/>
      <c r="I26" s="102"/>
      <c r="J26" s="102"/>
      <c r="K26" s="102"/>
      <c r="L26" s="102"/>
      <c r="M26" s="102"/>
      <c r="N26" s="102"/>
      <c r="O26" s="102"/>
      <c r="P26" s="102"/>
      <c r="Q26" s="102"/>
      <c r="R26" s="102"/>
      <c r="S26" s="103"/>
      <c r="T26" s="102"/>
      <c r="U26" s="102"/>
      <c r="V26" s="102"/>
      <c r="W26" s="102"/>
      <c r="X26" s="102"/>
      <c r="Y26" s="102"/>
      <c r="Z26" s="102"/>
      <c r="AA26" s="102"/>
      <c r="AF26" s="197">
        <v>5</v>
      </c>
      <c r="AG26" s="178">
        <f>VLOOKUP(B49,GSV!$H$6:$K$26,MATCH(SS!$C$13,GSV!$H$6:$K$6,0),FALSE)</f>
        <v>0.5</v>
      </c>
    </row>
    <row r="27" spans="1:36" ht="15" customHeight="1">
      <c r="A27" s="260" t="s">
        <v>127</v>
      </c>
      <c r="B27" s="260"/>
      <c r="C27" s="260"/>
      <c r="D27" s="260"/>
      <c r="E27" s="260"/>
      <c r="F27" s="285" t="s">
        <v>128</v>
      </c>
      <c r="G27" s="285"/>
      <c r="H27" s="285"/>
      <c r="I27" s="115"/>
      <c r="J27" s="289" t="s">
        <v>129</v>
      </c>
      <c r="K27" s="290"/>
      <c r="L27" s="290"/>
      <c r="M27" s="290"/>
      <c r="N27" s="290"/>
      <c r="O27" s="291"/>
      <c r="P27" s="346">
        <f>IF(SS!$C$12="Monthly",SS!$C$10*8.5%,SS!$C$10)</f>
        <v>50000</v>
      </c>
      <c r="Q27" s="351"/>
      <c r="R27" s="351"/>
      <c r="S27" s="347"/>
      <c r="T27" s="102"/>
      <c r="U27" s="102"/>
      <c r="V27" s="102"/>
      <c r="W27" s="102"/>
      <c r="X27" s="102"/>
      <c r="Y27" s="102"/>
      <c r="Z27" s="102"/>
      <c r="AA27" s="102"/>
      <c r="AF27" s="197">
        <v>6</v>
      </c>
      <c r="AG27" s="178">
        <f>VLOOKUP(B50,GSV!$H$6:$K$26,MATCH(SS!$C$13,GSV!$H$6:$K$6,0),FALSE)</f>
        <v>0.5</v>
      </c>
    </row>
    <row r="28" spans="1:36" ht="15" customHeight="1">
      <c r="A28" s="307" t="s">
        <v>165</v>
      </c>
      <c r="B28" s="307"/>
      <c r="C28" s="307"/>
      <c r="D28" s="307"/>
      <c r="E28" s="307"/>
      <c r="F28" s="308" t="s">
        <v>166</v>
      </c>
      <c r="G28" s="308"/>
      <c r="H28" s="308"/>
      <c r="I28" s="121"/>
      <c r="J28" s="289" t="s">
        <v>130</v>
      </c>
      <c r="K28" s="290"/>
      <c r="L28" s="290"/>
      <c r="M28" s="290"/>
      <c r="N28" s="290"/>
      <c r="O28" s="291"/>
      <c r="P28" s="292">
        <f ca="1">SS!C11</f>
        <v>669500</v>
      </c>
      <c r="Q28" s="305"/>
      <c r="R28" s="305"/>
      <c r="S28" s="306"/>
      <c r="T28" s="102"/>
      <c r="U28" s="102"/>
      <c r="V28" s="102"/>
      <c r="W28" s="102"/>
      <c r="X28" s="102"/>
      <c r="Y28" s="102"/>
      <c r="Z28" s="102"/>
      <c r="AA28" s="102"/>
      <c r="AF28" s="196">
        <v>7</v>
      </c>
      <c r="AG28" s="178">
        <f>VLOOKUP(B51,GSV!$H$6:$K$26,MATCH(SS!$C$13,GSV!$H$6:$K$6,0),FALSE)</f>
        <v>0.5</v>
      </c>
    </row>
    <row r="29" spans="1:36" ht="15" customHeight="1">
      <c r="A29" s="307" t="s">
        <v>131</v>
      </c>
      <c r="B29" s="307"/>
      <c r="C29" s="307"/>
      <c r="D29" s="307"/>
      <c r="E29" s="307"/>
      <c r="F29" s="308">
        <f>SS!C9</f>
        <v>20</v>
      </c>
      <c r="G29" s="308"/>
      <c r="H29" s="308"/>
      <c r="I29" s="115"/>
      <c r="J29" s="289" t="s">
        <v>132</v>
      </c>
      <c r="K29" s="290"/>
      <c r="L29" s="290"/>
      <c r="M29" s="290"/>
      <c r="N29" s="290"/>
      <c r="O29" s="291"/>
      <c r="P29" s="292">
        <f ca="1">K45-G45</f>
        <v>669500</v>
      </c>
      <c r="Q29" s="305"/>
      <c r="R29" s="305"/>
      <c r="S29" s="306"/>
      <c r="T29" s="102"/>
      <c r="U29" s="102"/>
      <c r="V29" s="102"/>
      <c r="W29" s="102"/>
      <c r="X29" s="102"/>
      <c r="Y29" s="102"/>
      <c r="Z29" s="102"/>
      <c r="AA29" s="102"/>
      <c r="AF29" s="196">
        <v>8</v>
      </c>
      <c r="AG29" s="178">
        <f>VLOOKUP(B52,GSV!$H$6:$K$26,MATCH(SS!$C$13,GSV!$H$6:$K$6,0),FALSE)</f>
        <v>0.53</v>
      </c>
    </row>
    <row r="30" spans="1:36" ht="33.75" customHeight="1">
      <c r="A30" s="260" t="s">
        <v>133</v>
      </c>
      <c r="B30" s="260"/>
      <c r="C30" s="260"/>
      <c r="D30" s="260"/>
      <c r="E30" s="260"/>
      <c r="F30" s="285">
        <f>SS!C13</f>
        <v>10</v>
      </c>
      <c r="G30" s="285"/>
      <c r="H30" s="285"/>
      <c r="I30" s="115"/>
      <c r="J30" s="299" t="s">
        <v>134</v>
      </c>
      <c r="K30" s="300"/>
      <c r="L30" s="300"/>
      <c r="M30" s="300"/>
      <c r="N30" s="300"/>
      <c r="O30" s="301"/>
      <c r="P30" s="302" t="s">
        <v>182</v>
      </c>
      <c r="Q30" s="293"/>
      <c r="R30" s="293"/>
      <c r="S30" s="294"/>
      <c r="T30" s="102"/>
      <c r="U30" s="102"/>
      <c r="V30" s="102"/>
      <c r="W30" s="102"/>
      <c r="X30" s="102"/>
      <c r="Y30" s="102"/>
      <c r="Z30" s="102"/>
      <c r="AA30" s="102"/>
      <c r="AF30" s="196">
        <v>9</v>
      </c>
      <c r="AG30" s="178">
        <f>VLOOKUP(B53,GSV!$H$6:$K$26,MATCH(SS!$C$13,GSV!$H$6:$K$6,0),FALSE)</f>
        <v>0.56999999999999995</v>
      </c>
    </row>
    <row r="31" spans="1:36" s="129" customFormat="1" ht="30" customHeight="1">
      <c r="A31" s="303" t="s">
        <v>135</v>
      </c>
      <c r="B31" s="303"/>
      <c r="C31" s="303"/>
      <c r="D31" s="303"/>
      <c r="E31" s="303"/>
      <c r="F31" s="304" t="str">
        <f>SS!C12</f>
        <v>Yearly</v>
      </c>
      <c r="G31" s="304"/>
      <c r="H31" s="304"/>
      <c r="I31" s="128"/>
      <c r="T31" s="102"/>
      <c r="U31" s="102"/>
      <c r="V31" s="102"/>
      <c r="W31" s="102"/>
      <c r="X31" s="102"/>
      <c r="Y31" s="102"/>
      <c r="Z31" s="102"/>
      <c r="AA31" s="102"/>
      <c r="AE31" s="12"/>
      <c r="AF31" s="196">
        <v>10</v>
      </c>
      <c r="AG31" s="178">
        <f>VLOOKUP(B54,GSV!$H$6:$K$26,MATCH(SS!$C$13,GSV!$H$6:$K$6,0),FALSE)</f>
        <v>0.6</v>
      </c>
      <c r="AH31" s="12"/>
      <c r="AI31" s="12"/>
      <c r="AJ31" s="12"/>
    </row>
    <row r="32" spans="1:36">
      <c r="A32" s="101"/>
      <c r="B32" s="102"/>
      <c r="C32" s="102"/>
      <c r="D32" s="102"/>
      <c r="E32" s="102"/>
      <c r="F32" s="102"/>
      <c r="G32" s="102"/>
      <c r="H32" s="102"/>
      <c r="I32" s="115"/>
      <c r="J32" s="115"/>
      <c r="K32" s="102"/>
      <c r="L32" s="102"/>
      <c r="M32" s="102"/>
      <c r="N32" s="102"/>
      <c r="O32" s="102"/>
      <c r="P32" s="102"/>
      <c r="Q32" s="102"/>
      <c r="R32" s="102"/>
      <c r="S32" s="103"/>
      <c r="T32" s="102"/>
      <c r="U32" s="102"/>
      <c r="V32" s="102"/>
      <c r="W32" s="102"/>
      <c r="X32" s="102"/>
      <c r="Y32" s="102"/>
      <c r="Z32" s="102"/>
      <c r="AA32" s="102"/>
      <c r="AF32" s="196">
        <v>11</v>
      </c>
      <c r="AG32" s="178">
        <f>VLOOKUP(B55,GSV!$H$6:$K$26,MATCH(SS!$C$13,GSV!$H$6:$K$6,0),FALSE)</f>
        <v>0.63</v>
      </c>
    </row>
    <row r="33" spans="1:34" ht="15" customHeight="1">
      <c r="A33" s="257" t="s">
        <v>136</v>
      </c>
      <c r="B33" s="258"/>
      <c r="C33" s="258"/>
      <c r="D33" s="258"/>
      <c r="E33" s="258"/>
      <c r="F33" s="258"/>
      <c r="G33" s="258"/>
      <c r="H33" s="258"/>
      <c r="I33" s="258"/>
      <c r="J33" s="258"/>
      <c r="K33" s="258"/>
      <c r="L33" s="258"/>
      <c r="M33" s="258"/>
      <c r="N33" s="258"/>
      <c r="O33" s="258"/>
      <c r="P33" s="258"/>
      <c r="Q33" s="258"/>
      <c r="R33" s="258"/>
      <c r="S33" s="259"/>
      <c r="T33" s="102"/>
      <c r="U33" s="102"/>
      <c r="V33" s="102"/>
      <c r="W33" s="102"/>
      <c r="X33" s="102"/>
      <c r="Y33" s="102"/>
      <c r="Z33" s="102"/>
      <c r="AA33" s="102"/>
      <c r="AF33" s="196">
        <v>12</v>
      </c>
      <c r="AG33" s="178">
        <f>VLOOKUP(B56,GSV!$H$6:$K$26,MATCH(SS!$C$13,GSV!$H$6:$K$6,0),FALSE)</f>
        <v>0.67</v>
      </c>
    </row>
    <row r="34" spans="1:34">
      <c r="A34" s="101"/>
      <c r="B34" s="102"/>
      <c r="C34" s="102"/>
      <c r="D34" s="102"/>
      <c r="E34" s="102"/>
      <c r="F34" s="102"/>
      <c r="G34" s="102"/>
      <c r="H34" s="102"/>
      <c r="I34" s="102"/>
      <c r="J34" s="102"/>
      <c r="K34" s="102"/>
      <c r="L34" s="102"/>
      <c r="M34" s="102"/>
      <c r="N34" s="102"/>
      <c r="O34" s="102"/>
      <c r="P34" s="102"/>
      <c r="Q34" s="102"/>
      <c r="R34" s="102"/>
      <c r="S34" s="103"/>
      <c r="T34" s="102"/>
      <c r="U34" s="102"/>
      <c r="V34" s="102"/>
      <c r="W34" s="102"/>
      <c r="X34" s="102"/>
      <c r="Y34" s="102"/>
      <c r="Z34" s="102"/>
      <c r="AA34" s="102"/>
      <c r="AF34" s="196">
        <v>13</v>
      </c>
      <c r="AG34" s="178">
        <f>VLOOKUP(B57,GSV!$H$6:$K$26,MATCH(SS!$C$13,GSV!$H$6:$K$6,0),FALSE)</f>
        <v>0.7</v>
      </c>
    </row>
    <row r="35" spans="1:34" ht="13.5" customHeight="1">
      <c r="A35" s="101"/>
      <c r="B35" s="102"/>
      <c r="C35" s="102"/>
      <c r="D35" s="309"/>
      <c r="E35" s="310"/>
      <c r="F35" s="310"/>
      <c r="G35" s="310"/>
      <c r="H35" s="310"/>
      <c r="I35" s="311"/>
      <c r="J35" s="285" t="s">
        <v>137</v>
      </c>
      <c r="K35" s="285"/>
      <c r="L35" s="285" t="s">
        <v>138</v>
      </c>
      <c r="M35" s="285"/>
      <c r="N35" s="312" t="s">
        <v>139</v>
      </c>
      <c r="O35" s="312"/>
      <c r="P35" s="312"/>
      <c r="Q35" s="312"/>
      <c r="R35" s="102"/>
      <c r="S35" s="103"/>
      <c r="T35" s="102"/>
      <c r="U35" s="102"/>
      <c r="V35" s="102"/>
      <c r="W35" s="102"/>
      <c r="X35" s="102"/>
      <c r="Y35" s="102"/>
      <c r="Z35" s="102"/>
      <c r="AA35" s="102"/>
      <c r="AF35" s="196">
        <v>14</v>
      </c>
      <c r="AG35" s="178">
        <f>VLOOKUP(B58,GSV!$H$6:$K$26,MATCH(SS!$C$13,GSV!$H$6:$K$6,0),FALSE)</f>
        <v>0.73</v>
      </c>
    </row>
    <row r="36" spans="1:34" ht="15" customHeight="1">
      <c r="A36" s="101"/>
      <c r="B36" s="102"/>
      <c r="C36" s="102"/>
      <c r="D36" s="289" t="s">
        <v>140</v>
      </c>
      <c r="E36" s="290"/>
      <c r="F36" s="290"/>
      <c r="G36" s="290"/>
      <c r="H36" s="290"/>
      <c r="I36" s="291"/>
      <c r="J36" s="346">
        <f>$P$27</f>
        <v>50000</v>
      </c>
      <c r="K36" s="347"/>
      <c r="L36" s="313" t="s">
        <v>128</v>
      </c>
      <c r="M36" s="314"/>
      <c r="N36" s="348">
        <f>J36</f>
        <v>50000</v>
      </c>
      <c r="O36" s="349"/>
      <c r="P36" s="349"/>
      <c r="Q36" s="350"/>
      <c r="R36" s="102"/>
      <c r="S36" s="103"/>
      <c r="T36" s="102"/>
      <c r="U36" s="102"/>
      <c r="V36" s="102"/>
      <c r="W36" s="102"/>
      <c r="X36" s="102"/>
      <c r="Y36" s="102"/>
      <c r="Z36" s="102"/>
      <c r="AA36" s="102"/>
      <c r="AF36" s="196">
        <v>15</v>
      </c>
      <c r="AG36" s="178">
        <f>VLOOKUP(B59,GSV!$H$6:$K$26,MATCH(SS!$C$13,GSV!$H$6:$K$6,0),FALSE)</f>
        <v>0.77</v>
      </c>
    </row>
    <row r="37" spans="1:34" ht="15" customHeight="1">
      <c r="A37" s="101"/>
      <c r="B37" s="102"/>
      <c r="C37" s="102"/>
      <c r="D37" s="289" t="s">
        <v>141</v>
      </c>
      <c r="E37" s="290"/>
      <c r="F37" s="290"/>
      <c r="G37" s="290"/>
      <c r="H37" s="290"/>
      <c r="I37" s="291"/>
      <c r="J37" s="346">
        <f>$J$36+($J$36*2.25%)+($J$36*2.25%)</f>
        <v>52250</v>
      </c>
      <c r="K37" s="347"/>
      <c r="L37" s="313" t="s">
        <v>128</v>
      </c>
      <c r="M37" s="314"/>
      <c r="N37" s="348">
        <f>J37</f>
        <v>52250</v>
      </c>
      <c r="O37" s="349"/>
      <c r="P37" s="349"/>
      <c r="Q37" s="350"/>
      <c r="R37" s="102"/>
      <c r="S37" s="103"/>
      <c r="T37" s="102"/>
      <c r="U37" s="102"/>
      <c r="V37" s="102"/>
      <c r="W37" s="102"/>
      <c r="X37" s="102"/>
      <c r="Y37" s="102"/>
      <c r="Z37" s="102"/>
      <c r="AA37" s="102"/>
      <c r="AF37" s="196">
        <v>16</v>
      </c>
      <c r="AG37" s="178">
        <f>VLOOKUP(B60,GSV!$H$6:$K$26,MATCH(SS!$C$13,GSV!$H$6:$K$6,0),FALSE)</f>
        <v>0.8</v>
      </c>
    </row>
    <row r="38" spans="1:34" ht="15" customHeight="1">
      <c r="A38" s="101"/>
      <c r="B38" s="102"/>
      <c r="C38" s="102"/>
      <c r="D38" s="289" t="s">
        <v>142</v>
      </c>
      <c r="E38" s="290"/>
      <c r="F38" s="290"/>
      <c r="G38" s="290"/>
      <c r="H38" s="290"/>
      <c r="I38" s="291"/>
      <c r="J38" s="346">
        <f>$J$36+($J$36*1.125%)+($J$36*1.125%)</f>
        <v>51125</v>
      </c>
      <c r="K38" s="347"/>
      <c r="L38" s="313" t="s">
        <v>128</v>
      </c>
      <c r="M38" s="314"/>
      <c r="N38" s="348">
        <f>J38</f>
        <v>51125</v>
      </c>
      <c r="O38" s="349"/>
      <c r="P38" s="349"/>
      <c r="Q38" s="350"/>
      <c r="R38" s="102"/>
      <c r="S38" s="103"/>
      <c r="T38" s="102"/>
      <c r="U38" s="102"/>
      <c r="V38" s="102"/>
      <c r="W38" s="102"/>
      <c r="X38" s="102"/>
      <c r="Y38" s="102"/>
      <c r="Z38" s="102"/>
      <c r="AA38" s="102"/>
      <c r="AF38" s="196">
        <v>17</v>
      </c>
      <c r="AG38" s="178">
        <f>VLOOKUP(B61,GSV!$H$6:$K$26,MATCH(SS!$C$13,GSV!$H$6:$K$6,0),FALSE)</f>
        <v>0.83</v>
      </c>
    </row>
    <row r="39" spans="1:34">
      <c r="A39" s="101"/>
      <c r="B39" s="102"/>
      <c r="C39" s="102"/>
      <c r="D39" s="120"/>
      <c r="E39" s="120"/>
      <c r="F39" s="120"/>
      <c r="G39" s="120"/>
      <c r="H39" s="120"/>
      <c r="I39" s="120"/>
      <c r="J39" s="121"/>
      <c r="K39" s="121"/>
      <c r="L39" s="184"/>
      <c r="M39" s="184"/>
      <c r="N39" s="184"/>
      <c r="O39" s="184"/>
      <c r="P39" s="184"/>
      <c r="Q39" s="184"/>
      <c r="R39" s="102"/>
      <c r="S39" s="103"/>
      <c r="T39" s="102"/>
      <c r="U39" s="102"/>
      <c r="V39" s="102"/>
      <c r="W39" s="102"/>
      <c r="X39" s="102"/>
      <c r="Y39" s="102"/>
      <c r="Z39" s="102"/>
      <c r="AA39" s="102"/>
      <c r="AF39" s="196">
        <v>18</v>
      </c>
      <c r="AG39" s="178">
        <f>VLOOKUP(B62,GSV!$H$6:$K$26,MATCH(SS!$C$13,GSV!$H$6:$K$6,0),FALSE)</f>
        <v>0.87</v>
      </c>
    </row>
    <row r="40" spans="1:34" ht="65.25" customHeight="1">
      <c r="A40" s="318" t="s">
        <v>143</v>
      </c>
      <c r="B40" s="319"/>
      <c r="C40" s="319"/>
      <c r="D40" s="319"/>
      <c r="E40" s="319"/>
      <c r="F40" s="319"/>
      <c r="G40" s="319"/>
      <c r="H40" s="319"/>
      <c r="I40" s="319"/>
      <c r="J40" s="319"/>
      <c r="K40" s="319"/>
      <c r="L40" s="319"/>
      <c r="M40" s="319"/>
      <c r="N40" s="319"/>
      <c r="O40" s="319"/>
      <c r="P40" s="319"/>
      <c r="Q40" s="319"/>
      <c r="R40" s="319"/>
      <c r="S40" s="320"/>
      <c r="T40" s="102"/>
      <c r="U40" s="102"/>
      <c r="V40" s="102"/>
      <c r="W40" s="102"/>
      <c r="X40" s="102"/>
      <c r="Y40" s="102"/>
      <c r="Z40" s="102"/>
      <c r="AA40" s="102"/>
      <c r="AF40" s="196">
        <v>19</v>
      </c>
      <c r="AG40" s="178">
        <f>VLOOKUP(B63,GSV!$H$6:$K$26,MATCH(SS!$C$13,GSV!$H$6:$K$6,0),FALSE)</f>
        <v>0.9</v>
      </c>
    </row>
    <row r="41" spans="1:34">
      <c r="A41" s="101"/>
      <c r="B41" s="102"/>
      <c r="C41" s="102"/>
      <c r="D41" s="120"/>
      <c r="E41" s="120"/>
      <c r="F41" s="120"/>
      <c r="G41" s="120"/>
      <c r="H41" s="120"/>
      <c r="I41" s="120"/>
      <c r="J41" s="121"/>
      <c r="K41" s="121"/>
      <c r="L41" s="184"/>
      <c r="M41" s="184"/>
      <c r="N41" s="184"/>
      <c r="O41" s="184"/>
      <c r="P41" s="184"/>
      <c r="Q41" s="184"/>
      <c r="R41" s="102"/>
      <c r="S41" s="103"/>
      <c r="T41" s="102"/>
      <c r="U41" s="102"/>
      <c r="V41" s="102"/>
      <c r="W41" s="102"/>
      <c r="X41" s="102"/>
      <c r="Y41" s="102"/>
      <c r="Z41" s="102"/>
      <c r="AA41" s="102"/>
      <c r="AF41" s="196">
        <v>20</v>
      </c>
      <c r="AG41" s="178">
        <f>VLOOKUP(B64,GSV!$H$6:$K$26,MATCH(SS!$C$13,GSV!$H$6:$K$6,0),FALSE)</f>
        <v>0.9</v>
      </c>
    </row>
    <row r="42" spans="1:34">
      <c r="A42" s="101"/>
      <c r="B42" s="131" t="s">
        <v>169</v>
      </c>
      <c r="C42" s="132"/>
      <c r="D42" s="132"/>
      <c r="E42" s="132"/>
      <c r="F42" s="132"/>
      <c r="G42" s="132"/>
      <c r="H42" s="132"/>
      <c r="I42" s="132"/>
      <c r="J42" s="132"/>
      <c r="K42" s="132"/>
      <c r="L42" s="132"/>
      <c r="M42" s="132"/>
      <c r="N42" s="132"/>
      <c r="O42" s="132"/>
      <c r="P42" s="132"/>
      <c r="Q42" s="133"/>
      <c r="R42" s="134"/>
      <c r="S42" s="135"/>
      <c r="T42" s="102"/>
      <c r="U42" s="102"/>
      <c r="V42" s="102"/>
      <c r="W42" s="102"/>
      <c r="X42" s="102"/>
      <c r="Y42" s="102"/>
      <c r="Z42" s="102"/>
      <c r="AA42" s="102"/>
    </row>
    <row r="43" spans="1:34">
      <c r="A43" s="101"/>
      <c r="B43" s="321" t="s">
        <v>144</v>
      </c>
      <c r="C43" s="321" t="s">
        <v>145</v>
      </c>
      <c r="D43" s="321"/>
      <c r="E43" s="322" t="s">
        <v>146</v>
      </c>
      <c r="F43" s="323"/>
      <c r="G43" s="323"/>
      <c r="H43" s="323"/>
      <c r="I43" s="323"/>
      <c r="J43" s="323"/>
      <c r="K43" s="323"/>
      <c r="L43" s="323"/>
      <c r="M43" s="323"/>
      <c r="N43" s="324"/>
      <c r="O43" s="325" t="s">
        <v>147</v>
      </c>
      <c r="P43" s="325"/>
      <c r="Q43" s="325"/>
      <c r="R43" s="134"/>
      <c r="S43" s="135"/>
      <c r="T43" s="102"/>
      <c r="U43" s="102"/>
      <c r="V43" s="102"/>
      <c r="W43" s="102"/>
      <c r="X43" s="102"/>
      <c r="Y43" s="102"/>
      <c r="Z43" s="102"/>
      <c r="AA43" s="102"/>
    </row>
    <row r="44" spans="1:34" ht="51.75" customHeight="1">
      <c r="A44" s="101"/>
      <c r="B44" s="321"/>
      <c r="C44" s="321"/>
      <c r="D44" s="321"/>
      <c r="E44" s="326" t="s">
        <v>148</v>
      </c>
      <c r="F44" s="326"/>
      <c r="G44" s="321" t="s">
        <v>149</v>
      </c>
      <c r="H44" s="321"/>
      <c r="I44" s="321" t="s">
        <v>150</v>
      </c>
      <c r="J44" s="321"/>
      <c r="K44" s="327" t="s">
        <v>151</v>
      </c>
      <c r="L44" s="328"/>
      <c r="M44" s="321" t="s">
        <v>152</v>
      </c>
      <c r="N44" s="321"/>
      <c r="O44" s="329" t="s">
        <v>59</v>
      </c>
      <c r="P44" s="329"/>
      <c r="Q44" s="329"/>
      <c r="R44" s="134"/>
      <c r="S44" s="135"/>
      <c r="T44" s="102"/>
      <c r="U44" s="102"/>
      <c r="V44" s="102"/>
      <c r="W44" s="102"/>
      <c r="X44" s="102"/>
      <c r="Y44" s="102"/>
      <c r="Z44" s="102"/>
      <c r="AA44" s="102"/>
    </row>
    <row r="45" spans="1:34" ht="36" customHeight="1">
      <c r="A45" s="101"/>
      <c r="B45" s="136">
        <v>1</v>
      </c>
      <c r="C45" s="315">
        <f>IF(B45&gt;SS!$C$13,"-",SS!$C$10)</f>
        <v>50000</v>
      </c>
      <c r="D45" s="317"/>
      <c r="E45" s="333">
        <v>0</v>
      </c>
      <c r="F45" s="334"/>
      <c r="G45" s="315">
        <f>IF(B45&lt;=SS!$C$9,IFERROR(IF(SS!$C$10&gt;=30000,$AE$3,$AD$3)*SUM($C$45:C45),"-"),0)</f>
        <v>3000</v>
      </c>
      <c r="H45" s="317"/>
      <c r="I45" s="315" t="str">
        <f>IF(B45=SS!$C$9,AH46+$P$28,"-")</f>
        <v>-</v>
      </c>
      <c r="J45" s="317"/>
      <c r="K45" s="315">
        <f ca="1">IF(B45&lt;=SS!$C$9,SUM($G45:G$45)+MAX($P$28,10*SS!$C$10,105%*SUM($AF46:AF$46)),0)</f>
        <v>672500</v>
      </c>
      <c r="L45" s="317"/>
      <c r="M45" s="330">
        <f>IF(B45&lt;=SS!$C$9,AG22,"-")</f>
        <v>0</v>
      </c>
      <c r="N45" s="332"/>
      <c r="O45" s="330">
        <f ca="1">((IF(B45&gt;SS!$C$13,1,Output!B45/SS!$C$13)*SS!$C$11)+SUM($G45:G$45))*IF(AD48="NA",0,AD48)</f>
        <v>0</v>
      </c>
      <c r="P45" s="331"/>
      <c r="Q45" s="332"/>
      <c r="R45" s="134"/>
      <c r="S45" s="135"/>
      <c r="T45" s="102"/>
      <c r="U45" s="102"/>
      <c r="V45" s="102"/>
      <c r="W45" s="102"/>
      <c r="X45" s="102"/>
      <c r="Y45" s="102"/>
      <c r="Z45" s="102"/>
      <c r="AA45" s="102"/>
      <c r="AC45" s="12" t="s">
        <v>54</v>
      </c>
      <c r="AF45" s="12" t="s">
        <v>153</v>
      </c>
      <c r="AH45" s="12">
        <f>IF(F31="Monthly",12,1)</f>
        <v>1</v>
      </c>
    </row>
    <row r="46" spans="1:34" ht="25.5">
      <c r="A46" s="101"/>
      <c r="B46" s="136">
        <v>2</v>
      </c>
      <c r="C46" s="315">
        <f>IF(B46&gt;SS!$C$13,"-",SS!$C$10)</f>
        <v>50000</v>
      </c>
      <c r="D46" s="317"/>
      <c r="E46" s="333">
        <v>0</v>
      </c>
      <c r="F46" s="334"/>
      <c r="G46" s="315">
        <f>IF(B46&lt;=SS!$C$9,IFERROR(IF(SS!$C$10&gt;=30000,$AE$3,$AD$3)*SUM($C$45:C46),"-"),0)</f>
        <v>6000</v>
      </c>
      <c r="H46" s="317"/>
      <c r="I46" s="315" t="str">
        <f>IF(B46=SS!$C$9,AH47+$P$28,"-")</f>
        <v>-</v>
      </c>
      <c r="J46" s="317"/>
      <c r="K46" s="315">
        <f ca="1">IF(B46&lt;=SS!$C$9,SUM($G$45:G46)+MAX($P$28,10*SS!$C$10,105%*SUM($AF$46:AF47)),0)</f>
        <v>678500</v>
      </c>
      <c r="L46" s="317"/>
      <c r="M46" s="330">
        <f>IF(B46&lt;=SS!$C$9,AG23*SUM($AF$46:AF47),"-")</f>
        <v>30000</v>
      </c>
      <c r="N46" s="332"/>
      <c r="O46" s="330">
        <f ca="1">((IF(B46&gt;SS!$C$13,1,Output!B46/SS!$C$13)*SS!$C$11)+SUM($G$45:G46))*IF(AD49="NA",0,AD49)</f>
        <v>49300.499999999993</v>
      </c>
      <c r="P46" s="331"/>
      <c r="Q46" s="332"/>
      <c r="R46" s="134"/>
      <c r="S46" s="135"/>
      <c r="T46" s="102"/>
      <c r="U46" s="102"/>
      <c r="V46" s="102"/>
      <c r="W46" s="102"/>
      <c r="X46" s="102"/>
      <c r="Y46" s="102"/>
      <c r="Z46" s="102"/>
      <c r="AA46" s="102"/>
      <c r="AC46" s="194" t="s">
        <v>55</v>
      </c>
      <c r="AD46" s="195" t="s">
        <v>56</v>
      </c>
      <c r="AF46" s="12">
        <f>IF(B45&lt;=$F$30,$P$27*$AH$45,0)</f>
        <v>50000</v>
      </c>
      <c r="AH46" s="80">
        <f>SUM(G$45:G45)</f>
        <v>3000</v>
      </c>
    </row>
    <row r="47" spans="1:34">
      <c r="A47" s="101"/>
      <c r="B47" s="136">
        <v>3</v>
      </c>
      <c r="C47" s="315">
        <f>IF(B47&gt;SS!$C$13,"-",SS!$C$10)</f>
        <v>50000</v>
      </c>
      <c r="D47" s="317"/>
      <c r="E47" s="333">
        <v>0</v>
      </c>
      <c r="F47" s="334"/>
      <c r="G47" s="315">
        <f>IF(B47&lt;=SS!$C$9,IFERROR(IF(SS!$C$10&gt;=30000,$AE$3,$AD$3)*SUM($C$45:C47),"-"),0)</f>
        <v>9000</v>
      </c>
      <c r="H47" s="317"/>
      <c r="I47" s="315" t="str">
        <f>IF(B47=SS!$C$9,AH48+$P$28,"-")</f>
        <v>-</v>
      </c>
      <c r="J47" s="317"/>
      <c r="K47" s="315">
        <f ca="1">IF(B47&lt;=SS!$C$9,SUM($G$45:G47)+MAX($P$28,10*SS!$C$10,105%*SUM($AF$46:AF48)),0)</f>
        <v>687500</v>
      </c>
      <c r="L47" s="317"/>
      <c r="M47" s="330">
        <f>IF(B47&lt;=SS!$C$9,AG24*SUM($AF$46:AF48),"-")</f>
        <v>52500</v>
      </c>
      <c r="N47" s="332"/>
      <c r="O47" s="330">
        <f ca="1">((IF(B47&gt;SS!$C$13,1,Output!B47/SS!$C$13)*SS!$C$11)+SUM($G$45:G47))*IF(AD50="NA",0,AD50)</f>
        <v>87386.804999999993</v>
      </c>
      <c r="P47" s="331"/>
      <c r="Q47" s="332"/>
      <c r="R47" s="134"/>
      <c r="S47" s="135"/>
      <c r="T47" s="102"/>
      <c r="U47" s="102"/>
      <c r="V47" s="102"/>
      <c r="W47" s="102"/>
      <c r="X47" s="102"/>
      <c r="Y47" s="102"/>
      <c r="Z47" s="102"/>
      <c r="AA47" s="102"/>
      <c r="AC47" s="194"/>
      <c r="AD47" s="139"/>
      <c r="AF47" s="12">
        <f t="shared" ref="AF47:AF65" si="0">IF(B46&lt;=$F$30,$P$27*$AH$45,0)</f>
        <v>50000</v>
      </c>
      <c r="AH47" s="80">
        <f>SUM(G$45:G46)</f>
        <v>9000</v>
      </c>
    </row>
    <row r="48" spans="1:34" ht="15" customHeight="1" thickBot="1">
      <c r="A48" s="101"/>
      <c r="B48" s="136">
        <v>4</v>
      </c>
      <c r="C48" s="315">
        <f>IF(B48&gt;SS!$C$13,"-",SS!$C$10)</f>
        <v>50000</v>
      </c>
      <c r="D48" s="317"/>
      <c r="E48" s="333">
        <v>0</v>
      </c>
      <c r="F48" s="334"/>
      <c r="G48" s="315">
        <f>IF(B48&lt;=SS!$C$9,IFERROR(IF(SS!$C$10&gt;=30000,$AE$3,$AD$3)*SUM($C$45:C48),"-"),0)</f>
        <v>12000</v>
      </c>
      <c r="H48" s="317"/>
      <c r="I48" s="315" t="str">
        <f>IF(B48=SS!$C$9,AH49+$P$28,"-")</f>
        <v>-</v>
      </c>
      <c r="J48" s="317"/>
      <c r="K48" s="315">
        <f ca="1">IF(B48&lt;=SS!$C$9,SUM($G$45:G48)+MAX($P$28,10*SS!$C$10,105%*SUM($AF$46:AF49)),0)</f>
        <v>699500</v>
      </c>
      <c r="L48" s="317"/>
      <c r="M48" s="330">
        <f>IF(B48&lt;=SS!$C$9,AG25*SUM($AF$46:AF49),"-")</f>
        <v>100000</v>
      </c>
      <c r="N48" s="332"/>
      <c r="O48" s="330">
        <f ca="1">((IF(B48&gt;SS!$C$13,1,Output!B48/SS!$C$13)*SS!$C$11)+SUM($G$45:G48))*IF(AD51="NA",0,AD51)</f>
        <v>132312.53999999998</v>
      </c>
      <c r="P48" s="331"/>
      <c r="Q48" s="332"/>
      <c r="R48" s="134"/>
      <c r="S48" s="135"/>
      <c r="T48" s="102"/>
      <c r="U48" s="102"/>
      <c r="V48" s="102"/>
      <c r="W48" s="102"/>
      <c r="X48" s="102"/>
      <c r="Y48" s="102"/>
      <c r="Z48" s="102"/>
      <c r="AA48" s="102"/>
      <c r="AC48" s="193">
        <v>1</v>
      </c>
      <c r="AD48" s="192">
        <f>VLOOKUP(B45,SSV!$J$4:$M$24,MATCH(SS!$C$13,SSV!$J$4:$M$4,0),FALSE)</f>
        <v>0</v>
      </c>
      <c r="AF48" s="12">
        <f t="shared" si="0"/>
        <v>50000</v>
      </c>
      <c r="AH48" s="80">
        <f>SUM(G$45:G47)</f>
        <v>18000</v>
      </c>
    </row>
    <row r="49" spans="1:34" ht="15.75" thickBot="1">
      <c r="A49" s="101"/>
      <c r="B49" s="136">
        <v>5</v>
      </c>
      <c r="C49" s="315">
        <f>IF(B49&gt;SS!$C$13,"-",SS!$C$10)</f>
        <v>50000</v>
      </c>
      <c r="D49" s="317"/>
      <c r="E49" s="333">
        <v>0</v>
      </c>
      <c r="F49" s="334"/>
      <c r="G49" s="315">
        <f>IF(B49&lt;=SS!$C$9,IFERROR(IF(SS!$C$10&gt;=30000,$AE$3,$AD$3)*SUM($C$45:C49),"-"),0)</f>
        <v>15000</v>
      </c>
      <c r="H49" s="317"/>
      <c r="I49" s="315" t="str">
        <f>IF(B49=SS!$C$9,AH50+$P$28,"-")</f>
        <v>-</v>
      </c>
      <c r="J49" s="317"/>
      <c r="K49" s="315">
        <f ca="1">IF(B49&lt;=SS!$C$9,SUM($G$45:G49)+MAX($P$28,10*SS!$C$10,105%*SUM($AF$46:AF50)),0)</f>
        <v>714500</v>
      </c>
      <c r="L49" s="317"/>
      <c r="M49" s="330">
        <f>IF(B49&lt;=SS!$C$9,AG26*SUM($AF$46:AF50),"-")</f>
        <v>125000</v>
      </c>
      <c r="N49" s="332"/>
      <c r="O49" s="330">
        <f ca="1">((IF(B49&gt;SS!$C$13,1,Output!B49/SS!$C$13)*SS!$C$11)+SUM($G$45:G49))*IF(AD52="NA",0,AD52)</f>
        <v>184064.82500000001</v>
      </c>
      <c r="P49" s="331"/>
      <c r="Q49" s="332"/>
      <c r="R49" s="134"/>
      <c r="S49" s="135"/>
      <c r="T49" s="102"/>
      <c r="U49" s="102"/>
      <c r="V49" s="102"/>
      <c r="W49" s="102"/>
      <c r="X49" s="102"/>
      <c r="Y49" s="102"/>
      <c r="Z49" s="102"/>
      <c r="AA49" s="102"/>
      <c r="AC49" s="193">
        <v>2</v>
      </c>
      <c r="AD49" s="192">
        <f>VLOOKUP(B46,SSV!$J$4:$M$24,MATCH(SS!$C$13,SSV!$J$4:$M$4,0),FALSE)</f>
        <v>0.34499999999999997</v>
      </c>
      <c r="AF49" s="12">
        <f t="shared" si="0"/>
        <v>50000</v>
      </c>
      <c r="AH49" s="80">
        <f>SUM(G$45:G48)</f>
        <v>30000</v>
      </c>
    </row>
    <row r="50" spans="1:34" ht="15.75" thickBot="1">
      <c r="A50" s="101"/>
      <c r="B50" s="136">
        <v>6</v>
      </c>
      <c r="C50" s="315">
        <f>IF(B50&gt;SS!$C$13,"-",SS!$C$10)</f>
        <v>50000</v>
      </c>
      <c r="D50" s="317"/>
      <c r="E50" s="333">
        <v>0</v>
      </c>
      <c r="F50" s="334"/>
      <c r="G50" s="315">
        <f>IF(B50&lt;=SS!$C$9,IFERROR(IF(SS!$C$10&gt;=30000,$AE$3,$AD$3)*SUM($C$45:C50),"-"),0)</f>
        <v>18000</v>
      </c>
      <c r="H50" s="317"/>
      <c r="I50" s="315" t="str">
        <f>IF(B50=SS!$C$9,AH51+$P$28,"-")</f>
        <v>-</v>
      </c>
      <c r="J50" s="317"/>
      <c r="K50" s="315">
        <f ca="1">IF(B50&lt;=SS!$C$9,SUM($G$45:G50)+MAX($P$28,10*SS!$C$10,105%*SUM($AF$46:AF51)),0)</f>
        <v>732500</v>
      </c>
      <c r="L50" s="317"/>
      <c r="M50" s="330">
        <f>IF(B50&lt;=SS!$C$9,AG27*SUM($AF$46:AF51),"-")</f>
        <v>150000</v>
      </c>
      <c r="N50" s="332"/>
      <c r="O50" s="330">
        <f ca="1">((IF(B50&gt;SS!$C$13,1,Output!B50/SS!$C$13)*SS!$C$11)+SUM($G$45:G50))*IF(AD53="NA",0,AD53)</f>
        <v>243270.44999999998</v>
      </c>
      <c r="P50" s="331"/>
      <c r="Q50" s="332"/>
      <c r="R50" s="134"/>
      <c r="S50" s="135"/>
      <c r="T50" s="102"/>
      <c r="U50" s="102"/>
      <c r="V50" s="102"/>
      <c r="W50" s="102"/>
      <c r="X50" s="102"/>
      <c r="Y50" s="102"/>
      <c r="Z50" s="102"/>
      <c r="AA50" s="102"/>
      <c r="AC50" s="193">
        <v>3</v>
      </c>
      <c r="AD50" s="192">
        <f>VLOOKUP(B47,SSV!$J$4:$M$24,MATCH(SS!$C$13,SSV!$J$4:$M$4,0),FALSE)</f>
        <v>0.39929999999999999</v>
      </c>
      <c r="AF50" s="12">
        <f t="shared" si="0"/>
        <v>50000</v>
      </c>
      <c r="AH50" s="80">
        <f>SUM(G$45:G49)</f>
        <v>45000</v>
      </c>
    </row>
    <row r="51" spans="1:34" ht="15.75" thickBot="1">
      <c r="A51" s="101"/>
      <c r="B51" s="136">
        <v>7</v>
      </c>
      <c r="C51" s="315">
        <f>IF(B51&gt;SS!$C$13,"-",SS!$C$10)</f>
        <v>50000</v>
      </c>
      <c r="D51" s="317"/>
      <c r="E51" s="333">
        <v>0</v>
      </c>
      <c r="F51" s="334"/>
      <c r="G51" s="315">
        <f>IF(B51&lt;=SS!$C$9,IFERROR(IF(SS!$C$10&gt;=30000,$AE$3,$AD$3)*SUM($C$45:C51),"-"),0)</f>
        <v>21000</v>
      </c>
      <c r="H51" s="317"/>
      <c r="I51" s="315" t="str">
        <f>IF(B51=SS!$C$9,AH52+$P$28,"-")</f>
        <v>-</v>
      </c>
      <c r="J51" s="317"/>
      <c r="K51" s="315">
        <f ca="1">IF(B51&lt;=SS!$C$9,SUM($G$45:G51)+MAX($P$28,10*SS!$C$10,105%*SUM($AF$46:AF52)),0)</f>
        <v>753500</v>
      </c>
      <c r="L51" s="317"/>
      <c r="M51" s="330">
        <f>IF(B51&lt;=SS!$C$9,AG28*SUM($AF$46:AF52),"-")</f>
        <v>175000</v>
      </c>
      <c r="N51" s="332"/>
      <c r="O51" s="330">
        <f ca="1">((IF(B51&gt;SS!$C$13,1,Output!B51/SS!$C$13)*SS!$C$11)+SUM($G$45:G51))*IF(AD54="NA",0,AD54)</f>
        <v>310589.30000000005</v>
      </c>
      <c r="P51" s="331"/>
      <c r="Q51" s="332"/>
      <c r="R51" s="134"/>
      <c r="S51" s="135"/>
      <c r="T51" s="102"/>
      <c r="U51" s="102"/>
      <c r="V51" s="102"/>
      <c r="W51" s="102"/>
      <c r="X51" s="102"/>
      <c r="Y51" s="102"/>
      <c r="Z51" s="102"/>
      <c r="AA51" s="102"/>
      <c r="AC51" s="193">
        <v>4</v>
      </c>
      <c r="AD51" s="192">
        <f>VLOOKUP(B48,SSV!$J$4:$M$24,MATCH(SS!$C$13,SSV!$J$4:$M$4,0),FALSE)</f>
        <v>0.44429999999999997</v>
      </c>
      <c r="AF51" s="12">
        <f t="shared" si="0"/>
        <v>50000</v>
      </c>
      <c r="AH51" s="80">
        <f>SUM(G$45:G50)</f>
        <v>63000</v>
      </c>
    </row>
    <row r="52" spans="1:34" ht="15.75" thickBot="1">
      <c r="A52" s="101"/>
      <c r="B52" s="136">
        <v>8</v>
      </c>
      <c r="C52" s="315">
        <f>IF(B52&gt;SS!$C$13,"-",SS!$C$10)</f>
        <v>50000</v>
      </c>
      <c r="D52" s="317"/>
      <c r="E52" s="333">
        <v>0</v>
      </c>
      <c r="F52" s="334"/>
      <c r="G52" s="315">
        <f>IF(B52&lt;=SS!$C$9,IFERROR(IF(SS!$C$10&gt;=30000,$AE$3,$AD$3)*SUM($C$45:C52),"-"),0)</f>
        <v>24000</v>
      </c>
      <c r="H52" s="317"/>
      <c r="I52" s="315" t="str">
        <f>IF(B52=SS!$C$9,AH53+$P$28,"-")</f>
        <v>-</v>
      </c>
      <c r="J52" s="317"/>
      <c r="K52" s="315">
        <f ca="1">IF(B52&lt;=SS!$C$9,SUM($G$45:G52)+MAX($P$28,10*SS!$C$10,105%*SUM($AF$46:AF53)),0)</f>
        <v>777500</v>
      </c>
      <c r="L52" s="317"/>
      <c r="M52" s="330">
        <f>IF(B52&lt;=SS!$C$9,AG29*SUM($AF$46:AF53),"-")</f>
        <v>212000</v>
      </c>
      <c r="N52" s="332"/>
      <c r="O52" s="330">
        <f ca="1">((IF(B52&gt;SS!$C$13,1,Output!B52/SS!$C$13)*SS!$C$11)+SUM($G$45:G52))*IF(AD55="NA",0,AD55)</f>
        <v>386867.95999999996</v>
      </c>
      <c r="P52" s="331"/>
      <c r="Q52" s="332"/>
      <c r="R52" s="134"/>
      <c r="S52" s="135"/>
      <c r="T52" s="102"/>
      <c r="U52" s="102"/>
      <c r="V52" s="102"/>
      <c r="W52" s="102"/>
      <c r="X52" s="102"/>
      <c r="Y52" s="102"/>
      <c r="Z52" s="102"/>
      <c r="AA52" s="102"/>
      <c r="AC52" s="193">
        <v>5</v>
      </c>
      <c r="AD52" s="192">
        <f>VLOOKUP(B49,SSV!$J$4:$M$24,MATCH(SS!$C$13,SSV!$J$4:$M$4,0),FALSE)</f>
        <v>0.48470000000000002</v>
      </c>
      <c r="AF52" s="12">
        <f t="shared" si="0"/>
        <v>50000</v>
      </c>
      <c r="AH52" s="80">
        <f>SUM(G$45:G51)</f>
        <v>84000</v>
      </c>
    </row>
    <row r="53" spans="1:34" ht="15.75" thickBot="1">
      <c r="A53" s="101"/>
      <c r="B53" s="136">
        <v>9</v>
      </c>
      <c r="C53" s="315">
        <f>IF(B53&gt;SS!$C$13,"-",SS!$C$10)</f>
        <v>50000</v>
      </c>
      <c r="D53" s="317"/>
      <c r="E53" s="333">
        <v>0</v>
      </c>
      <c r="F53" s="334"/>
      <c r="G53" s="315">
        <f>IF(B53&lt;=SS!$C$9,IFERROR(IF(SS!$C$10&gt;=30000,$AE$3,$AD$3)*SUM($C$45:C53),"-"),0)</f>
        <v>27000</v>
      </c>
      <c r="H53" s="317"/>
      <c r="I53" s="315" t="str">
        <f>IF(B53=SS!$C$9,AH54+$P$28,"-")</f>
        <v>-</v>
      </c>
      <c r="J53" s="317"/>
      <c r="K53" s="315">
        <f ca="1">IF(B53&lt;=SS!$C$9,SUM($G$45:G53)+MAX($P$28,10*SS!$C$10,105%*SUM($AF$46:AF54)),0)</f>
        <v>804500</v>
      </c>
      <c r="L53" s="317"/>
      <c r="M53" s="330">
        <f>IF(B53&lt;=SS!$C$9,AG30*SUM($AF$46:AF54),"-")</f>
        <v>256499.99999999997</v>
      </c>
      <c r="N53" s="332"/>
      <c r="O53" s="330">
        <f ca="1">((IF(B53&gt;SS!$C$13,1,Output!B53/SS!$C$13)*SS!$C$11)+SUM($G$45:G53))*IF(AD56="NA",0,AD56)</f>
        <v>472917.06</v>
      </c>
      <c r="P53" s="331"/>
      <c r="Q53" s="332"/>
      <c r="R53" s="134"/>
      <c r="S53" s="135"/>
      <c r="T53" s="102"/>
      <c r="U53" s="102"/>
      <c r="V53" s="102"/>
      <c r="W53" s="102"/>
      <c r="X53" s="102"/>
      <c r="Y53" s="102"/>
      <c r="Z53" s="102"/>
      <c r="AA53" s="102"/>
      <c r="AC53" s="193">
        <v>6</v>
      </c>
      <c r="AD53" s="192">
        <f>VLOOKUP(B50,SSV!$J$4:$M$24,MATCH(SS!$C$13,SSV!$J$4:$M$4,0),FALSE)</f>
        <v>0.52349999999999997</v>
      </c>
      <c r="AF53" s="12">
        <f t="shared" si="0"/>
        <v>50000</v>
      </c>
      <c r="AH53" s="80">
        <f>SUM(G$45:G52)</f>
        <v>108000</v>
      </c>
    </row>
    <row r="54" spans="1:34" ht="15.75" thickBot="1">
      <c r="A54" s="101"/>
      <c r="B54" s="136">
        <v>10</v>
      </c>
      <c r="C54" s="315">
        <f>IF(B54&gt;SS!$C$13,"-",SS!$C$10)</f>
        <v>50000</v>
      </c>
      <c r="D54" s="317"/>
      <c r="E54" s="333">
        <v>0</v>
      </c>
      <c r="F54" s="334"/>
      <c r="G54" s="315">
        <f>IF(B54&lt;=SS!$C$9,IFERROR(IF(SS!$C$10&gt;=30000,$AE$3,$AD$3)*SUM($C$45:C54),"-"),0)</f>
        <v>30000</v>
      </c>
      <c r="H54" s="317"/>
      <c r="I54" s="315" t="str">
        <f>IF(B54=SS!$C$9,AH55+$P$28,"-")</f>
        <v>-</v>
      </c>
      <c r="J54" s="317"/>
      <c r="K54" s="315">
        <f ca="1">IF(B54&lt;=SS!$C$9,SUM($G$45:G54)+MAX($P$28,10*SS!$C$10,105%*SUM($AF$46:AF55)),0)</f>
        <v>834500</v>
      </c>
      <c r="L54" s="317"/>
      <c r="M54" s="330">
        <f>IF(B54&lt;=SS!$C$9,AG31*SUM($AF$46:AF55),"-")</f>
        <v>300000</v>
      </c>
      <c r="N54" s="332"/>
      <c r="O54" s="330">
        <f ca="1">((IF(B54&gt;SS!$C$13,1,Output!B54/SS!$C$13)*SS!$C$11)+SUM($G$45:G54))*IF(AD57="NA",0,AD57)</f>
        <v>569629.69999999995</v>
      </c>
      <c r="P54" s="331"/>
      <c r="Q54" s="332"/>
      <c r="R54" s="102"/>
      <c r="S54" s="141"/>
      <c r="T54" s="102"/>
      <c r="U54" s="102"/>
      <c r="V54" s="102"/>
      <c r="W54" s="102"/>
      <c r="X54" s="102"/>
      <c r="Y54" s="102"/>
      <c r="Z54" s="102"/>
      <c r="AA54" s="102"/>
      <c r="AC54" s="193">
        <v>7</v>
      </c>
      <c r="AD54" s="192">
        <f>VLOOKUP(B51,SSV!$J$4:$M$24,MATCH(SS!$C$13,SSV!$J$4:$M$4,0),FALSE)</f>
        <v>0.56200000000000006</v>
      </c>
      <c r="AF54" s="12">
        <f t="shared" si="0"/>
        <v>50000</v>
      </c>
      <c r="AH54" s="80">
        <f>SUM(G$45:G53)</f>
        <v>135000</v>
      </c>
    </row>
    <row r="55" spans="1:34" ht="15.75" thickBot="1">
      <c r="A55" s="101"/>
      <c r="B55" s="136">
        <v>11</v>
      </c>
      <c r="C55" s="315" t="str">
        <f>IF(B55&gt;SS!$C$13,"-",SS!$C$10)</f>
        <v>-</v>
      </c>
      <c r="D55" s="317"/>
      <c r="E55" s="333">
        <v>0</v>
      </c>
      <c r="F55" s="334"/>
      <c r="G55" s="315">
        <f>IF(B55&lt;=SS!$C$9,IFERROR(IF(SS!$C$10&gt;=30000,$AE$3,$AD$3)*SUM($C$45:C55),"-"),0)</f>
        <v>30000</v>
      </c>
      <c r="H55" s="317"/>
      <c r="I55" s="315" t="str">
        <f>IF(B55=SS!$C$9,AH56+$P$28,"-")</f>
        <v>-</v>
      </c>
      <c r="J55" s="317"/>
      <c r="K55" s="315">
        <f ca="1">IF(B55&lt;=SS!$C$9,SUM($G$45:G55)+MAX($P$28,10*SS!$C$10,105%*SUM($AF$46:AF56)),0)</f>
        <v>864500</v>
      </c>
      <c r="L55" s="317"/>
      <c r="M55" s="330">
        <f>IF(B55&lt;=SS!$C$9,AG32*SUM($AF$46:AF56),"-")</f>
        <v>315000</v>
      </c>
      <c r="N55" s="332"/>
      <c r="O55" s="330">
        <f ca="1">((IF(B55&gt;SS!$C$13,1,Output!B55/SS!$C$13)*SS!$C$11)+SUM($G$45:G55))*IF(AD58="NA",0,AD58)</f>
        <v>608608</v>
      </c>
      <c r="P55" s="331"/>
      <c r="Q55" s="332"/>
      <c r="R55" s="102"/>
      <c r="S55" s="141"/>
      <c r="T55" s="102"/>
      <c r="U55" s="102"/>
      <c r="V55" s="102"/>
      <c r="W55" s="102"/>
      <c r="X55" s="102"/>
      <c r="Y55" s="102"/>
      <c r="Z55" s="102"/>
      <c r="AA55" s="102"/>
      <c r="AC55" s="193">
        <v>8</v>
      </c>
      <c r="AD55" s="192">
        <f>VLOOKUP(B52,SSV!$J$4:$M$24,MATCH(SS!$C$13,SSV!$J$4:$M$4,0),FALSE)</f>
        <v>0.60109999999999997</v>
      </c>
      <c r="AF55" s="12">
        <f t="shared" si="0"/>
        <v>50000</v>
      </c>
      <c r="AH55" s="80">
        <f>SUM(G$45:G54)</f>
        <v>165000</v>
      </c>
    </row>
    <row r="56" spans="1:34" ht="15.75" thickBot="1">
      <c r="A56" s="101"/>
      <c r="B56" s="136">
        <v>12</v>
      </c>
      <c r="C56" s="315" t="str">
        <f>IF(B56&gt;SS!$C$13,"-",SS!$C$10)</f>
        <v>-</v>
      </c>
      <c r="D56" s="317"/>
      <c r="E56" s="333">
        <v>0</v>
      </c>
      <c r="F56" s="334"/>
      <c r="G56" s="315">
        <f>IF(B56&lt;=SS!$C$9,IFERROR(IF(SS!$C$10&gt;=30000,$AE$3,$AD$3)*SUM($C$45:C56),"-"),0)</f>
        <v>30000</v>
      </c>
      <c r="H56" s="317"/>
      <c r="I56" s="315" t="str">
        <f>IF(B56=SS!$C$9,AH57+$P$28,"-")</f>
        <v>-</v>
      </c>
      <c r="J56" s="317"/>
      <c r="K56" s="315">
        <f ca="1">IF(B56&lt;=SS!$C$9,SUM($G$45:G56)+MAX($P$28,10*SS!$C$10,105%*SUM($AF$46:AF57)),0)</f>
        <v>894500</v>
      </c>
      <c r="L56" s="317"/>
      <c r="M56" s="330">
        <f>IF(B56&lt;=SS!$C$9,AG33*SUM($AF$46:AF57),"-")</f>
        <v>335000</v>
      </c>
      <c r="N56" s="332"/>
      <c r="O56" s="330">
        <f ca="1">((IF(B56&gt;SS!$C$13,1,Output!B56/SS!$C$13)*SS!$C$11)+SUM($G$45:G56))*IF(AD59="NA",0,AD59)</f>
        <v>650659.30000000005</v>
      </c>
      <c r="P56" s="331"/>
      <c r="Q56" s="332"/>
      <c r="R56" s="102"/>
      <c r="S56" s="141"/>
      <c r="T56" s="102"/>
      <c r="U56" s="102"/>
      <c r="V56" s="102"/>
      <c r="W56" s="102"/>
      <c r="X56" s="102"/>
      <c r="Y56" s="102"/>
      <c r="Z56" s="102"/>
      <c r="AA56" s="102"/>
      <c r="AC56" s="193">
        <v>9</v>
      </c>
      <c r="AD56" s="192">
        <f>VLOOKUP(B53,SSV!$J$4:$M$24,MATCH(SS!$C$13,SSV!$J$4:$M$4,0),FALSE)</f>
        <v>0.64119999999999999</v>
      </c>
      <c r="AF56" s="12">
        <f t="shared" si="0"/>
        <v>0</v>
      </c>
      <c r="AH56" s="80">
        <f>SUM(G$45:G55)</f>
        <v>195000</v>
      </c>
    </row>
    <row r="57" spans="1:34" ht="15.75" thickBot="1">
      <c r="A57" s="101"/>
      <c r="B57" s="136">
        <v>13</v>
      </c>
      <c r="C57" s="315" t="str">
        <f>IF(B57&gt;SS!$C$13,"-",SS!$C$10)</f>
        <v>-</v>
      </c>
      <c r="D57" s="317"/>
      <c r="E57" s="333">
        <v>0</v>
      </c>
      <c r="F57" s="334"/>
      <c r="G57" s="315">
        <f>IF(B57&lt;=SS!$C$9,IFERROR(IF(SS!$C$10&gt;=30000,$AE$3,$AD$3)*SUM($C$45:C57),"-"),0)</f>
        <v>30000</v>
      </c>
      <c r="H57" s="317"/>
      <c r="I57" s="315" t="str">
        <f>IF(B57=SS!$C$9,AH58+$P$28,"-")</f>
        <v>-</v>
      </c>
      <c r="J57" s="317"/>
      <c r="K57" s="315">
        <f ca="1">IF(B57&lt;=SS!$C$9,SUM($G$45:G57)+MAX($P$28,10*SS!$C$10,105%*SUM($AF$46:AF58)),0)</f>
        <v>924500</v>
      </c>
      <c r="L57" s="317"/>
      <c r="M57" s="330">
        <f>IF(B57&lt;=SS!$C$9,AG34*SUM($AF$46:AF58),"-")</f>
        <v>350000</v>
      </c>
      <c r="N57" s="332"/>
      <c r="O57" s="330">
        <f ca="1">((IF(B57&gt;SS!$C$13,1,Output!B57/SS!$C$13)*SS!$C$11)+SUM($G$45:G57))*IF(AD60="NA",0,AD60)</f>
        <v>695778.70000000007</v>
      </c>
      <c r="P57" s="331"/>
      <c r="Q57" s="332"/>
      <c r="R57" s="102"/>
      <c r="S57" s="141"/>
      <c r="T57" s="102"/>
      <c r="U57" s="102"/>
      <c r="V57" s="102"/>
      <c r="W57" s="102"/>
      <c r="X57" s="102"/>
      <c r="Y57" s="102"/>
      <c r="Z57" s="102"/>
      <c r="AA57" s="102"/>
      <c r="AC57" s="193">
        <v>10</v>
      </c>
      <c r="AD57" s="192">
        <f>VLOOKUP(B54,SSV!$J$4:$M$24,MATCH(SS!$C$13,SSV!$J$4:$M$4,0),FALSE)</f>
        <v>0.68259999999999998</v>
      </c>
      <c r="AF57" s="12">
        <f t="shared" si="0"/>
        <v>0</v>
      </c>
      <c r="AH57" s="80">
        <f>SUM(G$45:G56)</f>
        <v>225000</v>
      </c>
    </row>
    <row r="58" spans="1:34" ht="15.75" thickBot="1">
      <c r="A58" s="101"/>
      <c r="B58" s="136">
        <v>14</v>
      </c>
      <c r="C58" s="315" t="str">
        <f>IF(B58&gt;SS!$C$13,"-",SS!$C$10)</f>
        <v>-</v>
      </c>
      <c r="D58" s="317"/>
      <c r="E58" s="333">
        <v>0</v>
      </c>
      <c r="F58" s="334"/>
      <c r="G58" s="315">
        <f>IF(B58&lt;=SS!$C$9,IFERROR(IF(SS!$C$10&gt;=30000,$AE$3,$AD$3)*SUM($C$45:C58),"-"),0)</f>
        <v>30000</v>
      </c>
      <c r="H58" s="317"/>
      <c r="I58" s="315" t="str">
        <f>IF(B58=SS!$C$9,AH59+$P$28,"-")</f>
        <v>-</v>
      </c>
      <c r="J58" s="317"/>
      <c r="K58" s="315">
        <f ca="1">IF(B58&lt;=SS!$C$9,SUM($G$45:G58)+MAX($P$28,10*SS!$C$10,105%*SUM($AF$46:AF59)),0)</f>
        <v>954500</v>
      </c>
      <c r="L58" s="317"/>
      <c r="M58" s="330">
        <f>IF(B58&lt;=SS!$C$9,AG35*SUM($AF$46:AF59),"-")</f>
        <v>365000</v>
      </c>
      <c r="N58" s="332"/>
      <c r="O58" s="330">
        <f ca="1">((IF(B58&gt;SS!$C$13,1,Output!B58/SS!$C$13)*SS!$C$11)+SUM($G$45:G58))*IF(AD61="NA",0,AD61)</f>
        <v>744319.10000000009</v>
      </c>
      <c r="P58" s="331"/>
      <c r="Q58" s="332"/>
      <c r="R58" s="102"/>
      <c r="S58" s="141"/>
      <c r="T58" s="102"/>
      <c r="U58" s="102"/>
      <c r="V58" s="102"/>
      <c r="W58" s="102"/>
      <c r="X58" s="102"/>
      <c r="Y58" s="102"/>
      <c r="Z58" s="102"/>
      <c r="AA58" s="102"/>
      <c r="AC58" s="193">
        <v>11</v>
      </c>
      <c r="AD58" s="192">
        <f>VLOOKUP(B55,SSV!$J$4:$M$24,MATCH(SS!$C$13,SSV!$J$4:$M$4,0),FALSE)</f>
        <v>0.70399999999999996</v>
      </c>
      <c r="AF58" s="12">
        <f t="shared" si="0"/>
        <v>0</v>
      </c>
      <c r="AH58" s="80">
        <f>SUM(G$45:G57)</f>
        <v>255000</v>
      </c>
    </row>
    <row r="59" spans="1:34" ht="15.75" thickBot="1">
      <c r="A59" s="101"/>
      <c r="B59" s="136">
        <v>15</v>
      </c>
      <c r="C59" s="315" t="str">
        <f>IF(B59&gt;SS!$C$13,"-",SS!$C$10)</f>
        <v>-</v>
      </c>
      <c r="D59" s="317"/>
      <c r="E59" s="333">
        <v>0</v>
      </c>
      <c r="F59" s="334"/>
      <c r="G59" s="315">
        <f>IF(B59&lt;=SS!$C$9,IFERROR(IF(SS!$C$10&gt;=30000,$AE$3,$AD$3)*SUM($C$45:C59),"-"),0)</f>
        <v>30000</v>
      </c>
      <c r="H59" s="317"/>
      <c r="I59" s="315" t="str">
        <f>IF(B59=SS!$C$9,AH60+$P$28,"-")</f>
        <v>-</v>
      </c>
      <c r="J59" s="317"/>
      <c r="K59" s="315">
        <f ca="1">IF(B59&lt;=SS!$C$9,SUM($G$45:G59)+MAX($P$28,10*SS!$C$10,105%*SUM($AF$46:AF60)),0)</f>
        <v>984500</v>
      </c>
      <c r="L59" s="317"/>
      <c r="M59" s="330">
        <f>IF(B59&lt;=SS!$C$9,AG36*SUM($AF$46:AF60),"-")</f>
        <v>385000</v>
      </c>
      <c r="N59" s="332"/>
      <c r="O59" s="330">
        <f ca="1">((IF(B59&gt;SS!$C$13,1,Output!B59/SS!$C$13)*SS!$C$11)+SUM($G$45:G59))*IF(AD62="NA",0,AD62)</f>
        <v>796657.4</v>
      </c>
      <c r="P59" s="331"/>
      <c r="Q59" s="332"/>
      <c r="R59" s="102"/>
      <c r="S59" s="141"/>
      <c r="T59" s="102"/>
      <c r="U59" s="102"/>
      <c r="V59" s="102"/>
      <c r="W59" s="102"/>
      <c r="X59" s="102"/>
      <c r="Y59" s="102"/>
      <c r="Z59" s="102"/>
      <c r="AA59" s="102"/>
      <c r="AC59" s="193">
        <v>12</v>
      </c>
      <c r="AD59" s="192">
        <f>VLOOKUP(B56,SSV!$J$4:$M$24,MATCH(SS!$C$13,SSV!$J$4:$M$4,0),FALSE)</f>
        <v>0.72740000000000005</v>
      </c>
      <c r="AF59" s="12">
        <f t="shared" si="0"/>
        <v>0</v>
      </c>
      <c r="AH59" s="80">
        <f>SUM(G$45:G58)</f>
        <v>285000</v>
      </c>
    </row>
    <row r="60" spans="1:34" ht="15.75" thickBot="1">
      <c r="A60" s="101"/>
      <c r="B60" s="136">
        <v>16</v>
      </c>
      <c r="C60" s="315" t="str">
        <f>IF(B60&gt;SS!$C$13,"-",SS!$C$10)</f>
        <v>-</v>
      </c>
      <c r="D60" s="317"/>
      <c r="E60" s="333">
        <v>0</v>
      </c>
      <c r="F60" s="334"/>
      <c r="G60" s="315">
        <f>IF(B60&lt;=SS!$C$9,IFERROR(IF(SS!$C$10&gt;=30000,$AE$3,$AD$3)*SUM($C$45:C60),"-"),0)</f>
        <v>30000</v>
      </c>
      <c r="H60" s="317"/>
      <c r="I60" s="315" t="str">
        <f>IF(B60=SS!$C$9,AH61+$P$28,"-")</f>
        <v>-</v>
      </c>
      <c r="J60" s="317"/>
      <c r="K60" s="315">
        <f ca="1">IF(B60&lt;=SS!$C$9,SUM($G$45:G60)+MAX($P$28,10*SS!$C$10,105%*SUM($AF$46:AF61)),0)</f>
        <v>1014500</v>
      </c>
      <c r="L60" s="317"/>
      <c r="M60" s="330">
        <f>IF(B60&lt;=SS!$C$9,AG37*SUM($AF$46:AF61),"-")</f>
        <v>400000</v>
      </c>
      <c r="N60" s="332"/>
      <c r="O60" s="330">
        <f ca="1">((IF(B60&gt;SS!$C$13,1,Output!B60/SS!$C$13)*SS!$C$11)+SUM($G$45:G60))*IF(AD63="NA",0,AD63)</f>
        <v>852991.6</v>
      </c>
      <c r="P60" s="331"/>
      <c r="Q60" s="332"/>
      <c r="R60" s="102"/>
      <c r="S60" s="141"/>
      <c r="T60" s="102"/>
      <c r="U60" s="102"/>
      <c r="V60" s="102"/>
      <c r="W60" s="102"/>
      <c r="X60" s="102"/>
      <c r="Y60" s="102"/>
      <c r="Z60" s="102"/>
      <c r="AA60" s="102"/>
      <c r="AC60" s="193">
        <v>13</v>
      </c>
      <c r="AD60" s="192">
        <f>VLOOKUP(B57,SSV!$J$4:$M$24,MATCH(SS!$C$13,SSV!$J$4:$M$4,0),FALSE)</f>
        <v>0.75260000000000005</v>
      </c>
      <c r="AF60" s="12">
        <f t="shared" si="0"/>
        <v>0</v>
      </c>
      <c r="AH60" s="80">
        <f>SUM(G$45:G59)</f>
        <v>315000</v>
      </c>
    </row>
    <row r="61" spans="1:34" ht="15.75" thickBot="1">
      <c r="A61" s="101"/>
      <c r="B61" s="136">
        <v>17</v>
      </c>
      <c r="C61" s="315" t="str">
        <f>IF(B61&gt;SS!$C$13,"-",SS!$C$10)</f>
        <v>-</v>
      </c>
      <c r="D61" s="317"/>
      <c r="E61" s="333">
        <v>0</v>
      </c>
      <c r="F61" s="334"/>
      <c r="G61" s="315">
        <f>IF(B61&lt;=SS!$C$9,IFERROR(IF(SS!$C$10&gt;=30000,$AE$3,$AD$3)*SUM($C$45:C61),"-"),0)</f>
        <v>30000</v>
      </c>
      <c r="H61" s="317"/>
      <c r="I61" s="315" t="str">
        <f>IF(B61=SS!$C$9,AH62+$P$28,"-")</f>
        <v>-</v>
      </c>
      <c r="J61" s="317"/>
      <c r="K61" s="315">
        <f ca="1">IF(B61&lt;=SS!$C$9,SUM($G$45:G61)+MAX($P$28,10*SS!$C$10,105%*SUM($AF$46:AF62)),0)</f>
        <v>1044500</v>
      </c>
      <c r="L61" s="317"/>
      <c r="M61" s="330">
        <f>IF(B61&lt;=SS!$C$9,AG38*SUM($AF$46:AF62),"-")</f>
        <v>415000</v>
      </c>
      <c r="N61" s="332"/>
      <c r="O61" s="330">
        <f ca="1">((IF(B61&gt;SS!$C$13,1,Output!B61/SS!$C$13)*SS!$C$11)+SUM($G$45:G61))*IF(AD64="NA",0,AD64)</f>
        <v>913833.05</v>
      </c>
      <c r="P61" s="331"/>
      <c r="Q61" s="332"/>
      <c r="R61" s="102"/>
      <c r="S61" s="141"/>
      <c r="T61" s="102"/>
      <c r="U61" s="102"/>
      <c r="V61" s="102"/>
      <c r="W61" s="102"/>
      <c r="X61" s="102"/>
      <c r="Y61" s="102"/>
      <c r="Z61" s="102"/>
      <c r="AA61" s="102"/>
      <c r="AC61" s="193">
        <v>14</v>
      </c>
      <c r="AD61" s="192">
        <f>VLOOKUP(B58,SSV!$J$4:$M$24,MATCH(SS!$C$13,SSV!$J$4:$M$4,0),FALSE)</f>
        <v>0.77980000000000005</v>
      </c>
      <c r="AF61" s="12">
        <f t="shared" si="0"/>
        <v>0</v>
      </c>
      <c r="AH61" s="80">
        <f>SUM(G$45:G60)</f>
        <v>345000</v>
      </c>
    </row>
    <row r="62" spans="1:34" ht="15.75" thickBot="1">
      <c r="A62" s="101"/>
      <c r="B62" s="136">
        <v>18</v>
      </c>
      <c r="C62" s="315" t="str">
        <f>IF(B62&gt;SS!$C$13,"-",SS!$C$10)</f>
        <v>-</v>
      </c>
      <c r="D62" s="317"/>
      <c r="E62" s="333">
        <v>0</v>
      </c>
      <c r="F62" s="334"/>
      <c r="G62" s="315">
        <f>IF(B62&lt;=SS!$C$9,IFERROR(IF(SS!$C$10&gt;=30000,$AE$3,$AD$3)*SUM($C$45:C62),"-"),0)</f>
        <v>30000</v>
      </c>
      <c r="H62" s="317"/>
      <c r="I62" s="315" t="str">
        <f>IF(B62=SS!$C$9,AH63+$P$28,"-")</f>
        <v>-</v>
      </c>
      <c r="J62" s="317"/>
      <c r="K62" s="315">
        <f ca="1">IF(B62&lt;=SS!$C$9,SUM($G$45:G62)+MAX($P$28,10*SS!$C$10,105%*SUM($AF$46:AF63)),0)</f>
        <v>1074500</v>
      </c>
      <c r="L62" s="317"/>
      <c r="M62" s="330">
        <f>IF(B62&lt;=SS!$C$9,AG39*SUM($AF$46:AF63),"-")</f>
        <v>435000</v>
      </c>
      <c r="N62" s="332"/>
      <c r="O62" s="330">
        <f ca="1">((IF(B62&gt;SS!$C$13,1,Output!B62/SS!$C$13)*SS!$C$11)+SUM($G$45:G62))*IF(AD65="NA",0,AD65)</f>
        <v>979621.64999999991</v>
      </c>
      <c r="P62" s="331"/>
      <c r="Q62" s="332"/>
      <c r="R62" s="102"/>
      <c r="S62" s="141"/>
      <c r="T62" s="102"/>
      <c r="U62" s="102"/>
      <c r="V62" s="102"/>
      <c r="W62" s="102"/>
      <c r="X62" s="102"/>
      <c r="Y62" s="102"/>
      <c r="Z62" s="102"/>
      <c r="AA62" s="102"/>
      <c r="AC62" s="193">
        <v>15</v>
      </c>
      <c r="AD62" s="192">
        <f>VLOOKUP(B59,SSV!$J$4:$M$24,MATCH(SS!$C$13,SSV!$J$4:$M$4,0),FALSE)</f>
        <v>0.80920000000000003</v>
      </c>
      <c r="AF62" s="12">
        <f t="shared" si="0"/>
        <v>0</v>
      </c>
      <c r="AH62" s="80">
        <f>SUM(G$45:G61)</f>
        <v>375000</v>
      </c>
    </row>
    <row r="63" spans="1:34" ht="15.75" thickBot="1">
      <c r="A63" s="101"/>
      <c r="B63" s="136">
        <v>19</v>
      </c>
      <c r="C63" s="315" t="str">
        <f>IF(B63&gt;SS!$C$13,"-",SS!$C$10)</f>
        <v>-</v>
      </c>
      <c r="D63" s="317"/>
      <c r="E63" s="333">
        <v>0</v>
      </c>
      <c r="F63" s="334"/>
      <c r="G63" s="315">
        <f>IF(B63&lt;=SS!$C$9,IFERROR(IF(SS!$C$10&gt;=30000,$AE$3,$AD$3)*SUM($C$45:C63),"-"),0)</f>
        <v>30000</v>
      </c>
      <c r="H63" s="317"/>
      <c r="I63" s="315" t="str">
        <f>IF(B63=SS!$C$9,AH64+$P$28,"-")</f>
        <v>-</v>
      </c>
      <c r="J63" s="317"/>
      <c r="K63" s="315">
        <f ca="1">IF(B63&lt;=SS!$C$9,SUM($G$45:G63)+MAX($P$28,10*SS!$C$10,105%*SUM($AF$46:AF64)),0)</f>
        <v>1104500</v>
      </c>
      <c r="L63" s="317"/>
      <c r="M63" s="330">
        <f>IF(B63&lt;=SS!$C$9,AG40*SUM($AF$46:AF64),"-")</f>
        <v>450000</v>
      </c>
      <c r="N63" s="332"/>
      <c r="O63" s="330">
        <f ca="1">((IF(B63&gt;SS!$C$13,1,Output!B63/SS!$C$13)*SS!$C$11)+SUM($G$45:G63))*IF(AD66="NA",0,AD66)</f>
        <v>1051042.2</v>
      </c>
      <c r="P63" s="331"/>
      <c r="Q63" s="332"/>
      <c r="R63" s="102"/>
      <c r="S63" s="141"/>
      <c r="T63" s="102"/>
      <c r="U63" s="102"/>
      <c r="V63" s="102"/>
      <c r="W63" s="102"/>
      <c r="X63" s="102"/>
      <c r="Y63" s="102"/>
      <c r="Z63" s="102"/>
      <c r="AA63" s="102"/>
      <c r="AC63" s="193">
        <v>16</v>
      </c>
      <c r="AD63" s="192">
        <f>VLOOKUP(B60,SSV!$J$4:$M$24,MATCH(SS!$C$13,SSV!$J$4:$M$4,0),FALSE)</f>
        <v>0.84079999999999999</v>
      </c>
      <c r="AF63" s="12">
        <f t="shared" si="0"/>
        <v>0</v>
      </c>
      <c r="AH63" s="80">
        <f>SUM(G$45:G62)</f>
        <v>405000</v>
      </c>
    </row>
    <row r="64" spans="1:34" ht="15.75" thickBot="1">
      <c r="A64" s="101"/>
      <c r="B64" s="136">
        <v>20</v>
      </c>
      <c r="C64" s="315" t="str">
        <f>IF(B64&gt;SS!$C$13,"-",SS!$C$10)</f>
        <v>-</v>
      </c>
      <c r="D64" s="317"/>
      <c r="E64" s="333">
        <v>0</v>
      </c>
      <c r="F64" s="334"/>
      <c r="G64" s="315">
        <f>IF(B64&lt;=SS!$C$9,IFERROR(IF(SS!$C$10&gt;=30000,$AE$3,$AD$3)*SUM($C$45:C64),"-"),0)</f>
        <v>30000</v>
      </c>
      <c r="H64" s="317"/>
      <c r="I64" s="315">
        <f ca="1">IF(B64=SS!$C$9,AH65+$P$28,"-")</f>
        <v>1134500</v>
      </c>
      <c r="J64" s="317"/>
      <c r="K64" s="315">
        <f ca="1">IF(B64&lt;=SS!$C$9,SUM($G$45:G64)+MAX($P$28,10*SS!$C$10,105%*SUM($AF$46:AF65)),0)</f>
        <v>1134500</v>
      </c>
      <c r="L64" s="317"/>
      <c r="M64" s="330">
        <f>IF(B64&lt;=SS!$C$9,AG41*SUM($AF$46:AF65),"-")</f>
        <v>450000</v>
      </c>
      <c r="N64" s="332"/>
      <c r="O64" s="330">
        <f ca="1">((IF(B64&gt;SS!$C$13,1,Output!B64/SS!$C$13)*SS!$C$11)+SUM($G$45:G64))*IF(AD67="NA",0,AD67)</f>
        <v>1128487.1500000001</v>
      </c>
      <c r="P64" s="331"/>
      <c r="Q64" s="332"/>
      <c r="R64" s="102"/>
      <c r="S64" s="141"/>
      <c r="T64" s="102"/>
      <c r="U64" s="102"/>
      <c r="V64" s="102"/>
      <c r="W64" s="102"/>
      <c r="X64" s="102"/>
      <c r="Y64" s="102"/>
      <c r="Z64" s="102"/>
      <c r="AA64" s="102"/>
      <c r="AC64" s="193">
        <v>17</v>
      </c>
      <c r="AD64" s="192">
        <f>VLOOKUP(B61,SSV!$J$4:$M$24,MATCH(SS!$C$13,SSV!$J$4:$M$4,0),FALSE)</f>
        <v>0.87490000000000001</v>
      </c>
      <c r="AF64" s="12">
        <f t="shared" si="0"/>
        <v>0</v>
      </c>
      <c r="AH64" s="80">
        <f>SUM(G$45:G63)</f>
        <v>435000</v>
      </c>
    </row>
    <row r="65" spans="1:35" ht="15.75" thickBot="1">
      <c r="A65" s="101"/>
      <c r="B65" s="102"/>
      <c r="C65" s="102"/>
      <c r="D65" s="102"/>
      <c r="E65" s="102"/>
      <c r="F65" s="102"/>
      <c r="G65" s="102"/>
      <c r="H65" s="102"/>
      <c r="I65" s="102"/>
      <c r="J65" s="102"/>
      <c r="K65" s="102"/>
      <c r="L65" s="102"/>
      <c r="M65" s="119"/>
      <c r="N65" s="119"/>
      <c r="O65" s="102"/>
      <c r="P65" s="102"/>
      <c r="Q65" s="102"/>
      <c r="R65" s="102"/>
      <c r="S65" s="103"/>
      <c r="T65" s="102"/>
      <c r="U65" s="102"/>
      <c r="V65" s="102"/>
      <c r="W65" s="102"/>
      <c r="X65" s="102"/>
      <c r="Y65" s="102"/>
      <c r="Z65" s="102"/>
      <c r="AA65" s="102"/>
      <c r="AC65" s="193">
        <v>18</v>
      </c>
      <c r="AD65" s="192">
        <f>VLOOKUP(B62,SSV!$J$4:$M$24,MATCH(SS!$C$13,SSV!$J$4:$M$4,0),FALSE)</f>
        <v>0.91169999999999995</v>
      </c>
      <c r="AF65" s="12">
        <f t="shared" si="0"/>
        <v>0</v>
      </c>
      <c r="AH65" s="80">
        <f>SUM(G$45:G64)</f>
        <v>465000</v>
      </c>
    </row>
    <row r="66" spans="1:35" ht="15.75" thickBot="1">
      <c r="A66" s="142" t="s">
        <v>154</v>
      </c>
      <c r="B66" s="102"/>
      <c r="C66" s="102"/>
      <c r="D66" s="102"/>
      <c r="E66" s="102"/>
      <c r="F66" s="102"/>
      <c r="G66" s="102"/>
      <c r="H66" s="102"/>
      <c r="I66" s="102"/>
      <c r="J66" s="102"/>
      <c r="K66" s="102"/>
      <c r="L66" s="102"/>
      <c r="M66" s="102"/>
      <c r="N66" s="102"/>
      <c r="O66" s="102"/>
      <c r="P66" s="102"/>
      <c r="Q66" s="102"/>
      <c r="R66" s="102"/>
      <c r="S66" s="103"/>
      <c r="T66" s="102"/>
      <c r="U66" s="102"/>
      <c r="V66" s="102"/>
      <c r="W66" s="102"/>
      <c r="X66" s="102"/>
      <c r="Y66" s="102"/>
      <c r="Z66" s="102"/>
      <c r="AA66" s="102"/>
      <c r="AC66" s="193">
        <v>19</v>
      </c>
      <c r="AD66" s="192">
        <f>VLOOKUP(B63,SSV!$J$4:$M$24,MATCH(SS!$C$13,SSV!$J$4:$M$4,0),FALSE)</f>
        <v>0.9516</v>
      </c>
      <c r="AF66" s="12">
        <f>IF(B65&lt;=$F$30,$P$27*$AH$45,0)</f>
        <v>50000</v>
      </c>
      <c r="AH66" s="80">
        <f>SUM(G$45:G65)</f>
        <v>465000</v>
      </c>
    </row>
    <row r="67" spans="1:35" s="155" customFormat="1" ht="31.5" customHeight="1" thickBot="1">
      <c r="A67" s="282" t="s">
        <v>163</v>
      </c>
      <c r="B67" s="283"/>
      <c r="C67" s="283"/>
      <c r="D67" s="283"/>
      <c r="E67" s="283"/>
      <c r="F67" s="283"/>
      <c r="G67" s="283"/>
      <c r="H67" s="283"/>
      <c r="I67" s="283"/>
      <c r="J67" s="283"/>
      <c r="K67" s="283"/>
      <c r="L67" s="283"/>
      <c r="M67" s="283"/>
      <c r="N67" s="283"/>
      <c r="O67" s="283"/>
      <c r="P67" s="283"/>
      <c r="Q67" s="283"/>
      <c r="R67" s="283"/>
      <c r="S67" s="284"/>
      <c r="W67" s="102"/>
      <c r="X67" s="102"/>
      <c r="Y67" s="102"/>
      <c r="Z67" s="102"/>
      <c r="AA67" s="102"/>
      <c r="AC67" s="193">
        <v>20</v>
      </c>
      <c r="AD67" s="192">
        <f>VLOOKUP(B64,SSV!$J$4:$M$24,MATCH(SS!$C$13,SSV!$J$4:$M$4,0),FALSE)</f>
        <v>0.99470000000000003</v>
      </c>
      <c r="AF67" s="12">
        <f>IF(B66&lt;=$F$30,$P$27*$AH$45,0)</f>
        <v>50000</v>
      </c>
      <c r="AG67" s="12"/>
      <c r="AH67" s="80">
        <f>SUM(G$45:G66)</f>
        <v>465000</v>
      </c>
    </row>
    <row r="68" spans="1:35">
      <c r="A68" s="280" t="s">
        <v>155</v>
      </c>
      <c r="B68" s="251"/>
      <c r="C68" s="251"/>
      <c r="D68" s="251"/>
      <c r="E68" s="251"/>
      <c r="F68" s="251"/>
      <c r="G68" s="251"/>
      <c r="H68" s="251"/>
      <c r="I68" s="251"/>
      <c r="J68" s="251"/>
      <c r="K68" s="251"/>
      <c r="L68" s="251"/>
      <c r="M68" s="251"/>
      <c r="N68" s="251"/>
      <c r="O68" s="251"/>
      <c r="P68" s="251"/>
      <c r="Q68" s="251"/>
      <c r="R68" s="251"/>
      <c r="S68" s="281"/>
      <c r="T68" s="102"/>
      <c r="U68" s="102"/>
      <c r="V68" s="102"/>
      <c r="W68" s="102"/>
      <c r="X68" s="102"/>
      <c r="Y68" s="102"/>
      <c r="Z68" s="102"/>
      <c r="AA68" s="102"/>
    </row>
    <row r="69" spans="1:35" ht="31.5" customHeight="1">
      <c r="A69" s="277" t="s">
        <v>164</v>
      </c>
      <c r="B69" s="278"/>
      <c r="C69" s="278"/>
      <c r="D69" s="278"/>
      <c r="E69" s="278"/>
      <c r="F69" s="278"/>
      <c r="G69" s="278"/>
      <c r="H69" s="278"/>
      <c r="I69" s="278"/>
      <c r="J69" s="278"/>
      <c r="K69" s="278"/>
      <c r="L69" s="278"/>
      <c r="M69" s="278"/>
      <c r="N69" s="278"/>
      <c r="O69" s="278"/>
      <c r="P69" s="278"/>
      <c r="Q69" s="278"/>
      <c r="R69" s="278"/>
      <c r="S69" s="279"/>
      <c r="T69" s="102"/>
      <c r="U69" s="102"/>
      <c r="V69" s="102"/>
      <c r="W69" s="102"/>
      <c r="X69" s="102"/>
      <c r="Y69" s="102"/>
      <c r="Z69" s="102"/>
      <c r="AA69" s="102"/>
      <c r="AC69" s="143"/>
    </row>
    <row r="70" spans="1:35">
      <c r="A70" s="152"/>
      <c r="B70" s="153"/>
      <c r="C70" s="153"/>
      <c r="D70" s="153"/>
      <c r="E70" s="153"/>
      <c r="F70" s="153"/>
      <c r="G70" s="153"/>
      <c r="H70" s="153"/>
      <c r="I70" s="153"/>
      <c r="J70" s="153"/>
      <c r="K70" s="153"/>
      <c r="L70" s="153"/>
      <c r="M70" s="153"/>
      <c r="N70" s="153"/>
      <c r="O70" s="153"/>
      <c r="P70" s="153"/>
      <c r="Q70" s="153"/>
      <c r="R70" s="153"/>
      <c r="S70" s="154"/>
      <c r="T70" s="102"/>
      <c r="U70" s="102"/>
      <c r="V70" s="102"/>
      <c r="W70" s="102"/>
      <c r="X70" s="102"/>
      <c r="Y70" s="102"/>
      <c r="Z70" s="102"/>
      <c r="AA70" s="102"/>
    </row>
    <row r="71" spans="1:35">
      <c r="A71" s="274"/>
      <c r="B71" s="275"/>
      <c r="C71" s="275"/>
      <c r="D71" s="275"/>
      <c r="E71" s="275"/>
      <c r="F71" s="275"/>
      <c r="G71" s="275"/>
      <c r="H71" s="275"/>
      <c r="I71" s="275"/>
      <c r="J71" s="275"/>
      <c r="K71" s="275"/>
      <c r="L71" s="275"/>
      <c r="M71" s="275"/>
      <c r="N71" s="275"/>
      <c r="O71" s="275"/>
      <c r="P71" s="275"/>
      <c r="Q71" s="275"/>
      <c r="R71" s="275"/>
      <c r="S71" s="276"/>
      <c r="T71" s="102"/>
      <c r="U71" s="102"/>
      <c r="V71" s="102"/>
      <c r="W71" s="102"/>
      <c r="X71" s="102"/>
      <c r="Y71" s="102"/>
      <c r="Z71" s="102"/>
      <c r="AA71" s="102"/>
    </row>
    <row r="72" spans="1:35">
      <c r="A72" s="271" t="s">
        <v>156</v>
      </c>
      <c r="B72" s="272"/>
      <c r="C72" s="272"/>
      <c r="D72" s="272"/>
      <c r="E72" s="272"/>
      <c r="F72" s="272"/>
      <c r="G72" s="272"/>
      <c r="H72" s="272"/>
      <c r="I72" s="272"/>
      <c r="J72" s="272"/>
      <c r="K72" s="272"/>
      <c r="L72" s="272"/>
      <c r="M72" s="272"/>
      <c r="N72" s="272"/>
      <c r="O72" s="272"/>
      <c r="P72" s="272"/>
      <c r="Q72" s="272"/>
      <c r="R72" s="272"/>
      <c r="S72" s="273"/>
      <c r="T72" s="102"/>
      <c r="U72" s="102"/>
      <c r="V72" s="102"/>
      <c r="W72" s="102"/>
      <c r="X72" s="102"/>
      <c r="Y72" s="102"/>
      <c r="Z72" s="102"/>
      <c r="AA72" s="102"/>
      <c r="AI72" s="80"/>
    </row>
    <row r="73" spans="1:35">
      <c r="A73" s="144"/>
      <c r="B73" s="145"/>
      <c r="C73" s="145"/>
      <c r="D73" s="145"/>
      <c r="E73" s="145"/>
      <c r="F73" s="145"/>
      <c r="G73" s="145"/>
      <c r="H73" s="145"/>
      <c r="I73" s="145"/>
      <c r="J73" s="102"/>
      <c r="K73" s="102"/>
      <c r="L73" s="102"/>
      <c r="M73" s="102"/>
      <c r="N73" s="102"/>
      <c r="O73" s="102"/>
      <c r="P73" s="102"/>
      <c r="Q73" s="102"/>
      <c r="R73" s="102"/>
      <c r="S73" s="103"/>
      <c r="T73" s="102"/>
      <c r="U73" s="102"/>
      <c r="V73" s="102"/>
      <c r="W73" s="102"/>
      <c r="X73" s="102"/>
      <c r="Y73" s="102"/>
      <c r="Z73" s="102"/>
      <c r="AA73" s="102"/>
    </row>
    <row r="74" spans="1:35">
      <c r="A74" s="268" t="s">
        <v>62</v>
      </c>
      <c r="B74" s="269"/>
      <c r="C74" s="269"/>
      <c r="D74" s="269"/>
      <c r="E74" s="269"/>
      <c r="F74" s="269"/>
      <c r="G74" s="269"/>
      <c r="H74" s="269"/>
      <c r="I74" s="269"/>
      <c r="J74" s="269"/>
      <c r="K74" s="269"/>
      <c r="L74" s="269"/>
      <c r="M74" s="269"/>
      <c r="N74" s="269"/>
      <c r="O74" s="269"/>
      <c r="P74" s="269"/>
      <c r="Q74" s="269"/>
      <c r="R74" s="269"/>
      <c r="S74" s="270"/>
      <c r="T74" s="102"/>
      <c r="U74" s="102"/>
      <c r="V74" s="102"/>
      <c r="W74" s="102"/>
      <c r="X74" s="102"/>
      <c r="Y74" s="102"/>
      <c r="Z74" s="102"/>
      <c r="AA74" s="102"/>
    </row>
    <row r="75" spans="1:35">
      <c r="A75" s="101"/>
      <c r="B75" s="146"/>
      <c r="C75" s="146"/>
      <c r="D75" s="146"/>
      <c r="E75" s="146"/>
      <c r="F75" s="146"/>
      <c r="G75" s="146"/>
      <c r="H75" s="146"/>
      <c r="I75" s="146"/>
      <c r="J75" s="102"/>
      <c r="K75" s="102"/>
      <c r="L75" s="102"/>
      <c r="M75" s="102"/>
      <c r="N75" s="102"/>
      <c r="O75" s="102"/>
      <c r="P75" s="102"/>
      <c r="Q75" s="102"/>
      <c r="R75" s="102"/>
      <c r="S75" s="103"/>
      <c r="T75" s="102"/>
      <c r="U75" s="102"/>
      <c r="V75" s="102"/>
      <c r="W75" s="102"/>
      <c r="X75" s="102"/>
      <c r="Y75" s="102"/>
      <c r="Z75" s="102"/>
      <c r="AA75" s="102"/>
    </row>
    <row r="76" spans="1:35">
      <c r="A76" s="101"/>
      <c r="B76" s="102"/>
      <c r="C76" s="102"/>
      <c r="D76" s="102"/>
      <c r="E76" s="102"/>
      <c r="F76" s="102"/>
      <c r="G76" s="102"/>
      <c r="H76" s="102"/>
      <c r="I76" s="102"/>
      <c r="J76" s="102"/>
      <c r="K76" s="102"/>
      <c r="L76" s="102"/>
      <c r="M76" s="102"/>
      <c r="N76" s="102"/>
      <c r="O76" s="102"/>
      <c r="P76" s="102"/>
      <c r="Q76" s="102"/>
      <c r="R76" s="102"/>
      <c r="S76" s="103"/>
      <c r="T76" s="102"/>
      <c r="U76" s="102"/>
      <c r="V76" s="102"/>
      <c r="W76" s="102"/>
      <c r="X76" s="102"/>
      <c r="Y76" s="102"/>
      <c r="Z76" s="102"/>
      <c r="AA76" s="102"/>
    </row>
    <row r="77" spans="1:35" ht="15" customHeight="1">
      <c r="A77" s="337" t="s">
        <v>157</v>
      </c>
      <c r="B77" s="338"/>
      <c r="C77" s="338"/>
      <c r="D77" s="338"/>
      <c r="E77" s="338"/>
      <c r="F77" s="338"/>
      <c r="G77" s="338"/>
      <c r="H77" s="338"/>
      <c r="I77" s="339"/>
      <c r="J77" s="102"/>
      <c r="K77" s="337" t="str">
        <f>CONCATENATE("I",","," ",P15,","," ","having received the information with respect to the above, have understood the above statement before entering into the contract.")</f>
        <v>I, Biswajit, having received the information with respect to the above, have understood the above statement before entering into the contract.</v>
      </c>
      <c r="L77" s="338"/>
      <c r="M77" s="338"/>
      <c r="N77" s="338"/>
      <c r="O77" s="338"/>
      <c r="P77" s="338"/>
      <c r="Q77" s="338"/>
      <c r="R77" s="338"/>
      <c r="S77" s="339"/>
      <c r="T77" s="102"/>
      <c r="U77" s="102"/>
      <c r="V77" s="102"/>
      <c r="W77" s="102"/>
      <c r="X77" s="102"/>
      <c r="Y77" s="102"/>
      <c r="Z77" s="102"/>
      <c r="AA77" s="102"/>
    </row>
    <row r="78" spans="1:35">
      <c r="A78" s="340"/>
      <c r="B78" s="341"/>
      <c r="C78" s="341"/>
      <c r="D78" s="341"/>
      <c r="E78" s="341"/>
      <c r="F78" s="341"/>
      <c r="G78" s="341"/>
      <c r="H78" s="341"/>
      <c r="I78" s="342"/>
      <c r="J78" s="102"/>
      <c r="K78" s="340"/>
      <c r="L78" s="341"/>
      <c r="M78" s="341"/>
      <c r="N78" s="341"/>
      <c r="O78" s="341"/>
      <c r="P78" s="341"/>
      <c r="Q78" s="341"/>
      <c r="R78" s="341"/>
      <c r="S78" s="342"/>
      <c r="T78" s="102"/>
      <c r="U78" s="102"/>
      <c r="V78" s="102"/>
      <c r="W78" s="102"/>
      <c r="X78" s="102"/>
      <c r="Y78" s="102"/>
      <c r="Z78" s="102"/>
      <c r="AA78" s="102"/>
    </row>
    <row r="79" spans="1:35">
      <c r="A79" s="340"/>
      <c r="B79" s="341"/>
      <c r="C79" s="341"/>
      <c r="D79" s="341"/>
      <c r="E79" s="341"/>
      <c r="F79" s="341"/>
      <c r="G79" s="341"/>
      <c r="H79" s="341"/>
      <c r="I79" s="342"/>
      <c r="J79" s="102"/>
      <c r="K79" s="340"/>
      <c r="L79" s="341"/>
      <c r="M79" s="341"/>
      <c r="N79" s="341"/>
      <c r="O79" s="341"/>
      <c r="P79" s="341"/>
      <c r="Q79" s="341"/>
      <c r="R79" s="341"/>
      <c r="S79" s="342"/>
      <c r="T79" s="102"/>
      <c r="U79" s="102"/>
      <c r="V79" s="102"/>
      <c r="W79" s="102"/>
      <c r="X79" s="102"/>
      <c r="Y79" s="102"/>
      <c r="Z79" s="102"/>
      <c r="AA79" s="102"/>
    </row>
    <row r="80" spans="1:35">
      <c r="A80" s="343"/>
      <c r="B80" s="344"/>
      <c r="C80" s="344"/>
      <c r="D80" s="344"/>
      <c r="E80" s="344"/>
      <c r="F80" s="344"/>
      <c r="G80" s="344"/>
      <c r="H80" s="344"/>
      <c r="I80" s="345"/>
      <c r="J80" s="102"/>
      <c r="K80" s="343"/>
      <c r="L80" s="344"/>
      <c r="M80" s="344"/>
      <c r="N80" s="344"/>
      <c r="O80" s="344"/>
      <c r="P80" s="344"/>
      <c r="Q80" s="344"/>
      <c r="R80" s="344"/>
      <c r="S80" s="345"/>
      <c r="T80" s="102"/>
      <c r="U80" s="102"/>
      <c r="V80" s="102"/>
      <c r="W80" s="102"/>
      <c r="X80" s="102"/>
      <c r="Y80" s="102"/>
      <c r="Z80" s="102"/>
      <c r="AA80" s="102"/>
    </row>
    <row r="81" spans="1:27">
      <c r="A81" s="343"/>
      <c r="B81" s="344"/>
      <c r="C81" s="344"/>
      <c r="D81" s="344"/>
      <c r="E81" s="344"/>
      <c r="F81" s="344"/>
      <c r="G81" s="344"/>
      <c r="H81" s="344"/>
      <c r="I81" s="345"/>
      <c r="J81" s="102"/>
      <c r="K81" s="343"/>
      <c r="L81" s="344"/>
      <c r="M81" s="344"/>
      <c r="N81" s="344"/>
      <c r="O81" s="344"/>
      <c r="P81" s="344"/>
      <c r="Q81" s="344"/>
      <c r="R81" s="344"/>
      <c r="S81" s="345"/>
      <c r="T81" s="102"/>
      <c r="U81" s="102"/>
      <c r="V81" s="102"/>
      <c r="W81" s="102"/>
      <c r="X81" s="102"/>
      <c r="Y81" s="102"/>
      <c r="Z81" s="102"/>
      <c r="AA81" s="102"/>
    </row>
    <row r="82" spans="1:27">
      <c r="A82" s="101" t="s">
        <v>158</v>
      </c>
      <c r="B82" s="344"/>
      <c r="C82" s="344"/>
      <c r="D82" s="344"/>
      <c r="E82" s="344"/>
      <c r="F82" s="344"/>
      <c r="G82" s="344"/>
      <c r="H82" s="344"/>
      <c r="I82" s="345"/>
      <c r="J82" s="102"/>
      <c r="K82" s="101" t="s">
        <v>158</v>
      </c>
      <c r="L82" s="344"/>
      <c r="M82" s="344"/>
      <c r="N82" s="344"/>
      <c r="O82" s="344"/>
      <c r="P82" s="344"/>
      <c r="Q82" s="344"/>
      <c r="R82" s="344"/>
      <c r="S82" s="345"/>
      <c r="T82" s="102"/>
      <c r="U82" s="102"/>
      <c r="V82" s="102"/>
      <c r="W82" s="102"/>
      <c r="X82" s="102"/>
      <c r="Y82" s="102"/>
      <c r="Z82" s="102"/>
      <c r="AA82" s="102"/>
    </row>
    <row r="83" spans="1:27">
      <c r="A83" s="147" t="s">
        <v>159</v>
      </c>
      <c r="B83" s="335"/>
      <c r="C83" s="335"/>
      <c r="D83" s="335"/>
      <c r="E83" s="335" t="s">
        <v>160</v>
      </c>
      <c r="F83" s="335"/>
      <c r="G83" s="335"/>
      <c r="H83" s="335"/>
      <c r="I83" s="336"/>
      <c r="J83" s="148"/>
      <c r="K83" s="147" t="s">
        <v>159</v>
      </c>
      <c r="L83" s="335"/>
      <c r="M83" s="335"/>
      <c r="N83" s="335"/>
      <c r="O83" s="335" t="s">
        <v>161</v>
      </c>
      <c r="P83" s="335"/>
      <c r="Q83" s="335"/>
      <c r="R83" s="335"/>
      <c r="S83" s="336"/>
      <c r="T83" s="102"/>
      <c r="U83" s="102"/>
      <c r="V83" s="102"/>
      <c r="W83" s="102"/>
      <c r="X83" s="184"/>
      <c r="Y83" s="184"/>
      <c r="Z83" s="184"/>
      <c r="AA83" s="184"/>
    </row>
  </sheetData>
  <mergeCells count="232">
    <mergeCell ref="A1:S1"/>
    <mergeCell ref="A2:S2"/>
    <mergeCell ref="AC2:AC3"/>
    <mergeCell ref="A3:S3"/>
    <mergeCell ref="A4:S4"/>
    <mergeCell ref="A6:S6"/>
    <mergeCell ref="A8:I8"/>
    <mergeCell ref="A10:B10"/>
    <mergeCell ref="A11:S11"/>
    <mergeCell ref="A13:S13"/>
    <mergeCell ref="A15:D15"/>
    <mergeCell ref="E15:H15"/>
    <mergeCell ref="L15:O15"/>
    <mergeCell ref="P15:S15"/>
    <mergeCell ref="A16:D16"/>
    <mergeCell ref="E16:H16"/>
    <mergeCell ref="L16:O16"/>
    <mergeCell ref="P16:S16"/>
    <mergeCell ref="A17:D17"/>
    <mergeCell ref="E17:H17"/>
    <mergeCell ref="L17:O17"/>
    <mergeCell ref="P17:S17"/>
    <mergeCell ref="L18:O18"/>
    <mergeCell ref="P18:S18"/>
    <mergeCell ref="A20:S20"/>
    <mergeCell ref="A21:S21"/>
    <mergeCell ref="A74:S74"/>
    <mergeCell ref="A72:S72"/>
    <mergeCell ref="A71:S71"/>
    <mergeCell ref="A69:S69"/>
    <mergeCell ref="A68:S68"/>
    <mergeCell ref="A67:S67"/>
    <mergeCell ref="A27:E27"/>
    <mergeCell ref="F27:H27"/>
    <mergeCell ref="A23:S23"/>
    <mergeCell ref="A25:S25"/>
    <mergeCell ref="J27:O27"/>
    <mergeCell ref="P27:S27"/>
    <mergeCell ref="J28:O28"/>
    <mergeCell ref="P28:S28"/>
    <mergeCell ref="A29:E29"/>
    <mergeCell ref="F29:H29"/>
    <mergeCell ref="J29:O29"/>
    <mergeCell ref="P29:S29"/>
    <mergeCell ref="A28:E28"/>
    <mergeCell ref="F28:H28"/>
    <mergeCell ref="L36:M36"/>
    <mergeCell ref="N36:Q36"/>
    <mergeCell ref="A30:E30"/>
    <mergeCell ref="F30:H30"/>
    <mergeCell ref="J30:O30"/>
    <mergeCell ref="P30:S30"/>
    <mergeCell ref="A31:E31"/>
    <mergeCell ref="F31:H31"/>
    <mergeCell ref="D37:I37"/>
    <mergeCell ref="A33:S33"/>
    <mergeCell ref="D35:I35"/>
    <mergeCell ref="J35:K35"/>
    <mergeCell ref="L35:M35"/>
    <mergeCell ref="N35:Q35"/>
    <mergeCell ref="D36:I36"/>
    <mergeCell ref="J36:K36"/>
    <mergeCell ref="J37:K37"/>
    <mergeCell ref="L37:M37"/>
    <mergeCell ref="N37:Q37"/>
    <mergeCell ref="M44:N44"/>
    <mergeCell ref="O44:Q44"/>
    <mergeCell ref="E45:F45"/>
    <mergeCell ref="G45:H45"/>
    <mergeCell ref="I45:J45"/>
    <mergeCell ref="K45:L45"/>
    <mergeCell ref="M45:N45"/>
    <mergeCell ref="A40:S40"/>
    <mergeCell ref="D38:I38"/>
    <mergeCell ref="J38:K38"/>
    <mergeCell ref="L38:M38"/>
    <mergeCell ref="N38:Q38"/>
    <mergeCell ref="B43:B44"/>
    <mergeCell ref="C43:D44"/>
    <mergeCell ref="E43:N43"/>
    <mergeCell ref="O45:Q45"/>
    <mergeCell ref="O43:Q43"/>
    <mergeCell ref="E44:F44"/>
    <mergeCell ref="G44:H44"/>
    <mergeCell ref="I44:J44"/>
    <mergeCell ref="K44:L44"/>
    <mergeCell ref="M47:N47"/>
    <mergeCell ref="O47:Q47"/>
    <mergeCell ref="C46:D46"/>
    <mergeCell ref="E46:F46"/>
    <mergeCell ref="G46:H46"/>
    <mergeCell ref="I46:J46"/>
    <mergeCell ref="K46:L46"/>
    <mergeCell ref="M46:N46"/>
    <mergeCell ref="C45:D45"/>
    <mergeCell ref="O46:Q46"/>
    <mergeCell ref="C47:D47"/>
    <mergeCell ref="E47:F47"/>
    <mergeCell ref="G47:H47"/>
    <mergeCell ref="I47:J47"/>
    <mergeCell ref="K47:L47"/>
    <mergeCell ref="M49:N49"/>
    <mergeCell ref="O49:Q49"/>
    <mergeCell ref="C48:D48"/>
    <mergeCell ref="E48:F48"/>
    <mergeCell ref="G48:H48"/>
    <mergeCell ref="I48:J48"/>
    <mergeCell ref="K48:L48"/>
    <mergeCell ref="M48:N48"/>
    <mergeCell ref="G50:H50"/>
    <mergeCell ref="I50:J50"/>
    <mergeCell ref="K50:L50"/>
    <mergeCell ref="M50:N50"/>
    <mergeCell ref="O48:Q48"/>
    <mergeCell ref="C49:D49"/>
    <mergeCell ref="E49:F49"/>
    <mergeCell ref="G49:H49"/>
    <mergeCell ref="I49:J49"/>
    <mergeCell ref="K49:L49"/>
    <mergeCell ref="O50:Q50"/>
    <mergeCell ref="C51:D51"/>
    <mergeCell ref="E51:F51"/>
    <mergeCell ref="G51:H51"/>
    <mergeCell ref="I51:J51"/>
    <mergeCell ref="K51:L51"/>
    <mergeCell ref="M51:N51"/>
    <mergeCell ref="O51:Q51"/>
    <mergeCell ref="C50:D50"/>
    <mergeCell ref="E50:F50"/>
    <mergeCell ref="C54:D54"/>
    <mergeCell ref="E54:F54"/>
    <mergeCell ref="M53:N53"/>
    <mergeCell ref="O53:Q53"/>
    <mergeCell ref="C52:D52"/>
    <mergeCell ref="E52:F52"/>
    <mergeCell ref="G52:H52"/>
    <mergeCell ref="I52:J52"/>
    <mergeCell ref="K52:L52"/>
    <mergeCell ref="M52:N52"/>
    <mergeCell ref="G54:H54"/>
    <mergeCell ref="I54:J54"/>
    <mergeCell ref="K54:L54"/>
    <mergeCell ref="M54:N54"/>
    <mergeCell ref="O52:Q52"/>
    <mergeCell ref="C53:D53"/>
    <mergeCell ref="E53:F53"/>
    <mergeCell ref="G53:H53"/>
    <mergeCell ref="I53:J53"/>
    <mergeCell ref="K53:L53"/>
    <mergeCell ref="O54:Q54"/>
    <mergeCell ref="C58:D58"/>
    <mergeCell ref="E58:F58"/>
    <mergeCell ref="C55:D55"/>
    <mergeCell ref="E55:F55"/>
    <mergeCell ref="G55:H55"/>
    <mergeCell ref="I55:J55"/>
    <mergeCell ref="K55:L55"/>
    <mergeCell ref="M55:N55"/>
    <mergeCell ref="O55:Q55"/>
    <mergeCell ref="I59:J59"/>
    <mergeCell ref="I60:J60"/>
    <mergeCell ref="I61:J61"/>
    <mergeCell ref="I62:J62"/>
    <mergeCell ref="I63:J63"/>
    <mergeCell ref="M57:N57"/>
    <mergeCell ref="O57:Q57"/>
    <mergeCell ref="C56:D56"/>
    <mergeCell ref="E56:F56"/>
    <mergeCell ref="G56:H56"/>
    <mergeCell ref="I56:J56"/>
    <mergeCell ref="K56:L56"/>
    <mergeCell ref="M56:N56"/>
    <mergeCell ref="G58:H58"/>
    <mergeCell ref="I58:J58"/>
    <mergeCell ref="K58:L58"/>
    <mergeCell ref="M58:N58"/>
    <mergeCell ref="O56:Q56"/>
    <mergeCell ref="C57:D57"/>
    <mergeCell ref="E57:F57"/>
    <mergeCell ref="G57:H57"/>
    <mergeCell ref="I57:J57"/>
    <mergeCell ref="K57:L57"/>
    <mergeCell ref="O58:Q58"/>
    <mergeCell ref="C61:D61"/>
    <mergeCell ref="C62:D62"/>
    <mergeCell ref="C63:D63"/>
    <mergeCell ref="G59:H59"/>
    <mergeCell ref="G60:H60"/>
    <mergeCell ref="G61:H61"/>
    <mergeCell ref="G62:H62"/>
    <mergeCell ref="G63:H63"/>
    <mergeCell ref="E59:F59"/>
    <mergeCell ref="E60:F60"/>
    <mergeCell ref="E61:F61"/>
    <mergeCell ref="E62:F62"/>
    <mergeCell ref="E63:F63"/>
    <mergeCell ref="L83:N83"/>
    <mergeCell ref="O83:S83"/>
    <mergeCell ref="A77:I79"/>
    <mergeCell ref="K77:S79"/>
    <mergeCell ref="A80:I81"/>
    <mergeCell ref="K80:S81"/>
    <mergeCell ref="B82:D82"/>
    <mergeCell ref="E82:I82"/>
    <mergeCell ref="L82:N82"/>
    <mergeCell ref="O82:S82"/>
    <mergeCell ref="B83:D83"/>
    <mergeCell ref="E83:I83"/>
    <mergeCell ref="C64:D64"/>
    <mergeCell ref="E64:F64"/>
    <mergeCell ref="G64:H64"/>
    <mergeCell ref="I64:J64"/>
    <mergeCell ref="K64:L64"/>
    <mergeCell ref="M64:N64"/>
    <mergeCell ref="O63:Q63"/>
    <mergeCell ref="O64:Q64"/>
    <mergeCell ref="O59:Q59"/>
    <mergeCell ref="O60:Q60"/>
    <mergeCell ref="O61:Q61"/>
    <mergeCell ref="O62:Q62"/>
    <mergeCell ref="K59:L59"/>
    <mergeCell ref="K60:L60"/>
    <mergeCell ref="K61:L61"/>
    <mergeCell ref="K62:L62"/>
    <mergeCell ref="K63:L63"/>
    <mergeCell ref="M59:N59"/>
    <mergeCell ref="M60:N60"/>
    <mergeCell ref="M61:N61"/>
    <mergeCell ref="M62:N62"/>
    <mergeCell ref="M63:N63"/>
    <mergeCell ref="C59:D59"/>
    <mergeCell ref="C60:D6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C3:M24"/>
  <sheetViews>
    <sheetView topLeftCell="A2" workbookViewId="0">
      <selection activeCell="O10" sqref="O10"/>
    </sheetView>
  </sheetViews>
  <sheetFormatPr defaultRowHeight="15"/>
  <cols>
    <col min="4" max="4" width="16.42578125" customWidth="1"/>
    <col min="5" max="5" width="15.7109375" customWidth="1"/>
    <col min="10" max="10" width="12.140625" customWidth="1"/>
    <col min="11" max="11" width="10.7109375" customWidth="1"/>
    <col min="12" max="12" width="11.85546875" customWidth="1"/>
    <col min="13" max="13" width="14.42578125" customWidth="1"/>
  </cols>
  <sheetData>
    <row r="3" spans="3:13">
      <c r="C3" s="8" t="s">
        <v>170</v>
      </c>
      <c r="J3" s="356" t="s">
        <v>172</v>
      </c>
      <c r="K3" s="356"/>
      <c r="L3" s="356"/>
      <c r="M3" s="356"/>
    </row>
    <row r="4" spans="3:13" ht="45">
      <c r="J4" s="166" t="s">
        <v>173</v>
      </c>
      <c r="K4" s="185">
        <v>6</v>
      </c>
      <c r="L4" s="185">
        <v>7</v>
      </c>
      <c r="M4" s="185">
        <v>10</v>
      </c>
    </row>
    <row r="5" spans="3:13">
      <c r="C5" s="8" t="s">
        <v>171</v>
      </c>
      <c r="J5" s="160">
        <v>1</v>
      </c>
      <c r="K5" s="186">
        <v>0</v>
      </c>
      <c r="L5" s="186">
        <v>0</v>
      </c>
      <c r="M5" s="186">
        <v>0</v>
      </c>
    </row>
    <row r="6" spans="3:13">
      <c r="J6" s="160">
        <v>2</v>
      </c>
      <c r="K6" s="186">
        <v>0.499</v>
      </c>
      <c r="L6" s="186">
        <v>0.43990000000000001</v>
      </c>
      <c r="M6" s="186">
        <v>0.34499999999999997</v>
      </c>
    </row>
    <row r="7" spans="3:13">
      <c r="D7" s="354" t="s">
        <v>172</v>
      </c>
      <c r="E7" s="355"/>
      <c r="J7" s="160">
        <v>3</v>
      </c>
      <c r="K7" s="186">
        <v>0.58479999999999999</v>
      </c>
      <c r="L7" s="186">
        <v>0.51070000000000004</v>
      </c>
      <c r="M7" s="186">
        <v>0.39929999999999999</v>
      </c>
    </row>
    <row r="8" spans="3:13" ht="45">
      <c r="C8" s="159" t="s">
        <v>173</v>
      </c>
      <c r="J8" s="160">
        <v>4</v>
      </c>
      <c r="K8" s="186">
        <v>0.66559999999999997</v>
      </c>
      <c r="L8" s="186">
        <v>0.57530000000000003</v>
      </c>
      <c r="M8" s="186">
        <v>0.44429999999999997</v>
      </c>
    </row>
    <row r="9" spans="3:13">
      <c r="C9" s="156" t="s">
        <v>26</v>
      </c>
      <c r="D9" s="156">
        <v>7</v>
      </c>
      <c r="E9" s="156">
        <v>6</v>
      </c>
      <c r="J9" s="160">
        <v>5</v>
      </c>
      <c r="K9" s="186">
        <v>0.74350000000000005</v>
      </c>
      <c r="L9" s="186">
        <v>0.63660000000000005</v>
      </c>
      <c r="M9" s="186">
        <v>0.48470000000000002</v>
      </c>
    </row>
    <row r="10" spans="3:13">
      <c r="C10" s="160">
        <v>1</v>
      </c>
      <c r="D10" s="161">
        <v>0</v>
      </c>
      <c r="E10" s="161">
        <v>0</v>
      </c>
      <c r="J10" s="160">
        <v>6</v>
      </c>
      <c r="K10" s="186">
        <v>0.82120000000000004</v>
      </c>
      <c r="L10" s="186">
        <v>0.69730000000000003</v>
      </c>
      <c r="M10" s="186">
        <v>0.52349999999999997</v>
      </c>
    </row>
    <row r="11" spans="3:13">
      <c r="C11" s="160">
        <v>2</v>
      </c>
      <c r="D11" s="161">
        <v>0.48139999999999999</v>
      </c>
      <c r="E11" s="161">
        <v>0.53469999999999995</v>
      </c>
      <c r="J11" s="160">
        <v>7</v>
      </c>
      <c r="K11" s="186">
        <v>0.83460000000000001</v>
      </c>
      <c r="L11" s="186">
        <v>0.75870000000000004</v>
      </c>
      <c r="M11" s="186">
        <v>0.56200000000000006</v>
      </c>
    </row>
    <row r="12" spans="3:13">
      <c r="C12" s="160">
        <v>3</v>
      </c>
      <c r="D12" s="161">
        <v>0.5484</v>
      </c>
      <c r="E12" s="161">
        <v>0.61670000000000003</v>
      </c>
      <c r="J12" s="160">
        <v>8</v>
      </c>
      <c r="K12" s="186">
        <v>0.85070000000000001</v>
      </c>
      <c r="L12" s="186">
        <v>0.77590000000000003</v>
      </c>
      <c r="M12" s="186">
        <v>0.60109999999999997</v>
      </c>
    </row>
    <row r="13" spans="3:13">
      <c r="C13" s="160">
        <v>4</v>
      </c>
      <c r="D13" s="161">
        <v>0.60829999999999995</v>
      </c>
      <c r="E13" s="161">
        <v>0.69220000000000004</v>
      </c>
      <c r="J13" s="160">
        <v>9</v>
      </c>
      <c r="K13" s="186">
        <v>0.86899999999999999</v>
      </c>
      <c r="L13" s="186">
        <v>0.79530000000000001</v>
      </c>
      <c r="M13" s="186">
        <v>0.64119999999999999</v>
      </c>
    </row>
    <row r="14" spans="3:13">
      <c r="C14" s="160">
        <v>5</v>
      </c>
      <c r="D14" s="161">
        <v>0.66639999999999999</v>
      </c>
      <c r="E14" s="161">
        <v>0.76629999999999998</v>
      </c>
      <c r="J14" s="160">
        <v>10</v>
      </c>
      <c r="K14" s="186">
        <v>0.88939999999999997</v>
      </c>
      <c r="L14" s="186">
        <v>0.81679999999999997</v>
      </c>
      <c r="M14" s="186">
        <v>0.68259999999999998</v>
      </c>
    </row>
    <row r="15" spans="3:13">
      <c r="C15" s="160">
        <v>6</v>
      </c>
      <c r="D15" s="161">
        <v>0.7258</v>
      </c>
      <c r="E15" s="161">
        <v>0.8407</v>
      </c>
      <c r="J15" s="160">
        <v>11</v>
      </c>
      <c r="K15" s="186">
        <v>0.91210000000000002</v>
      </c>
      <c r="L15" s="186">
        <v>0.84019999999999995</v>
      </c>
      <c r="M15" s="186">
        <v>0.70399999999999996</v>
      </c>
    </row>
    <row r="16" spans="3:13">
      <c r="C16" s="160">
        <v>7</v>
      </c>
      <c r="D16" s="161">
        <v>0.78590000000000004</v>
      </c>
      <c r="E16" s="161">
        <v>0.85099999999999998</v>
      </c>
      <c r="J16" s="160">
        <v>12</v>
      </c>
      <c r="K16" s="186">
        <v>0.93710000000000004</v>
      </c>
      <c r="L16" s="186">
        <v>0.86580000000000001</v>
      </c>
      <c r="M16" s="186">
        <v>0.72740000000000005</v>
      </c>
    </row>
    <row r="17" spans="3:13">
      <c r="C17" s="160">
        <v>8</v>
      </c>
      <c r="D17" s="161">
        <v>0.8</v>
      </c>
      <c r="E17" s="161">
        <v>0.86399999999999999</v>
      </c>
      <c r="J17" s="160">
        <v>13</v>
      </c>
      <c r="K17" s="186" t="s">
        <v>174</v>
      </c>
      <c r="L17" s="186">
        <v>0.89359999999999995</v>
      </c>
      <c r="M17" s="186">
        <v>0.75260000000000005</v>
      </c>
    </row>
    <row r="18" spans="3:13">
      <c r="C18" s="160">
        <v>9</v>
      </c>
      <c r="D18" s="161">
        <v>0.8165</v>
      </c>
      <c r="E18" s="161">
        <v>0.879</v>
      </c>
      <c r="J18" s="160">
        <v>14</v>
      </c>
      <c r="K18" s="186" t="s">
        <v>174</v>
      </c>
      <c r="L18" s="186">
        <v>0.92369999999999997</v>
      </c>
      <c r="M18" s="186">
        <v>0.77980000000000005</v>
      </c>
    </row>
    <row r="19" spans="3:13">
      <c r="C19" s="160">
        <v>10</v>
      </c>
      <c r="D19" s="161">
        <v>0.83479999999999999</v>
      </c>
      <c r="E19" s="161">
        <v>0.89629999999999999</v>
      </c>
      <c r="J19" s="160">
        <v>15</v>
      </c>
      <c r="K19" s="186" t="s">
        <v>174</v>
      </c>
      <c r="L19" s="186">
        <v>0.95640000000000003</v>
      </c>
      <c r="M19" s="186">
        <v>0.80920000000000003</v>
      </c>
    </row>
    <row r="20" spans="3:13">
      <c r="C20" s="160">
        <v>11</v>
      </c>
      <c r="D20" s="161">
        <v>0.85509999999999997</v>
      </c>
      <c r="E20" s="161">
        <v>0.91559999999999997</v>
      </c>
      <c r="J20" s="160">
        <v>16</v>
      </c>
      <c r="K20" s="186" t="s">
        <v>174</v>
      </c>
      <c r="L20" s="186" t="s">
        <v>174</v>
      </c>
      <c r="M20" s="186">
        <v>0.84079999999999999</v>
      </c>
    </row>
    <row r="21" spans="3:13">
      <c r="C21" s="160">
        <v>12</v>
      </c>
      <c r="D21" s="161">
        <v>0.87739999999999996</v>
      </c>
      <c r="E21" s="161">
        <v>0.93720000000000003</v>
      </c>
      <c r="J21" s="160">
        <v>17</v>
      </c>
      <c r="K21" s="186" t="s">
        <v>174</v>
      </c>
      <c r="L21" s="186" t="s">
        <v>174</v>
      </c>
      <c r="M21" s="186">
        <v>0.87490000000000001</v>
      </c>
    </row>
    <row r="22" spans="3:13">
      <c r="C22" s="160">
        <v>13</v>
      </c>
      <c r="D22" s="161">
        <v>0.90180000000000005</v>
      </c>
      <c r="E22" s="161" t="s">
        <v>174</v>
      </c>
      <c r="J22" s="160">
        <v>18</v>
      </c>
      <c r="K22" s="186" t="s">
        <v>174</v>
      </c>
      <c r="L22" s="186" t="s">
        <v>174</v>
      </c>
      <c r="M22" s="186">
        <v>0.91169999999999995</v>
      </c>
    </row>
    <row r="23" spans="3:13">
      <c r="C23" s="160">
        <v>14</v>
      </c>
      <c r="D23" s="161">
        <v>0.92849999999999999</v>
      </c>
      <c r="E23" s="161" t="s">
        <v>174</v>
      </c>
      <c r="J23" s="160">
        <v>19</v>
      </c>
      <c r="K23" s="186" t="s">
        <v>174</v>
      </c>
      <c r="L23" s="186" t="s">
        <v>174</v>
      </c>
      <c r="M23" s="186">
        <v>0.9516</v>
      </c>
    </row>
    <row r="24" spans="3:13">
      <c r="C24" s="160">
        <v>15</v>
      </c>
      <c r="D24" s="161">
        <v>0.95750000000000002</v>
      </c>
      <c r="E24" s="161" t="s">
        <v>174</v>
      </c>
      <c r="J24" s="160">
        <v>20</v>
      </c>
      <c r="K24" s="186" t="s">
        <v>174</v>
      </c>
      <c r="L24" s="186" t="s">
        <v>174</v>
      </c>
      <c r="M24" s="186">
        <v>0.99470000000000003</v>
      </c>
    </row>
  </sheetData>
  <mergeCells count="2">
    <mergeCell ref="D7:E7"/>
    <mergeCell ref="J3:M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B1:AJ57"/>
  <sheetViews>
    <sheetView topLeftCell="P16" workbookViewId="0">
      <selection activeCell="AD19" sqref="AD19"/>
    </sheetView>
  </sheetViews>
  <sheetFormatPr defaultRowHeight="15"/>
  <cols>
    <col min="2" max="2" width="13.140625" customWidth="1"/>
    <col min="3" max="3" width="14.5703125" customWidth="1"/>
    <col min="6" max="6" width="13.140625" bestFit="1" customWidth="1"/>
    <col min="7" max="7" width="12.7109375" customWidth="1"/>
    <col min="14" max="14" width="13.28515625" bestFit="1" customWidth="1"/>
  </cols>
  <sheetData>
    <row r="1" spans="2:36">
      <c r="T1" t="s">
        <v>195</v>
      </c>
      <c r="AE1" t="s">
        <v>194</v>
      </c>
    </row>
    <row r="2" spans="2:36" ht="30" customHeight="1">
      <c r="B2" s="357" t="s">
        <v>11</v>
      </c>
      <c r="C2" s="358"/>
      <c r="F2" s="359" t="s">
        <v>177</v>
      </c>
      <c r="G2" s="359"/>
      <c r="H2" s="359"/>
      <c r="J2" s="8" t="s">
        <v>168</v>
      </c>
      <c r="T2" s="359" t="s">
        <v>177</v>
      </c>
      <c r="U2" s="359"/>
      <c r="V2" s="359"/>
      <c r="W2" s="359"/>
      <c r="Y2" t="s">
        <v>192</v>
      </c>
      <c r="AE2" s="8" t="s">
        <v>193</v>
      </c>
    </row>
    <row r="3" spans="2:36">
      <c r="B3" s="162" t="s">
        <v>10</v>
      </c>
      <c r="C3" s="163" t="s">
        <v>175</v>
      </c>
      <c r="D3" s="163" t="s">
        <v>176</v>
      </c>
      <c r="F3" s="359"/>
      <c r="G3" s="359"/>
      <c r="H3" s="359"/>
      <c r="J3" s="156" t="s">
        <v>1</v>
      </c>
      <c r="K3" s="156" t="s">
        <v>167</v>
      </c>
      <c r="T3" s="359"/>
      <c r="U3" s="359"/>
      <c r="V3" s="359"/>
      <c r="W3" s="359"/>
      <c r="Y3" s="8" t="s">
        <v>190</v>
      </c>
    </row>
    <row r="4" spans="2:36" ht="38.25">
      <c r="B4" s="164">
        <v>3</v>
      </c>
      <c r="C4" s="81">
        <v>5.96</v>
      </c>
      <c r="D4" s="81">
        <v>7.63</v>
      </c>
      <c r="F4" s="165" t="s">
        <v>178</v>
      </c>
      <c r="G4" s="166">
        <v>6</v>
      </c>
      <c r="H4" s="166">
        <v>7</v>
      </c>
      <c r="J4" s="157">
        <v>18</v>
      </c>
      <c r="K4" s="158">
        <v>0.87</v>
      </c>
      <c r="T4" s="165" t="s">
        <v>178</v>
      </c>
      <c r="U4" s="166">
        <v>6</v>
      </c>
      <c r="V4" s="166">
        <v>7</v>
      </c>
      <c r="W4" s="166">
        <v>10</v>
      </c>
      <c r="AE4" s="8" t="s">
        <v>168</v>
      </c>
    </row>
    <row r="5" spans="2:36">
      <c r="B5" s="164">
        <f>B4+1</f>
        <v>4</v>
      </c>
      <c r="C5" s="81">
        <v>5.96</v>
      </c>
      <c r="D5" s="81">
        <v>7.63</v>
      </c>
      <c r="F5" s="164">
        <v>3</v>
      </c>
      <c r="G5" s="81">
        <v>167.91</v>
      </c>
      <c r="H5" s="81">
        <v>131.07</v>
      </c>
      <c r="J5" s="157">
        <v>19</v>
      </c>
      <c r="K5" s="158">
        <v>0.91</v>
      </c>
      <c r="Q5" s="81"/>
      <c r="R5" s="81"/>
      <c r="S5" s="81"/>
      <c r="T5" s="164">
        <v>0</v>
      </c>
      <c r="U5" s="81" t="s">
        <v>174</v>
      </c>
      <c r="V5" s="81" t="s">
        <v>174</v>
      </c>
      <c r="W5" s="81">
        <v>74.03</v>
      </c>
      <c r="Y5" s="162" t="s">
        <v>10</v>
      </c>
      <c r="Z5" s="187" t="s">
        <v>175</v>
      </c>
      <c r="AA5" s="187" t="s">
        <v>176</v>
      </c>
      <c r="AB5" s="187" t="s">
        <v>191</v>
      </c>
      <c r="AG5" s="189"/>
    </row>
    <row r="6" spans="2:36">
      <c r="B6" s="164">
        <f t="shared" ref="B6:B18" si="0">B5+1</f>
        <v>5</v>
      </c>
      <c r="C6" s="81">
        <v>5.96</v>
      </c>
      <c r="D6" s="81">
        <v>7.63</v>
      </c>
      <c r="F6" s="164">
        <f>F5+1</f>
        <v>4</v>
      </c>
      <c r="G6" s="81">
        <v>167.85</v>
      </c>
      <c r="H6" s="81">
        <v>131.03</v>
      </c>
      <c r="J6" s="157">
        <v>20</v>
      </c>
      <c r="K6" s="158">
        <v>0.92</v>
      </c>
      <c r="Q6" s="81"/>
      <c r="R6" s="81"/>
      <c r="S6" s="81"/>
      <c r="T6" s="164">
        <v>1</v>
      </c>
      <c r="U6" s="81" t="s">
        <v>174</v>
      </c>
      <c r="V6" s="81" t="s">
        <v>174</v>
      </c>
      <c r="W6" s="81">
        <v>73.930000000000007</v>
      </c>
      <c r="Y6" s="164">
        <v>0</v>
      </c>
      <c r="Z6" s="188" t="s">
        <v>174</v>
      </c>
      <c r="AA6" s="188" t="s">
        <v>174</v>
      </c>
      <c r="AB6" s="188">
        <v>13.51</v>
      </c>
      <c r="AF6" s="156" t="s">
        <v>1</v>
      </c>
      <c r="AG6" s="156" t="s">
        <v>167</v>
      </c>
    </row>
    <row r="7" spans="2:36">
      <c r="B7" s="164">
        <f t="shared" si="0"/>
        <v>6</v>
      </c>
      <c r="C7" s="81">
        <v>5.95</v>
      </c>
      <c r="D7" s="81">
        <v>7.63</v>
      </c>
      <c r="F7" s="164">
        <f t="shared" ref="F7:F52" si="1">F6+1</f>
        <v>5</v>
      </c>
      <c r="G7" s="81">
        <v>167.89</v>
      </c>
      <c r="H7" s="81">
        <v>131.05000000000001</v>
      </c>
      <c r="J7" s="157">
        <v>21</v>
      </c>
      <c r="K7" s="158">
        <v>0.93</v>
      </c>
      <c r="Q7" s="81"/>
      <c r="R7" s="81"/>
      <c r="S7" s="81"/>
      <c r="T7" s="164">
        <v>2</v>
      </c>
      <c r="U7" s="81" t="s">
        <v>174</v>
      </c>
      <c r="V7" s="81" t="s">
        <v>174</v>
      </c>
      <c r="W7" s="81">
        <v>73.83</v>
      </c>
      <c r="Y7" s="164">
        <v>1</v>
      </c>
      <c r="Z7" s="188" t="s">
        <v>174</v>
      </c>
      <c r="AA7" s="188" t="s">
        <v>174</v>
      </c>
      <c r="AB7" s="188">
        <v>13.53</v>
      </c>
      <c r="AF7" s="157">
        <v>0</v>
      </c>
      <c r="AG7" s="190">
        <v>0.92</v>
      </c>
    </row>
    <row r="8" spans="2:36">
      <c r="B8" s="164">
        <f t="shared" si="0"/>
        <v>7</v>
      </c>
      <c r="C8" s="81">
        <v>5.95</v>
      </c>
      <c r="D8" s="81">
        <v>7.62</v>
      </c>
      <c r="F8" s="164">
        <f t="shared" si="1"/>
        <v>6</v>
      </c>
      <c r="G8" s="81">
        <v>167.98</v>
      </c>
      <c r="H8" s="81">
        <v>131.11000000000001</v>
      </c>
      <c r="J8" s="157">
        <v>22</v>
      </c>
      <c r="K8" s="158">
        <v>0.94</v>
      </c>
      <c r="N8" t="s">
        <v>179</v>
      </c>
      <c r="O8" t="e">
        <f ca="1">VLOOKUP(SS!$C$7,$F$4:$H$52,MATCH(SS!$C$13,'SAMF and Premium'!$F$4:$H$4,0),FALSE)</f>
        <v>#N/A</v>
      </c>
      <c r="Q8" s="81"/>
      <c r="R8" s="81"/>
      <c r="S8" s="81"/>
      <c r="T8" s="164">
        <v>3</v>
      </c>
      <c r="U8" s="81" t="s">
        <v>174</v>
      </c>
      <c r="V8" s="81">
        <v>126.41</v>
      </c>
      <c r="W8" s="81">
        <v>73.709999999999994</v>
      </c>
      <c r="Y8" s="164">
        <v>2</v>
      </c>
      <c r="Z8" s="188" t="s">
        <v>174</v>
      </c>
      <c r="AA8" s="188" t="s">
        <v>174</v>
      </c>
      <c r="AB8" s="188">
        <v>13.54</v>
      </c>
      <c r="AF8" s="157">
        <v>1</v>
      </c>
      <c r="AG8" s="190">
        <v>0.92</v>
      </c>
    </row>
    <row r="9" spans="2:36">
      <c r="B9" s="164">
        <f t="shared" si="0"/>
        <v>8</v>
      </c>
      <c r="C9" s="81">
        <v>5.94</v>
      </c>
      <c r="D9" s="81">
        <v>7.62</v>
      </c>
      <c r="F9" s="164">
        <f t="shared" si="1"/>
        <v>7</v>
      </c>
      <c r="G9" s="81">
        <v>168.11</v>
      </c>
      <c r="H9" s="81">
        <v>131.19</v>
      </c>
      <c r="J9" s="157">
        <v>23</v>
      </c>
      <c r="K9" s="158">
        <v>0.94</v>
      </c>
      <c r="Q9" s="81"/>
      <c r="R9" s="81"/>
      <c r="S9" s="81"/>
      <c r="T9" s="164">
        <f>T8+1</f>
        <v>4</v>
      </c>
      <c r="U9" s="81" t="s">
        <v>174</v>
      </c>
      <c r="V9" s="81">
        <v>126.36</v>
      </c>
      <c r="W9" s="81">
        <v>73.69</v>
      </c>
      <c r="Y9" s="164">
        <v>3</v>
      </c>
      <c r="Z9" s="188" t="s">
        <v>174</v>
      </c>
      <c r="AA9" s="188">
        <v>7.91</v>
      </c>
      <c r="AB9" s="188">
        <v>13.57</v>
      </c>
      <c r="AF9" s="157">
        <v>2</v>
      </c>
      <c r="AG9" s="190">
        <v>0.92</v>
      </c>
      <c r="AJ9">
        <f ca="1">VLOOKUP(SS!C7,'SAMF and Premium'!$T$4:$W$55,MATCH(SS!$C$13,$T$4:$W$4,0),FALSE)</f>
        <v>74.66</v>
      </c>
    </row>
    <row r="10" spans="2:36">
      <c r="B10" s="164">
        <f t="shared" si="0"/>
        <v>9</v>
      </c>
      <c r="C10" s="81">
        <v>5.94</v>
      </c>
      <c r="D10" s="81">
        <v>7.61</v>
      </c>
      <c r="F10" s="164">
        <f t="shared" si="1"/>
        <v>8</v>
      </c>
      <c r="G10" s="81">
        <v>168.27</v>
      </c>
      <c r="H10" s="81">
        <v>131.30000000000001</v>
      </c>
      <c r="J10" s="157">
        <v>24</v>
      </c>
      <c r="K10" s="158">
        <v>0.93</v>
      </c>
      <c r="Q10" s="81"/>
      <c r="R10" s="81"/>
      <c r="S10" s="81"/>
      <c r="T10" s="164">
        <f t="shared" ref="T10:T55" si="2">T9+1</f>
        <v>5</v>
      </c>
      <c r="U10" s="81" t="s">
        <v>174</v>
      </c>
      <c r="V10" s="81">
        <v>126.36</v>
      </c>
      <c r="W10" s="81">
        <v>73.7</v>
      </c>
      <c r="Y10" s="164">
        <f>Y9+1</f>
        <v>4</v>
      </c>
      <c r="Z10" s="188" t="s">
        <v>174</v>
      </c>
      <c r="AA10" s="188">
        <v>7.91</v>
      </c>
      <c r="AB10" s="188">
        <v>13.57</v>
      </c>
      <c r="AF10" s="157">
        <v>3</v>
      </c>
      <c r="AG10" s="190">
        <v>0.47</v>
      </c>
    </row>
    <row r="11" spans="2:36">
      <c r="B11" s="164">
        <f t="shared" si="0"/>
        <v>10</v>
      </c>
      <c r="C11" s="81">
        <v>5.93</v>
      </c>
      <c r="D11" s="81">
        <v>7.6</v>
      </c>
      <c r="F11" s="164">
        <f t="shared" si="1"/>
        <v>9</v>
      </c>
      <c r="G11" s="81">
        <v>168.44</v>
      </c>
      <c r="H11" s="81">
        <v>131.41</v>
      </c>
      <c r="J11" s="157">
        <v>25</v>
      </c>
      <c r="K11" s="158">
        <v>0.93</v>
      </c>
      <c r="Q11" s="81"/>
      <c r="R11" s="81"/>
      <c r="S11" s="81"/>
      <c r="T11" s="164">
        <f t="shared" si="2"/>
        <v>6</v>
      </c>
      <c r="U11" s="81">
        <v>164.28</v>
      </c>
      <c r="V11" s="81">
        <v>126.44</v>
      </c>
      <c r="W11" s="81">
        <v>73.75</v>
      </c>
      <c r="Y11" s="164">
        <f t="shared" ref="Y11:Y23" si="3">Y10+1</f>
        <v>5</v>
      </c>
      <c r="Z11" s="188" t="s">
        <v>174</v>
      </c>
      <c r="AA11" s="188">
        <v>7.91</v>
      </c>
      <c r="AB11" s="188">
        <v>13.57</v>
      </c>
      <c r="AF11" s="157">
        <v>4</v>
      </c>
      <c r="AG11" s="190">
        <v>0.27</v>
      </c>
    </row>
    <row r="12" spans="2:36">
      <c r="B12" s="164">
        <f t="shared" si="0"/>
        <v>11</v>
      </c>
      <c r="C12" s="81">
        <v>5.92</v>
      </c>
      <c r="D12" s="81">
        <v>7.6</v>
      </c>
      <c r="F12" s="164">
        <f t="shared" si="1"/>
        <v>10</v>
      </c>
      <c r="G12" s="81">
        <v>168.62</v>
      </c>
      <c r="H12" s="81">
        <v>131.54</v>
      </c>
      <c r="J12" s="157">
        <v>26</v>
      </c>
      <c r="K12" s="158">
        <v>0.93</v>
      </c>
      <c r="Q12" s="81"/>
      <c r="R12" s="81"/>
      <c r="S12" s="81"/>
      <c r="T12" s="164">
        <f t="shared" si="2"/>
        <v>7</v>
      </c>
      <c r="U12" s="81">
        <v>164.41</v>
      </c>
      <c r="V12" s="81">
        <v>126.52</v>
      </c>
      <c r="W12" s="81">
        <v>73.81</v>
      </c>
      <c r="Y12" s="164">
        <f t="shared" si="3"/>
        <v>6</v>
      </c>
      <c r="Z12" s="188">
        <v>6.09</v>
      </c>
      <c r="AA12" s="188">
        <v>7.91</v>
      </c>
      <c r="AB12" s="188">
        <v>13.56</v>
      </c>
      <c r="AF12" s="157">
        <v>5</v>
      </c>
      <c r="AG12" s="190">
        <v>0.19</v>
      </c>
    </row>
    <row r="13" spans="2:36">
      <c r="B13" s="164">
        <f t="shared" si="0"/>
        <v>12</v>
      </c>
      <c r="C13" s="81">
        <v>5.92</v>
      </c>
      <c r="D13" s="81">
        <v>7.59</v>
      </c>
      <c r="F13" s="164">
        <f t="shared" si="1"/>
        <v>11</v>
      </c>
      <c r="G13" s="81">
        <v>168.8</v>
      </c>
      <c r="H13" s="81">
        <v>131.66</v>
      </c>
      <c r="J13" s="157">
        <v>27</v>
      </c>
      <c r="K13" s="158">
        <v>0.93</v>
      </c>
      <c r="Q13" s="81"/>
      <c r="R13" s="81"/>
      <c r="S13" s="81"/>
      <c r="T13" s="164">
        <f t="shared" si="2"/>
        <v>8</v>
      </c>
      <c r="U13" s="81">
        <v>164.56</v>
      </c>
      <c r="V13" s="81">
        <v>126.62</v>
      </c>
      <c r="W13" s="81">
        <v>73.88</v>
      </c>
      <c r="Y13" s="164">
        <f t="shared" si="3"/>
        <v>7</v>
      </c>
      <c r="Z13" s="188">
        <v>6.08</v>
      </c>
      <c r="AA13" s="188">
        <v>7.9</v>
      </c>
      <c r="AB13" s="188">
        <v>13.55</v>
      </c>
      <c r="AF13" s="157">
        <v>6</v>
      </c>
      <c r="AG13" s="190">
        <v>0.15</v>
      </c>
    </row>
    <row r="14" spans="2:36">
      <c r="B14" s="164">
        <f t="shared" si="0"/>
        <v>13</v>
      </c>
      <c r="C14" s="81">
        <v>5.91</v>
      </c>
      <c r="D14" s="81">
        <v>7.58</v>
      </c>
      <c r="F14" s="164">
        <f t="shared" si="1"/>
        <v>12</v>
      </c>
      <c r="G14" s="81">
        <v>168.97</v>
      </c>
      <c r="H14" s="81">
        <v>131.78</v>
      </c>
      <c r="J14" s="157">
        <v>28</v>
      </c>
      <c r="K14" s="158">
        <v>0.94</v>
      </c>
      <c r="Q14" s="81"/>
      <c r="R14" s="81"/>
      <c r="S14" s="81"/>
      <c r="T14" s="164">
        <f t="shared" si="2"/>
        <v>9</v>
      </c>
      <c r="U14" s="81">
        <v>164.73</v>
      </c>
      <c r="V14" s="81">
        <v>126.73</v>
      </c>
      <c r="W14" s="81">
        <v>73.959999999999994</v>
      </c>
      <c r="Y14" s="164">
        <f t="shared" si="3"/>
        <v>8</v>
      </c>
      <c r="Z14" s="188">
        <v>6.08</v>
      </c>
      <c r="AA14" s="188">
        <v>7.9</v>
      </c>
      <c r="AB14" s="188">
        <v>13.54</v>
      </c>
      <c r="AF14" s="157">
        <v>7</v>
      </c>
      <c r="AG14" s="190">
        <v>0.15</v>
      </c>
    </row>
    <row r="15" spans="2:36">
      <c r="B15" s="164">
        <f t="shared" si="0"/>
        <v>14</v>
      </c>
      <c r="C15" s="81">
        <v>5.91</v>
      </c>
      <c r="D15" s="81">
        <v>7.58</v>
      </c>
      <c r="F15" s="164">
        <f t="shared" si="1"/>
        <v>13</v>
      </c>
      <c r="G15" s="81">
        <v>169.13</v>
      </c>
      <c r="H15" s="81">
        <v>131.9</v>
      </c>
      <c r="J15" s="157">
        <v>29</v>
      </c>
      <c r="K15" s="158">
        <v>0.96</v>
      </c>
      <c r="Q15" s="81"/>
      <c r="R15" s="81"/>
      <c r="S15" s="81"/>
      <c r="T15" s="164">
        <f t="shared" si="2"/>
        <v>10</v>
      </c>
      <c r="U15" s="81">
        <v>164.91</v>
      </c>
      <c r="V15" s="81">
        <v>126.85</v>
      </c>
      <c r="W15" s="81">
        <v>74.040000000000006</v>
      </c>
      <c r="Y15" s="164">
        <f t="shared" si="3"/>
        <v>9</v>
      </c>
      <c r="Z15" s="188">
        <v>6.07</v>
      </c>
      <c r="AA15" s="188">
        <v>7.89</v>
      </c>
      <c r="AB15" s="188">
        <v>13.52</v>
      </c>
      <c r="AF15" s="157">
        <v>8</v>
      </c>
      <c r="AG15" s="190">
        <v>0.17</v>
      </c>
    </row>
    <row r="16" spans="2:36">
      <c r="B16" s="164">
        <f t="shared" si="0"/>
        <v>15</v>
      </c>
      <c r="C16" s="81">
        <v>5.9</v>
      </c>
      <c r="D16" s="81">
        <v>7.57</v>
      </c>
      <c r="F16" s="164">
        <f t="shared" si="1"/>
        <v>14</v>
      </c>
      <c r="G16" s="81">
        <v>169.27</v>
      </c>
      <c r="H16" s="81">
        <v>131.99</v>
      </c>
      <c r="J16" s="157">
        <v>30</v>
      </c>
      <c r="K16" s="158">
        <v>0.98</v>
      </c>
      <c r="Q16" s="81"/>
      <c r="R16" s="81"/>
      <c r="S16" s="81"/>
      <c r="T16" s="164">
        <f t="shared" si="2"/>
        <v>11</v>
      </c>
      <c r="U16" s="81">
        <v>165.09</v>
      </c>
      <c r="V16" s="81">
        <v>126.98</v>
      </c>
      <c r="W16" s="81">
        <v>74.13</v>
      </c>
      <c r="Y16" s="164">
        <f t="shared" si="3"/>
        <v>10</v>
      </c>
      <c r="Z16" s="188">
        <v>6.06</v>
      </c>
      <c r="AA16" s="188">
        <v>7.88</v>
      </c>
      <c r="AB16" s="188">
        <v>13.51</v>
      </c>
      <c r="AF16" s="157">
        <v>9</v>
      </c>
      <c r="AG16" s="190">
        <v>0.21</v>
      </c>
    </row>
    <row r="17" spans="2:33">
      <c r="B17" s="164">
        <f t="shared" si="0"/>
        <v>16</v>
      </c>
      <c r="C17" s="81">
        <v>5.9</v>
      </c>
      <c r="D17" s="81">
        <v>7.57</v>
      </c>
      <c r="F17" s="164">
        <f t="shared" si="1"/>
        <v>15</v>
      </c>
      <c r="G17" s="81">
        <v>169.38</v>
      </c>
      <c r="H17" s="81">
        <v>132.07</v>
      </c>
      <c r="J17" s="157">
        <v>31</v>
      </c>
      <c r="K17" s="158">
        <v>1.01</v>
      </c>
      <c r="Q17" s="81"/>
      <c r="R17" s="81"/>
      <c r="S17" s="81"/>
      <c r="T17" s="164">
        <f t="shared" si="2"/>
        <v>12</v>
      </c>
      <c r="U17" s="81">
        <v>165.27</v>
      </c>
      <c r="V17" s="81">
        <v>127.1</v>
      </c>
      <c r="W17" s="81">
        <v>74.209999999999994</v>
      </c>
      <c r="Y17" s="164">
        <f t="shared" si="3"/>
        <v>11</v>
      </c>
      <c r="Z17" s="188">
        <v>6.06</v>
      </c>
      <c r="AA17" s="188">
        <v>7.88</v>
      </c>
      <c r="AB17" s="188">
        <v>13.49</v>
      </c>
      <c r="AF17" s="157">
        <v>10</v>
      </c>
      <c r="AG17" s="190">
        <v>0.27</v>
      </c>
    </row>
    <row r="18" spans="2:33">
      <c r="B18" s="164">
        <f t="shared" si="0"/>
        <v>17</v>
      </c>
      <c r="C18" s="81">
        <v>5.9</v>
      </c>
      <c r="D18" s="81">
        <v>7.56</v>
      </c>
      <c r="F18" s="164">
        <f t="shared" si="1"/>
        <v>16</v>
      </c>
      <c r="G18" s="81">
        <v>169.46</v>
      </c>
      <c r="H18" s="81">
        <v>132.13999999999999</v>
      </c>
      <c r="J18" s="157">
        <v>32</v>
      </c>
      <c r="K18" s="158">
        <v>1.04</v>
      </c>
      <c r="Q18" s="81"/>
      <c r="R18" s="81"/>
      <c r="S18" s="81"/>
      <c r="T18" s="164">
        <f t="shared" si="2"/>
        <v>13</v>
      </c>
      <c r="U18" s="81">
        <v>165.43</v>
      </c>
      <c r="V18" s="81">
        <v>127.21</v>
      </c>
      <c r="W18" s="81">
        <v>74.28</v>
      </c>
      <c r="Y18" s="164">
        <f t="shared" si="3"/>
        <v>12</v>
      </c>
      <c r="Z18" s="188">
        <v>6.05</v>
      </c>
      <c r="AA18" s="188">
        <v>7.87</v>
      </c>
      <c r="AB18" s="188">
        <v>13.48</v>
      </c>
      <c r="AF18" s="157">
        <v>11</v>
      </c>
      <c r="AG18" s="190">
        <v>0.34</v>
      </c>
    </row>
    <row r="19" spans="2:33">
      <c r="B19" s="164">
        <v>18</v>
      </c>
      <c r="C19" s="81">
        <v>5.9</v>
      </c>
      <c r="D19" s="81">
        <v>7.56</v>
      </c>
      <c r="F19" s="164">
        <f t="shared" si="1"/>
        <v>17</v>
      </c>
      <c r="G19" s="81">
        <v>169.53</v>
      </c>
      <c r="H19" s="81">
        <v>132.19</v>
      </c>
      <c r="J19" s="157">
        <v>33</v>
      </c>
      <c r="K19" s="158">
        <v>1.0900000000000001</v>
      </c>
      <c r="Q19" s="81"/>
      <c r="R19" s="81"/>
      <c r="S19" s="81"/>
      <c r="T19" s="164">
        <f t="shared" si="2"/>
        <v>14</v>
      </c>
      <c r="U19" s="81">
        <v>165.56</v>
      </c>
      <c r="V19" s="81">
        <v>127.31</v>
      </c>
      <c r="W19" s="81">
        <v>74.34</v>
      </c>
      <c r="Y19" s="164">
        <f t="shared" si="3"/>
        <v>13</v>
      </c>
      <c r="Z19" s="188">
        <v>6.04</v>
      </c>
      <c r="AA19" s="188">
        <v>7.86</v>
      </c>
      <c r="AB19" s="188">
        <v>13.46</v>
      </c>
      <c r="AF19" s="157">
        <v>12</v>
      </c>
      <c r="AG19" s="190">
        <v>0.43</v>
      </c>
    </row>
    <row r="20" spans="2:33">
      <c r="B20" s="164">
        <v>19</v>
      </c>
      <c r="C20" s="81">
        <v>5.9</v>
      </c>
      <c r="D20" s="81">
        <v>7.56</v>
      </c>
      <c r="F20" s="164">
        <f t="shared" si="1"/>
        <v>18</v>
      </c>
      <c r="G20" s="81">
        <v>169.57</v>
      </c>
      <c r="H20" s="81">
        <v>132.22</v>
      </c>
      <c r="J20" s="157">
        <v>34</v>
      </c>
      <c r="K20" s="158">
        <v>1.1399999999999999</v>
      </c>
      <c r="Q20" s="81"/>
      <c r="R20" s="81"/>
      <c r="S20" s="81"/>
      <c r="T20" s="164">
        <f t="shared" si="2"/>
        <v>15</v>
      </c>
      <c r="U20" s="81">
        <v>165.68</v>
      </c>
      <c r="V20" s="81">
        <v>127.39</v>
      </c>
      <c r="W20" s="81">
        <v>74.400000000000006</v>
      </c>
      <c r="Y20" s="164">
        <f t="shared" si="3"/>
        <v>14</v>
      </c>
      <c r="Z20" s="188">
        <v>6.04</v>
      </c>
      <c r="AA20" s="188">
        <v>7.85</v>
      </c>
      <c r="AB20" s="188">
        <v>13.45</v>
      </c>
      <c r="AF20" s="157">
        <v>13</v>
      </c>
      <c r="AG20" s="190">
        <v>0.52</v>
      </c>
    </row>
    <row r="21" spans="2:33">
      <c r="B21" s="164">
        <v>20</v>
      </c>
      <c r="C21" s="81">
        <v>5.9</v>
      </c>
      <c r="D21" s="81">
        <v>7.56</v>
      </c>
      <c r="F21" s="164">
        <f t="shared" si="1"/>
        <v>19</v>
      </c>
      <c r="G21" s="81">
        <v>169.6</v>
      </c>
      <c r="H21" s="81">
        <v>132.25</v>
      </c>
      <c r="J21" s="157">
        <v>35</v>
      </c>
      <c r="K21" s="158">
        <v>1.2</v>
      </c>
      <c r="Q21" s="81"/>
      <c r="R21" s="81"/>
      <c r="S21" s="81"/>
      <c r="T21" s="164">
        <f t="shared" si="2"/>
        <v>16</v>
      </c>
      <c r="U21" s="81">
        <v>165.76</v>
      </c>
      <c r="V21" s="81">
        <v>127.45</v>
      </c>
      <c r="W21" s="81">
        <v>74.44</v>
      </c>
      <c r="Y21" s="164">
        <f t="shared" si="3"/>
        <v>15</v>
      </c>
      <c r="Z21" s="188">
        <v>6.04</v>
      </c>
      <c r="AA21" s="188">
        <v>7.85</v>
      </c>
      <c r="AB21" s="188">
        <v>13.44</v>
      </c>
      <c r="AF21" s="157">
        <v>14</v>
      </c>
      <c r="AG21" s="190">
        <v>0.61</v>
      </c>
    </row>
    <row r="22" spans="2:33">
      <c r="B22" s="164">
        <v>21</v>
      </c>
      <c r="C22" s="81">
        <v>5.89</v>
      </c>
      <c r="D22" s="81">
        <v>7.56</v>
      </c>
      <c r="F22" s="164">
        <f t="shared" si="1"/>
        <v>20</v>
      </c>
      <c r="G22" s="81">
        <v>169.63</v>
      </c>
      <c r="H22" s="81">
        <v>132.27000000000001</v>
      </c>
      <c r="J22" s="157">
        <v>36</v>
      </c>
      <c r="K22" s="158">
        <v>1.28</v>
      </c>
      <c r="Q22" s="81"/>
      <c r="R22" s="81"/>
      <c r="S22" s="81"/>
      <c r="T22" s="164">
        <f t="shared" si="2"/>
        <v>17</v>
      </c>
      <c r="U22" s="81">
        <v>165.83</v>
      </c>
      <c r="V22" s="81">
        <v>127.5</v>
      </c>
      <c r="W22" s="81">
        <v>74.47</v>
      </c>
      <c r="Y22" s="164">
        <f t="shared" si="3"/>
        <v>16</v>
      </c>
      <c r="Z22" s="188">
        <v>6.03</v>
      </c>
      <c r="AA22" s="188">
        <v>7.85</v>
      </c>
      <c r="AB22" s="188">
        <v>13.43</v>
      </c>
      <c r="AF22" s="157">
        <v>15</v>
      </c>
      <c r="AG22" s="190">
        <v>0.7</v>
      </c>
    </row>
    <row r="23" spans="2:33">
      <c r="B23" s="164">
        <v>22</v>
      </c>
      <c r="C23" s="81">
        <v>5.89</v>
      </c>
      <c r="D23" s="81">
        <v>7.56</v>
      </c>
      <c r="F23" s="164">
        <f t="shared" si="1"/>
        <v>21</v>
      </c>
      <c r="G23" s="81">
        <v>169.65</v>
      </c>
      <c r="H23" s="81">
        <v>132.29</v>
      </c>
      <c r="J23" s="157">
        <v>37</v>
      </c>
      <c r="K23" s="158">
        <v>1.36</v>
      </c>
      <c r="Q23" s="81"/>
      <c r="R23" s="81"/>
      <c r="S23" s="81"/>
      <c r="T23" s="164">
        <f t="shared" si="2"/>
        <v>18</v>
      </c>
      <c r="U23" s="81">
        <v>165.87</v>
      </c>
      <c r="V23" s="81">
        <v>127.54</v>
      </c>
      <c r="W23" s="81">
        <v>74.489999999999995</v>
      </c>
      <c r="Y23" s="164">
        <f t="shared" si="3"/>
        <v>17</v>
      </c>
      <c r="Z23" s="188">
        <v>6.03</v>
      </c>
      <c r="AA23" s="188">
        <v>7.84</v>
      </c>
      <c r="AB23" s="188">
        <v>13.43</v>
      </c>
      <c r="AF23" s="157">
        <v>16</v>
      </c>
      <c r="AG23" s="190">
        <v>0.77</v>
      </c>
    </row>
    <row r="24" spans="2:33">
      <c r="B24" s="164">
        <v>23</v>
      </c>
      <c r="C24" s="81">
        <v>5.89</v>
      </c>
      <c r="D24" s="81">
        <v>7.56</v>
      </c>
      <c r="F24" s="164">
        <f t="shared" si="1"/>
        <v>22</v>
      </c>
      <c r="G24" s="81">
        <v>169.67</v>
      </c>
      <c r="H24" s="81">
        <v>132.31</v>
      </c>
      <c r="J24" s="157">
        <v>38</v>
      </c>
      <c r="K24" s="158">
        <v>1.45</v>
      </c>
      <c r="Q24" s="81"/>
      <c r="R24" s="81"/>
      <c r="S24" s="81"/>
      <c r="T24" s="164">
        <f t="shared" si="2"/>
        <v>19</v>
      </c>
      <c r="U24" s="81">
        <v>165.91</v>
      </c>
      <c r="V24" s="81">
        <v>127.56</v>
      </c>
      <c r="W24" s="81">
        <v>74.510000000000005</v>
      </c>
      <c r="Y24" s="164">
        <v>18</v>
      </c>
      <c r="Z24" s="188">
        <v>6.03</v>
      </c>
      <c r="AA24" s="188">
        <v>7.84</v>
      </c>
      <c r="AB24" s="188">
        <v>13.42</v>
      </c>
      <c r="AF24" s="157">
        <v>17</v>
      </c>
      <c r="AG24" s="190">
        <v>0.83</v>
      </c>
    </row>
    <row r="25" spans="2:33">
      <c r="B25" s="164">
        <v>24</v>
      </c>
      <c r="C25" s="81">
        <v>5.89</v>
      </c>
      <c r="D25" s="81">
        <v>7.56</v>
      </c>
      <c r="F25" s="164">
        <f t="shared" si="1"/>
        <v>23</v>
      </c>
      <c r="G25" s="81">
        <v>169.69</v>
      </c>
      <c r="H25" s="81">
        <v>132.33000000000001</v>
      </c>
      <c r="J25" s="157">
        <v>39</v>
      </c>
      <c r="K25" s="158">
        <v>1.56</v>
      </c>
      <c r="Q25" s="81"/>
      <c r="R25" s="81"/>
      <c r="S25" s="81"/>
      <c r="T25" s="164">
        <f t="shared" si="2"/>
        <v>20</v>
      </c>
      <c r="U25" s="81">
        <v>165.91</v>
      </c>
      <c r="V25" s="81">
        <v>127.56</v>
      </c>
      <c r="W25" s="81">
        <v>74.53</v>
      </c>
      <c r="Y25" s="164">
        <v>19</v>
      </c>
      <c r="Z25" s="188">
        <v>6.03</v>
      </c>
      <c r="AA25" s="188">
        <v>7.84</v>
      </c>
      <c r="AB25" s="188">
        <v>13.42</v>
      </c>
      <c r="AF25" s="157">
        <v>18</v>
      </c>
      <c r="AG25" s="190">
        <v>0.87</v>
      </c>
    </row>
    <row r="26" spans="2:33">
      <c r="B26" s="164">
        <v>25</v>
      </c>
      <c r="C26" s="81">
        <v>5.89</v>
      </c>
      <c r="D26" s="81">
        <v>7.55</v>
      </c>
      <c r="F26" s="164">
        <f t="shared" si="1"/>
        <v>24</v>
      </c>
      <c r="G26" s="81">
        <v>169.73</v>
      </c>
      <c r="H26" s="81">
        <v>132.36000000000001</v>
      </c>
      <c r="J26" s="157">
        <v>40</v>
      </c>
      <c r="K26" s="158">
        <v>1.68</v>
      </c>
      <c r="Q26" s="81"/>
      <c r="R26" s="81"/>
      <c r="S26" s="81"/>
      <c r="T26" s="164">
        <f t="shared" si="2"/>
        <v>21</v>
      </c>
      <c r="U26" s="81">
        <v>165.95</v>
      </c>
      <c r="V26" s="81">
        <v>127.6</v>
      </c>
      <c r="W26" s="81">
        <v>74.540000000000006</v>
      </c>
      <c r="Y26" s="164">
        <v>20</v>
      </c>
      <c r="Z26" s="188">
        <v>6.03</v>
      </c>
      <c r="AA26" s="188">
        <v>7.84</v>
      </c>
      <c r="AB26" s="188">
        <v>13.42</v>
      </c>
      <c r="AF26" s="157">
        <v>19</v>
      </c>
      <c r="AG26" s="190">
        <v>0.91</v>
      </c>
    </row>
    <row r="27" spans="2:33">
      <c r="B27" s="164">
        <v>26</v>
      </c>
      <c r="C27" s="81">
        <v>5.89</v>
      </c>
      <c r="D27" s="81">
        <v>7.55</v>
      </c>
      <c r="F27" s="164">
        <f t="shared" si="1"/>
        <v>25</v>
      </c>
      <c r="G27" s="81">
        <v>169.78</v>
      </c>
      <c r="H27" s="81">
        <v>132.41</v>
      </c>
      <c r="J27" s="157">
        <v>41</v>
      </c>
      <c r="K27" s="158">
        <v>1.82</v>
      </c>
      <c r="Q27" s="81"/>
      <c r="R27" s="81"/>
      <c r="S27" s="81"/>
      <c r="T27" s="164">
        <f t="shared" si="2"/>
        <v>22</v>
      </c>
      <c r="U27" s="81">
        <v>165.95</v>
      </c>
      <c r="V27" s="81">
        <v>127.6</v>
      </c>
      <c r="W27" s="81">
        <v>74.55</v>
      </c>
      <c r="Y27" s="164">
        <v>21</v>
      </c>
      <c r="Z27" s="188">
        <v>6.03</v>
      </c>
      <c r="AA27" s="188">
        <v>7.84</v>
      </c>
      <c r="AB27" s="188">
        <v>13.42</v>
      </c>
      <c r="AF27" s="157">
        <v>20</v>
      </c>
      <c r="AG27" s="190">
        <v>0.92</v>
      </c>
    </row>
    <row r="28" spans="2:33">
      <c r="B28" s="164">
        <v>27</v>
      </c>
      <c r="C28" s="81">
        <v>5.89</v>
      </c>
      <c r="D28" s="81">
        <v>7.55</v>
      </c>
      <c r="F28" s="164">
        <f t="shared" si="1"/>
        <v>26</v>
      </c>
      <c r="G28" s="81">
        <v>169.84</v>
      </c>
      <c r="H28" s="81">
        <v>132.46</v>
      </c>
      <c r="J28" s="157">
        <v>42</v>
      </c>
      <c r="K28" s="158">
        <v>1.97</v>
      </c>
      <c r="Q28" s="81"/>
      <c r="R28" s="81"/>
      <c r="S28" s="81"/>
      <c r="T28" s="164">
        <f t="shared" si="2"/>
        <v>23</v>
      </c>
      <c r="U28" s="81">
        <v>165.99</v>
      </c>
      <c r="V28" s="81">
        <v>127.64</v>
      </c>
      <c r="W28" s="81">
        <v>74.569999999999993</v>
      </c>
      <c r="Y28" s="164">
        <v>22</v>
      </c>
      <c r="Z28" s="188">
        <v>6.03</v>
      </c>
      <c r="AA28" s="188">
        <v>7.84</v>
      </c>
      <c r="AB28" s="188">
        <v>13.41</v>
      </c>
      <c r="AF28" s="157">
        <v>21</v>
      </c>
      <c r="AG28" s="190">
        <v>0.93</v>
      </c>
    </row>
    <row r="29" spans="2:33">
      <c r="B29" s="164">
        <v>28</v>
      </c>
      <c r="C29" s="81">
        <v>5.88</v>
      </c>
      <c r="D29" s="81">
        <v>7.54</v>
      </c>
      <c r="F29" s="164">
        <f t="shared" si="1"/>
        <v>27</v>
      </c>
      <c r="G29" s="81">
        <v>169.92</v>
      </c>
      <c r="H29" s="81">
        <v>132.53</v>
      </c>
      <c r="J29" s="157">
        <v>43</v>
      </c>
      <c r="K29" s="158">
        <v>2.14</v>
      </c>
      <c r="Q29" s="81"/>
      <c r="R29" s="81"/>
      <c r="S29" s="81"/>
      <c r="T29" s="164">
        <f t="shared" si="2"/>
        <v>24</v>
      </c>
      <c r="U29" s="81">
        <v>166.02</v>
      </c>
      <c r="V29" s="81">
        <v>127.67</v>
      </c>
      <c r="W29" s="81">
        <v>74.59</v>
      </c>
      <c r="Y29" s="164">
        <v>23</v>
      </c>
      <c r="Z29" s="188">
        <v>6.02</v>
      </c>
      <c r="AA29" s="188">
        <v>7.83</v>
      </c>
      <c r="AB29" s="188">
        <v>13.41</v>
      </c>
      <c r="AF29" s="157">
        <v>22</v>
      </c>
      <c r="AG29" s="190">
        <v>0.94</v>
      </c>
    </row>
    <row r="30" spans="2:33">
      <c r="B30" s="164">
        <v>29</v>
      </c>
      <c r="C30" s="81">
        <v>5.88</v>
      </c>
      <c r="D30" s="81">
        <v>7.54</v>
      </c>
      <c r="F30" s="164">
        <f t="shared" si="1"/>
        <v>28</v>
      </c>
      <c r="G30" s="81">
        <v>170.03</v>
      </c>
      <c r="H30" s="81">
        <v>132.61000000000001</v>
      </c>
      <c r="J30" s="157">
        <v>44</v>
      </c>
      <c r="K30" s="158">
        <v>2.35</v>
      </c>
      <c r="Q30" s="81"/>
      <c r="R30" s="81"/>
      <c r="S30" s="81"/>
      <c r="T30" s="164">
        <f t="shared" si="2"/>
        <v>25</v>
      </c>
      <c r="U30" s="81">
        <v>166.07</v>
      </c>
      <c r="V30" s="81">
        <v>127.71</v>
      </c>
      <c r="W30" s="81">
        <v>74.62</v>
      </c>
      <c r="Y30" s="164">
        <v>24</v>
      </c>
      <c r="Z30" s="188">
        <v>6.02</v>
      </c>
      <c r="AA30" s="188">
        <v>7.83</v>
      </c>
      <c r="AB30" s="188">
        <v>13.41</v>
      </c>
      <c r="AF30" s="157">
        <v>23</v>
      </c>
      <c r="AG30" s="190">
        <v>0.94</v>
      </c>
    </row>
    <row r="31" spans="2:33">
      <c r="B31" s="164">
        <v>30</v>
      </c>
      <c r="C31" s="81">
        <v>5.87</v>
      </c>
      <c r="D31" s="81">
        <v>7.53</v>
      </c>
      <c r="F31" s="164">
        <f t="shared" si="1"/>
        <v>29</v>
      </c>
      <c r="G31" s="81">
        <v>170.16</v>
      </c>
      <c r="H31" s="81">
        <v>132.71</v>
      </c>
      <c r="J31" s="157">
        <v>45</v>
      </c>
      <c r="K31" s="158">
        <v>2.58</v>
      </c>
      <c r="Q31" s="81"/>
      <c r="R31" s="81"/>
      <c r="S31" s="81"/>
      <c r="T31" s="164">
        <f t="shared" si="2"/>
        <v>26</v>
      </c>
      <c r="U31" s="81">
        <v>166.13</v>
      </c>
      <c r="V31" s="81">
        <v>127.76</v>
      </c>
      <c r="W31" s="81">
        <v>74.66</v>
      </c>
      <c r="Y31" s="164">
        <v>25</v>
      </c>
      <c r="Z31" s="188">
        <v>6.02</v>
      </c>
      <c r="AA31" s="188">
        <v>7.83</v>
      </c>
      <c r="AB31" s="188">
        <v>13.4</v>
      </c>
      <c r="AF31" s="157">
        <v>24</v>
      </c>
      <c r="AG31" s="190">
        <v>0.93</v>
      </c>
    </row>
    <row r="32" spans="2:33">
      <c r="B32" s="164">
        <v>31</v>
      </c>
      <c r="C32" s="81">
        <v>5.87</v>
      </c>
      <c r="D32" s="81">
        <v>7.52</v>
      </c>
      <c r="F32" s="164">
        <f t="shared" si="1"/>
        <v>30</v>
      </c>
      <c r="G32" s="81">
        <v>170.31</v>
      </c>
      <c r="H32" s="81">
        <v>132.84</v>
      </c>
      <c r="J32" s="157">
        <v>46</v>
      </c>
      <c r="K32" s="158">
        <v>2.85</v>
      </c>
      <c r="Q32" s="81"/>
      <c r="R32" s="81"/>
      <c r="S32" s="81"/>
      <c r="T32" s="164">
        <f t="shared" si="2"/>
        <v>27</v>
      </c>
      <c r="U32" s="81">
        <v>166.21</v>
      </c>
      <c r="V32" s="81">
        <v>127.82</v>
      </c>
      <c r="W32" s="81">
        <v>74.709999999999994</v>
      </c>
      <c r="Y32" s="164">
        <v>26</v>
      </c>
      <c r="Z32" s="188">
        <v>6.02</v>
      </c>
      <c r="AA32" s="188">
        <v>7.83</v>
      </c>
      <c r="AB32" s="188">
        <v>13.39</v>
      </c>
      <c r="AF32" s="157">
        <v>25</v>
      </c>
      <c r="AG32" s="190">
        <v>0.93</v>
      </c>
    </row>
    <row r="33" spans="2:33">
      <c r="B33" s="164">
        <v>32</v>
      </c>
      <c r="C33" s="81">
        <v>5.86</v>
      </c>
      <c r="D33" s="81">
        <v>7.51</v>
      </c>
      <c r="F33" s="164">
        <f t="shared" si="1"/>
        <v>31</v>
      </c>
      <c r="G33" s="81">
        <v>170.49</v>
      </c>
      <c r="H33" s="81">
        <v>132.97999999999999</v>
      </c>
      <c r="J33" s="157">
        <v>47</v>
      </c>
      <c r="K33" s="158">
        <v>3.17</v>
      </c>
      <c r="Q33" s="81"/>
      <c r="R33" s="81"/>
      <c r="S33" s="81"/>
      <c r="T33" s="164">
        <f t="shared" si="2"/>
        <v>28</v>
      </c>
      <c r="U33" s="81">
        <v>166.32</v>
      </c>
      <c r="V33" s="81">
        <v>127.9</v>
      </c>
      <c r="W33" s="81">
        <v>74.77</v>
      </c>
      <c r="Y33" s="164">
        <v>27</v>
      </c>
      <c r="Z33" s="188">
        <v>6.02</v>
      </c>
      <c r="AA33" s="188">
        <v>7.82</v>
      </c>
      <c r="AB33" s="188">
        <v>13.39</v>
      </c>
      <c r="AF33" s="157">
        <v>26</v>
      </c>
      <c r="AG33" s="190">
        <v>0.93</v>
      </c>
    </row>
    <row r="34" spans="2:33">
      <c r="B34" s="164">
        <v>33</v>
      </c>
      <c r="C34" s="81">
        <v>5.85</v>
      </c>
      <c r="D34" s="81">
        <v>7.5</v>
      </c>
      <c r="F34" s="164">
        <f t="shared" si="1"/>
        <v>32</v>
      </c>
      <c r="G34" s="81">
        <v>170.7</v>
      </c>
      <c r="H34" s="81">
        <v>133.15</v>
      </c>
      <c r="J34" s="157">
        <v>48</v>
      </c>
      <c r="K34" s="158">
        <v>3.54</v>
      </c>
      <c r="Q34" s="81"/>
      <c r="R34" s="81"/>
      <c r="S34" s="81"/>
      <c r="T34" s="164">
        <f t="shared" si="2"/>
        <v>29</v>
      </c>
      <c r="U34" s="81">
        <v>166.44</v>
      </c>
      <c r="V34" s="81">
        <v>128</v>
      </c>
      <c r="W34" s="81">
        <v>74.84</v>
      </c>
      <c r="Y34" s="164">
        <v>28</v>
      </c>
      <c r="Z34" s="188">
        <v>6.01</v>
      </c>
      <c r="AA34" s="188">
        <v>7.82</v>
      </c>
      <c r="AB34" s="188">
        <v>13.37</v>
      </c>
      <c r="AF34" s="157">
        <v>27</v>
      </c>
      <c r="AG34" s="190">
        <v>0.93</v>
      </c>
    </row>
    <row r="35" spans="2:33">
      <c r="B35" s="164">
        <v>34</v>
      </c>
      <c r="C35" s="81">
        <v>5.84</v>
      </c>
      <c r="D35" s="81">
        <v>7.49</v>
      </c>
      <c r="F35" s="164">
        <f t="shared" si="1"/>
        <v>33</v>
      </c>
      <c r="G35" s="81">
        <v>170.95</v>
      </c>
      <c r="H35" s="81">
        <v>133.34</v>
      </c>
      <c r="J35" s="157">
        <v>49</v>
      </c>
      <c r="K35" s="158">
        <v>3.96</v>
      </c>
      <c r="Q35" s="81"/>
      <c r="R35" s="81"/>
      <c r="S35" s="81"/>
      <c r="T35" s="164">
        <f t="shared" si="2"/>
        <v>30</v>
      </c>
      <c r="U35" s="81">
        <v>166.59</v>
      </c>
      <c r="V35" s="81">
        <v>128.11000000000001</v>
      </c>
      <c r="W35" s="81">
        <v>74.92</v>
      </c>
      <c r="Y35" s="164">
        <v>29</v>
      </c>
      <c r="Z35" s="188">
        <v>6.01</v>
      </c>
      <c r="AA35" s="188">
        <v>7.81</v>
      </c>
      <c r="AB35" s="188">
        <v>13.36</v>
      </c>
      <c r="AF35" s="157">
        <v>28</v>
      </c>
      <c r="AG35" s="190">
        <v>0.94</v>
      </c>
    </row>
    <row r="36" spans="2:33">
      <c r="B36" s="164">
        <v>35</v>
      </c>
      <c r="C36" s="81">
        <v>5.83</v>
      </c>
      <c r="D36" s="81">
        <v>7.47</v>
      </c>
      <c r="F36" s="164">
        <f t="shared" si="1"/>
        <v>34</v>
      </c>
      <c r="G36" s="81">
        <v>171.23</v>
      </c>
      <c r="H36" s="81">
        <v>133.57</v>
      </c>
      <c r="J36" s="157">
        <v>50</v>
      </c>
      <c r="K36" s="158">
        <v>4.4400000000000004</v>
      </c>
      <c r="Q36" s="81"/>
      <c r="R36" s="81"/>
      <c r="S36" s="81"/>
      <c r="T36" s="164">
        <f t="shared" si="2"/>
        <v>31</v>
      </c>
      <c r="U36" s="81">
        <v>166.77</v>
      </c>
      <c r="V36" s="81">
        <v>128.25</v>
      </c>
      <c r="W36" s="81">
        <v>75.02</v>
      </c>
      <c r="Y36" s="164">
        <v>30</v>
      </c>
      <c r="Z36" s="188">
        <v>6</v>
      </c>
      <c r="AA36" s="188">
        <v>7.81</v>
      </c>
      <c r="AB36" s="188">
        <v>13.35</v>
      </c>
      <c r="AF36" s="157">
        <v>29</v>
      </c>
      <c r="AG36" s="190">
        <v>0.96</v>
      </c>
    </row>
    <row r="37" spans="2:33">
      <c r="B37" s="164">
        <v>36</v>
      </c>
      <c r="C37" s="81">
        <v>5.82</v>
      </c>
      <c r="D37" s="81">
        <v>7.46</v>
      </c>
      <c r="F37" s="164">
        <f t="shared" si="1"/>
        <v>35</v>
      </c>
      <c r="G37" s="81">
        <v>171.56</v>
      </c>
      <c r="H37" s="81">
        <v>133.83000000000001</v>
      </c>
      <c r="Q37" s="81"/>
      <c r="R37" s="81"/>
      <c r="S37" s="81"/>
      <c r="T37" s="164">
        <f t="shared" si="2"/>
        <v>32</v>
      </c>
      <c r="U37" s="81">
        <v>166.98</v>
      </c>
      <c r="V37" s="81">
        <v>128.41</v>
      </c>
      <c r="W37" s="81">
        <v>75.14</v>
      </c>
      <c r="Y37" s="164">
        <v>31</v>
      </c>
      <c r="Z37" s="188">
        <v>6</v>
      </c>
      <c r="AA37" s="188">
        <v>7.8</v>
      </c>
      <c r="AB37" s="188">
        <v>13.33</v>
      </c>
      <c r="AF37" s="157">
        <v>30</v>
      </c>
      <c r="AG37" s="190">
        <v>0.98</v>
      </c>
    </row>
    <row r="38" spans="2:33">
      <c r="B38" s="164">
        <v>37</v>
      </c>
      <c r="C38" s="81">
        <v>5.8</v>
      </c>
      <c r="D38" s="81">
        <v>7.44</v>
      </c>
      <c r="F38" s="164">
        <f t="shared" si="1"/>
        <v>36</v>
      </c>
      <c r="G38" s="81">
        <v>171.93</v>
      </c>
      <c r="H38" s="81">
        <v>134.13</v>
      </c>
      <c r="Q38" s="81"/>
      <c r="R38" s="81"/>
      <c r="S38" s="81"/>
      <c r="T38" s="164">
        <f t="shared" si="2"/>
        <v>33</v>
      </c>
      <c r="U38" s="81">
        <v>167.22</v>
      </c>
      <c r="V38" s="81">
        <v>128.59</v>
      </c>
      <c r="W38" s="81">
        <v>75.27</v>
      </c>
      <c r="Y38" s="164">
        <v>32</v>
      </c>
      <c r="Z38" s="188">
        <v>5.99</v>
      </c>
      <c r="AA38" s="188">
        <v>7.79</v>
      </c>
      <c r="AB38" s="188">
        <v>13.31</v>
      </c>
      <c r="AF38" s="157">
        <v>31</v>
      </c>
      <c r="AG38" s="190">
        <v>1.01</v>
      </c>
    </row>
    <row r="39" spans="2:33">
      <c r="B39" s="164">
        <v>38</v>
      </c>
      <c r="C39" s="81">
        <v>5.78</v>
      </c>
      <c r="D39" s="81">
        <v>7.41</v>
      </c>
      <c r="F39" s="164">
        <f t="shared" si="1"/>
        <v>37</v>
      </c>
      <c r="G39" s="81">
        <v>172.37</v>
      </c>
      <c r="H39" s="81">
        <v>134.47999999999999</v>
      </c>
      <c r="Q39" s="81"/>
      <c r="R39" s="81"/>
      <c r="S39" s="81"/>
      <c r="T39" s="164">
        <f t="shared" si="2"/>
        <v>34</v>
      </c>
      <c r="U39" s="81">
        <v>167.5</v>
      </c>
      <c r="V39" s="81">
        <v>128.81</v>
      </c>
      <c r="W39" s="81">
        <v>75.42</v>
      </c>
      <c r="Y39" s="164">
        <v>33</v>
      </c>
      <c r="Z39" s="188">
        <v>5.98</v>
      </c>
      <c r="AA39" s="188">
        <v>7.78</v>
      </c>
      <c r="AB39" s="188">
        <v>13.29</v>
      </c>
      <c r="AF39" s="157">
        <v>32</v>
      </c>
      <c r="AG39" s="190">
        <v>1.04</v>
      </c>
    </row>
    <row r="40" spans="2:33">
      <c r="B40" s="164">
        <v>39</v>
      </c>
      <c r="C40" s="81">
        <v>5.77</v>
      </c>
      <c r="D40" s="81">
        <v>7.39</v>
      </c>
      <c r="F40" s="164">
        <f t="shared" si="1"/>
        <v>38</v>
      </c>
      <c r="G40" s="81">
        <v>172.87</v>
      </c>
      <c r="H40" s="81">
        <v>134.88</v>
      </c>
      <c r="Q40" s="81"/>
      <c r="R40" s="81"/>
      <c r="S40" s="81"/>
      <c r="T40" s="164">
        <f t="shared" si="2"/>
        <v>35</v>
      </c>
      <c r="U40" s="81">
        <v>167.82</v>
      </c>
      <c r="V40" s="81">
        <v>129.06</v>
      </c>
      <c r="W40" s="81">
        <v>75.59</v>
      </c>
      <c r="Y40" s="164">
        <v>34</v>
      </c>
      <c r="Z40" s="188">
        <v>5.97</v>
      </c>
      <c r="AA40" s="188">
        <v>7.76</v>
      </c>
      <c r="AB40" s="188">
        <v>13.26</v>
      </c>
      <c r="AF40" s="157">
        <v>33</v>
      </c>
      <c r="AG40" s="190">
        <v>1.0900000000000001</v>
      </c>
    </row>
    <row r="41" spans="2:33">
      <c r="B41" s="164">
        <v>40</v>
      </c>
      <c r="C41" s="81">
        <v>5.74</v>
      </c>
      <c r="D41" s="81">
        <v>7.36</v>
      </c>
      <c r="F41" s="164">
        <f t="shared" si="1"/>
        <v>39</v>
      </c>
      <c r="G41" s="81">
        <v>173.45</v>
      </c>
      <c r="H41" s="81">
        <v>135.34</v>
      </c>
      <c r="Q41" s="81"/>
      <c r="R41" s="81"/>
      <c r="S41" s="81"/>
      <c r="T41" s="164">
        <f t="shared" si="2"/>
        <v>36</v>
      </c>
      <c r="U41" s="81">
        <v>168.19</v>
      </c>
      <c r="V41" s="81">
        <v>129.35</v>
      </c>
      <c r="W41" s="81">
        <v>75.790000000000006</v>
      </c>
      <c r="Y41" s="164">
        <v>35</v>
      </c>
      <c r="Z41" s="188">
        <v>5.96</v>
      </c>
      <c r="AA41" s="188">
        <v>7.75</v>
      </c>
      <c r="AB41" s="188">
        <v>13.23</v>
      </c>
      <c r="AF41" s="157">
        <v>34</v>
      </c>
      <c r="AG41" s="190">
        <v>1.1399999999999999</v>
      </c>
    </row>
    <row r="42" spans="2:33">
      <c r="B42" s="164">
        <v>41</v>
      </c>
      <c r="C42" s="81">
        <v>5.72</v>
      </c>
      <c r="D42" s="81">
        <v>7.33</v>
      </c>
      <c r="F42" s="164">
        <f t="shared" si="1"/>
        <v>40</v>
      </c>
      <c r="G42" s="81">
        <v>174.12</v>
      </c>
      <c r="H42" s="81">
        <v>135.87</v>
      </c>
      <c r="Q42" s="81"/>
      <c r="R42" s="81"/>
      <c r="S42" s="81"/>
      <c r="T42" s="164">
        <f t="shared" si="2"/>
        <v>37</v>
      </c>
      <c r="U42" s="81">
        <v>168.61</v>
      </c>
      <c r="V42" s="81">
        <v>129.68</v>
      </c>
      <c r="W42" s="81">
        <v>76.010000000000005</v>
      </c>
      <c r="Y42" s="164">
        <v>36</v>
      </c>
      <c r="Z42" s="188">
        <v>5.95</v>
      </c>
      <c r="AA42" s="188">
        <v>7.73</v>
      </c>
      <c r="AB42" s="188">
        <v>13.19</v>
      </c>
      <c r="AF42" s="157">
        <v>35</v>
      </c>
      <c r="AG42" s="190">
        <v>1.2</v>
      </c>
    </row>
    <row r="43" spans="2:33">
      <c r="B43" s="164">
        <v>42</v>
      </c>
      <c r="C43" s="81">
        <v>5.69</v>
      </c>
      <c r="D43" s="81">
        <v>7.29</v>
      </c>
      <c r="F43" s="164">
        <f t="shared" si="1"/>
        <v>41</v>
      </c>
      <c r="G43" s="81">
        <v>174.89</v>
      </c>
      <c r="H43" s="81">
        <v>136.47</v>
      </c>
      <c r="Q43" s="81"/>
      <c r="R43" s="81"/>
      <c r="S43" s="81"/>
      <c r="T43" s="164">
        <f t="shared" si="2"/>
        <v>38</v>
      </c>
      <c r="U43" s="81">
        <v>169.11</v>
      </c>
      <c r="V43" s="81">
        <v>130.06</v>
      </c>
      <c r="W43" s="81">
        <v>76.25</v>
      </c>
      <c r="Y43" s="164">
        <v>37</v>
      </c>
      <c r="Z43" s="188">
        <v>5.93</v>
      </c>
      <c r="AA43" s="188">
        <v>7.71</v>
      </c>
      <c r="AB43" s="188">
        <v>13.16</v>
      </c>
      <c r="AF43" s="157">
        <v>36</v>
      </c>
      <c r="AG43" s="190">
        <v>1.28</v>
      </c>
    </row>
    <row r="44" spans="2:33">
      <c r="B44" s="164">
        <v>43</v>
      </c>
      <c r="C44" s="81">
        <v>5.66</v>
      </c>
      <c r="D44" s="81">
        <v>7.25</v>
      </c>
      <c r="F44" s="164">
        <f t="shared" si="1"/>
        <v>42</v>
      </c>
      <c r="G44" s="81">
        <v>175.77</v>
      </c>
      <c r="H44" s="81">
        <v>137.15</v>
      </c>
      <c r="Q44" s="81"/>
      <c r="R44" s="81"/>
      <c r="S44" s="81"/>
      <c r="T44" s="164">
        <f t="shared" si="2"/>
        <v>39</v>
      </c>
      <c r="U44" s="81">
        <v>169.67</v>
      </c>
      <c r="V44" s="81">
        <v>130.5</v>
      </c>
      <c r="W44" s="81">
        <v>76.53</v>
      </c>
      <c r="Y44" s="164">
        <v>38</v>
      </c>
      <c r="Z44" s="188">
        <v>5.91</v>
      </c>
      <c r="AA44" s="188">
        <v>7.69</v>
      </c>
      <c r="AB44" s="188">
        <v>13.11</v>
      </c>
      <c r="AF44" s="157">
        <v>37</v>
      </c>
      <c r="AG44" s="190">
        <v>1.36</v>
      </c>
    </row>
    <row r="45" spans="2:33">
      <c r="B45" s="164">
        <v>44</v>
      </c>
      <c r="C45" s="81">
        <v>5.62</v>
      </c>
      <c r="D45" s="81">
        <v>7.2</v>
      </c>
      <c r="F45" s="164">
        <f t="shared" si="1"/>
        <v>43</v>
      </c>
      <c r="G45" s="81">
        <v>176.79</v>
      </c>
      <c r="H45" s="81">
        <v>137.93</v>
      </c>
      <c r="Q45" s="81"/>
      <c r="R45" s="81"/>
      <c r="S45" s="81"/>
      <c r="T45" s="164">
        <f t="shared" si="2"/>
        <v>40</v>
      </c>
      <c r="U45" s="81">
        <v>170.33</v>
      </c>
      <c r="V45" s="81">
        <v>131</v>
      </c>
      <c r="W45" s="81">
        <v>76.84</v>
      </c>
      <c r="Y45" s="164">
        <v>39</v>
      </c>
      <c r="Z45" s="188">
        <v>5.89</v>
      </c>
      <c r="AA45" s="188">
        <v>7.66</v>
      </c>
      <c r="AB45" s="188">
        <v>13.07</v>
      </c>
      <c r="AF45" s="157">
        <v>38</v>
      </c>
      <c r="AG45" s="190">
        <v>1.45</v>
      </c>
    </row>
    <row r="46" spans="2:33">
      <c r="B46" s="164">
        <v>45</v>
      </c>
      <c r="C46" s="81">
        <v>5.58</v>
      </c>
      <c r="D46" s="81">
        <v>7.15</v>
      </c>
      <c r="F46" s="164">
        <f t="shared" si="1"/>
        <v>44</v>
      </c>
      <c r="G46" s="81">
        <v>177.95</v>
      </c>
      <c r="H46" s="81">
        <v>138.81</v>
      </c>
      <c r="Q46" s="81"/>
      <c r="R46" s="81"/>
      <c r="S46" s="81"/>
      <c r="T46" s="164">
        <f t="shared" si="2"/>
        <v>41</v>
      </c>
      <c r="U46" s="81">
        <v>171.09</v>
      </c>
      <c r="V46" s="81">
        <v>131.58000000000001</v>
      </c>
      <c r="W46" s="81">
        <v>77.19</v>
      </c>
      <c r="Y46" s="164">
        <v>40</v>
      </c>
      <c r="Z46" s="188">
        <v>5.87</v>
      </c>
      <c r="AA46" s="188">
        <v>7.63</v>
      </c>
      <c r="AB46" s="188">
        <v>13.01</v>
      </c>
      <c r="AF46" s="157">
        <v>39</v>
      </c>
      <c r="AG46" s="190">
        <v>1.56</v>
      </c>
    </row>
    <row r="47" spans="2:33">
      <c r="B47" s="164">
        <v>46</v>
      </c>
      <c r="C47" s="81">
        <v>5.53</v>
      </c>
      <c r="D47" s="81">
        <v>7.1</v>
      </c>
      <c r="F47" s="164">
        <f t="shared" si="1"/>
        <v>45</v>
      </c>
      <c r="G47" s="81">
        <v>179.26</v>
      </c>
      <c r="H47" s="81">
        <v>139.81</v>
      </c>
      <c r="Q47" s="81"/>
      <c r="R47" s="81"/>
      <c r="S47" s="81"/>
      <c r="T47" s="164">
        <f t="shared" si="2"/>
        <v>42</v>
      </c>
      <c r="U47" s="81">
        <v>171.96</v>
      </c>
      <c r="V47" s="81">
        <v>132.22999999999999</v>
      </c>
      <c r="W47" s="81">
        <v>77.58</v>
      </c>
      <c r="Y47" s="164">
        <v>41</v>
      </c>
      <c r="Z47" s="188">
        <v>5.84</v>
      </c>
      <c r="AA47" s="188">
        <v>7.6</v>
      </c>
      <c r="AB47" s="188">
        <v>12.96</v>
      </c>
      <c r="AF47" s="157">
        <v>40</v>
      </c>
      <c r="AG47" s="190">
        <v>1.68</v>
      </c>
    </row>
    <row r="48" spans="2:33">
      <c r="B48" s="164">
        <v>47</v>
      </c>
      <c r="C48" s="81">
        <v>5.48</v>
      </c>
      <c r="D48" s="81">
        <v>7.03</v>
      </c>
      <c r="F48" s="164">
        <f t="shared" si="1"/>
        <v>46</v>
      </c>
      <c r="G48" s="81">
        <v>180.75</v>
      </c>
      <c r="H48" s="81">
        <v>140.93</v>
      </c>
      <c r="Q48" s="81"/>
      <c r="R48" s="81"/>
      <c r="S48" s="81"/>
      <c r="T48" s="164">
        <f t="shared" si="2"/>
        <v>43</v>
      </c>
      <c r="U48" s="81">
        <v>172.96</v>
      </c>
      <c r="V48" s="81">
        <v>132.97</v>
      </c>
      <c r="W48" s="81">
        <v>78.010000000000005</v>
      </c>
      <c r="Y48" s="164">
        <v>42</v>
      </c>
      <c r="Z48" s="188">
        <v>5.82</v>
      </c>
      <c r="AA48" s="188">
        <v>7.56</v>
      </c>
      <c r="AB48" s="188">
        <v>12.89</v>
      </c>
      <c r="AF48" s="157">
        <v>41</v>
      </c>
      <c r="AG48" s="190">
        <v>1.82</v>
      </c>
    </row>
    <row r="49" spans="2:33">
      <c r="B49" s="164">
        <v>48</v>
      </c>
      <c r="C49" s="81">
        <v>5.43</v>
      </c>
      <c r="D49" s="81">
        <v>6.96</v>
      </c>
      <c r="F49" s="164">
        <f t="shared" si="1"/>
        <v>47</v>
      </c>
      <c r="G49" s="81">
        <v>182.42</v>
      </c>
      <c r="H49" s="81">
        <v>142.19</v>
      </c>
      <c r="Q49" s="81"/>
      <c r="R49" s="81"/>
      <c r="S49" s="81"/>
      <c r="T49" s="164">
        <f t="shared" si="2"/>
        <v>44</v>
      </c>
      <c r="U49" s="81">
        <v>174.1</v>
      </c>
      <c r="V49" s="81">
        <v>133.82</v>
      </c>
      <c r="W49" s="81">
        <v>78.48</v>
      </c>
      <c r="Y49" s="164">
        <v>43</v>
      </c>
      <c r="Z49" s="188">
        <v>5.78</v>
      </c>
      <c r="AA49" s="188">
        <v>7.52</v>
      </c>
      <c r="AB49" s="188">
        <v>12.82</v>
      </c>
      <c r="AF49" s="157">
        <v>42</v>
      </c>
      <c r="AG49" s="190">
        <v>1.97</v>
      </c>
    </row>
    <row r="50" spans="2:33">
      <c r="B50" s="164">
        <v>49</v>
      </c>
      <c r="C50" s="81">
        <v>5.37</v>
      </c>
      <c r="D50" s="81">
        <v>6.89</v>
      </c>
      <c r="F50" s="164">
        <f t="shared" si="1"/>
        <v>48</v>
      </c>
      <c r="G50" s="81">
        <v>184.28</v>
      </c>
      <c r="H50" s="81">
        <v>143.6</v>
      </c>
      <c r="Q50" s="81"/>
      <c r="R50" s="81"/>
      <c r="S50" s="81"/>
      <c r="T50" s="164">
        <f t="shared" si="2"/>
        <v>45</v>
      </c>
      <c r="U50" s="81">
        <v>175.4</v>
      </c>
      <c r="V50" s="81">
        <v>134.78</v>
      </c>
      <c r="W50" s="81">
        <v>79.010000000000005</v>
      </c>
      <c r="Y50" s="164">
        <v>44</v>
      </c>
      <c r="Z50" s="188">
        <v>5.74</v>
      </c>
      <c r="AA50" s="188">
        <v>7.47</v>
      </c>
      <c r="AB50" s="188">
        <v>12.74</v>
      </c>
      <c r="AF50" s="157">
        <v>43</v>
      </c>
      <c r="AG50" s="190">
        <v>2.14</v>
      </c>
    </row>
    <row r="51" spans="2:33">
      <c r="B51" s="164">
        <v>50</v>
      </c>
      <c r="C51" s="81">
        <v>5.3</v>
      </c>
      <c r="D51" s="81">
        <v>6.81</v>
      </c>
      <c r="F51" s="164">
        <f t="shared" si="1"/>
        <v>49</v>
      </c>
      <c r="G51" s="81">
        <v>186.33</v>
      </c>
      <c r="H51" s="81">
        <v>145.16999999999999</v>
      </c>
      <c r="Q51" s="81"/>
      <c r="R51" s="81"/>
      <c r="S51" s="81"/>
      <c r="T51" s="164">
        <f t="shared" si="2"/>
        <v>46</v>
      </c>
      <c r="U51" s="81">
        <v>176.86</v>
      </c>
      <c r="V51" s="81">
        <v>135.86000000000001</v>
      </c>
      <c r="W51" s="81" t="s">
        <v>174</v>
      </c>
      <c r="Y51" s="164">
        <v>45</v>
      </c>
      <c r="Z51" s="188">
        <v>5.7</v>
      </c>
      <c r="AA51" s="188">
        <v>7.42</v>
      </c>
      <c r="AB51" s="188">
        <v>12.66</v>
      </c>
      <c r="AF51" s="157">
        <v>44</v>
      </c>
      <c r="AG51" s="190">
        <v>2.35</v>
      </c>
    </row>
    <row r="52" spans="2:33">
      <c r="F52" s="164">
        <f t="shared" si="1"/>
        <v>50</v>
      </c>
      <c r="G52" s="81">
        <v>188.61</v>
      </c>
      <c r="H52" s="81">
        <v>146.91999999999999</v>
      </c>
      <c r="Q52" s="81"/>
      <c r="R52" s="81"/>
      <c r="S52" s="81"/>
      <c r="T52" s="164">
        <f t="shared" si="2"/>
        <v>47</v>
      </c>
      <c r="U52" s="81">
        <v>178.51</v>
      </c>
      <c r="V52" s="81">
        <v>137.08000000000001</v>
      </c>
      <c r="W52" s="81" t="s">
        <v>174</v>
      </c>
      <c r="Y52" s="164">
        <v>46</v>
      </c>
      <c r="Z52" s="188">
        <v>5.65</v>
      </c>
      <c r="AA52" s="188">
        <v>7.36</v>
      </c>
      <c r="AB52" s="81" t="s">
        <v>174</v>
      </c>
      <c r="AF52" s="157">
        <v>45</v>
      </c>
      <c r="AG52" s="190">
        <v>2.58</v>
      </c>
    </row>
    <row r="53" spans="2:33">
      <c r="Q53" s="81"/>
      <c r="R53" s="81"/>
      <c r="S53" s="81"/>
      <c r="T53" s="164">
        <f t="shared" si="2"/>
        <v>48</v>
      </c>
      <c r="U53" s="81">
        <v>180.35</v>
      </c>
      <c r="V53" s="81">
        <v>138.44999999999999</v>
      </c>
      <c r="W53" s="81" t="s">
        <v>174</v>
      </c>
      <c r="Y53" s="164">
        <v>47</v>
      </c>
      <c r="Z53" s="188">
        <v>5.6</v>
      </c>
      <c r="AA53" s="188">
        <v>7.3</v>
      </c>
      <c r="AB53" s="81" t="s">
        <v>174</v>
      </c>
      <c r="AF53" s="157">
        <v>46</v>
      </c>
      <c r="AG53" s="190">
        <v>2.85</v>
      </c>
    </row>
    <row r="54" spans="2:33">
      <c r="Q54" s="81"/>
      <c r="R54" s="81"/>
      <c r="S54" s="81"/>
      <c r="T54" s="164">
        <f t="shared" si="2"/>
        <v>49</v>
      </c>
      <c r="U54" s="81">
        <v>182.39</v>
      </c>
      <c r="V54" s="81">
        <v>139.96</v>
      </c>
      <c r="W54" s="81" t="s">
        <v>174</v>
      </c>
      <c r="Y54" s="164">
        <v>48</v>
      </c>
      <c r="Z54" s="188">
        <v>5.54</v>
      </c>
      <c r="AA54" s="188">
        <v>7.22</v>
      </c>
      <c r="AB54" s="81" t="s">
        <v>174</v>
      </c>
      <c r="AF54" s="157">
        <v>47</v>
      </c>
      <c r="AG54" s="190">
        <v>3.17</v>
      </c>
    </row>
    <row r="55" spans="2:33">
      <c r="Q55" s="81"/>
      <c r="R55" s="81"/>
      <c r="S55" s="81"/>
      <c r="T55" s="164">
        <f t="shared" si="2"/>
        <v>50</v>
      </c>
      <c r="U55" s="81">
        <v>184.64</v>
      </c>
      <c r="V55" s="81">
        <v>141.65</v>
      </c>
      <c r="W55" s="81" t="s">
        <v>174</v>
      </c>
      <c r="Y55" s="164">
        <v>49</v>
      </c>
      <c r="Z55" s="188">
        <v>5.48</v>
      </c>
      <c r="AA55" s="188">
        <v>7.14</v>
      </c>
      <c r="AB55" s="81" t="s">
        <v>174</v>
      </c>
      <c r="AF55" s="157">
        <v>48</v>
      </c>
      <c r="AG55" s="190">
        <v>3.54</v>
      </c>
    </row>
    <row r="56" spans="2:33">
      <c r="Y56" s="164">
        <v>50</v>
      </c>
      <c r="Z56" s="188">
        <v>5.42</v>
      </c>
      <c r="AA56" s="188">
        <v>7.06</v>
      </c>
      <c r="AB56" s="81" t="s">
        <v>174</v>
      </c>
      <c r="AC56" s="188"/>
      <c r="AD56" s="188"/>
      <c r="AE56" s="81"/>
      <c r="AF56" s="157">
        <v>49</v>
      </c>
      <c r="AG56" s="190">
        <v>3.96</v>
      </c>
    </row>
    <row r="57" spans="2:33">
      <c r="AF57" s="157">
        <v>50</v>
      </c>
      <c r="AG57" s="190">
        <v>4.4400000000000004</v>
      </c>
    </row>
  </sheetData>
  <mergeCells count="3">
    <mergeCell ref="B2:C2"/>
    <mergeCell ref="F2:H3"/>
    <mergeCell ref="T2:W3"/>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K26"/>
  <sheetViews>
    <sheetView workbookViewId="0">
      <selection activeCell="K26" sqref="K26"/>
    </sheetView>
  </sheetViews>
  <sheetFormatPr defaultRowHeight="15"/>
  <cols>
    <col min="1" max="1" width="24.140625" customWidth="1"/>
    <col min="2" max="3" width="13" customWidth="1"/>
    <col min="8" max="8" width="24.42578125" bestFit="1" customWidth="1"/>
    <col min="9" max="9" width="14.5703125" customWidth="1"/>
    <col min="10" max="10" width="14.7109375" customWidth="1"/>
    <col min="11" max="11" width="12" customWidth="1"/>
  </cols>
  <sheetData>
    <row r="1" spans="1:11" ht="15.75" thickBot="1"/>
    <row r="2" spans="1:11" ht="32.1" customHeight="1" thickBot="1">
      <c r="A2" s="169"/>
      <c r="B2" s="363" t="s">
        <v>185</v>
      </c>
      <c r="C2" s="364"/>
      <c r="H2" s="169"/>
      <c r="I2" s="363" t="s">
        <v>185</v>
      </c>
      <c r="J2" s="364"/>
    </row>
    <row r="3" spans="1:11" ht="15" customHeight="1">
      <c r="A3" s="365" t="s">
        <v>173</v>
      </c>
      <c r="B3" s="368" t="s">
        <v>186</v>
      </c>
      <c r="C3" s="360" t="s">
        <v>187</v>
      </c>
      <c r="E3" s="365"/>
      <c r="H3" s="365" t="s">
        <v>173</v>
      </c>
      <c r="I3" s="368" t="s">
        <v>186</v>
      </c>
      <c r="J3" s="360" t="s">
        <v>187</v>
      </c>
      <c r="K3" s="360" t="s">
        <v>199</v>
      </c>
    </row>
    <row r="4" spans="1:11">
      <c r="A4" s="366"/>
      <c r="B4" s="369"/>
      <c r="C4" s="361"/>
      <c r="E4" s="366"/>
      <c r="H4" s="366"/>
      <c r="I4" s="369"/>
      <c r="J4" s="361"/>
      <c r="K4" s="361"/>
    </row>
    <row r="5" spans="1:11" ht="15.75" thickBot="1">
      <c r="A5" s="367"/>
      <c r="B5" s="370"/>
      <c r="C5" s="362"/>
      <c r="E5" s="367"/>
      <c r="H5" s="367"/>
      <c r="I5" s="370"/>
      <c r="J5" s="362"/>
      <c r="K5" s="362"/>
    </row>
    <row r="6" spans="1:11" ht="16.5" thickBot="1">
      <c r="A6" s="170" t="s">
        <v>26</v>
      </c>
      <c r="B6" s="176">
        <v>6</v>
      </c>
      <c r="C6" s="177">
        <v>7</v>
      </c>
      <c r="H6" s="170" t="s">
        <v>26</v>
      </c>
      <c r="I6" s="176">
        <v>6</v>
      </c>
      <c r="J6" s="177">
        <v>7</v>
      </c>
      <c r="K6" s="176">
        <v>10</v>
      </c>
    </row>
    <row r="7" spans="1:11" ht="16.5" thickBot="1">
      <c r="A7" s="170">
        <v>1</v>
      </c>
      <c r="B7" s="171">
        <v>0</v>
      </c>
      <c r="C7" s="172">
        <v>0</v>
      </c>
      <c r="H7" s="170">
        <v>1</v>
      </c>
      <c r="I7" s="171">
        <v>0</v>
      </c>
      <c r="J7" s="171">
        <v>0</v>
      </c>
      <c r="K7" s="171">
        <v>0</v>
      </c>
    </row>
    <row r="8" spans="1:11" ht="16.5" thickBot="1">
      <c r="A8" s="170">
        <v>2</v>
      </c>
      <c r="B8" s="171">
        <v>0.3</v>
      </c>
      <c r="C8" s="172">
        <v>0.3</v>
      </c>
      <c r="H8" s="170">
        <v>2</v>
      </c>
      <c r="I8" s="171">
        <v>0.3</v>
      </c>
      <c r="J8" s="171">
        <v>0.3</v>
      </c>
      <c r="K8" s="171">
        <v>0.3</v>
      </c>
    </row>
    <row r="9" spans="1:11" ht="16.5" thickBot="1">
      <c r="A9" s="170">
        <v>3</v>
      </c>
      <c r="B9" s="171">
        <v>0.35</v>
      </c>
      <c r="C9" s="172">
        <v>0.35</v>
      </c>
      <c r="H9" s="170">
        <v>3</v>
      </c>
      <c r="I9" s="171">
        <v>0.35</v>
      </c>
      <c r="J9" s="171">
        <v>0.35</v>
      </c>
      <c r="K9" s="171">
        <v>0.35</v>
      </c>
    </row>
    <row r="10" spans="1:11" ht="16.5" thickBot="1">
      <c r="A10" s="170">
        <v>4</v>
      </c>
      <c r="B10" s="171">
        <v>0.5</v>
      </c>
      <c r="C10" s="172">
        <v>0.5</v>
      </c>
      <c r="H10" s="170">
        <v>4</v>
      </c>
      <c r="I10" s="171">
        <v>0.5</v>
      </c>
      <c r="J10" s="171">
        <v>0.5</v>
      </c>
      <c r="K10" s="171">
        <v>0.5</v>
      </c>
    </row>
    <row r="11" spans="1:11" ht="16.5" thickBot="1">
      <c r="A11" s="170">
        <v>5</v>
      </c>
      <c r="B11" s="171">
        <v>0.5</v>
      </c>
      <c r="C11" s="172">
        <v>0.5</v>
      </c>
      <c r="H11" s="170">
        <v>5</v>
      </c>
      <c r="I11" s="171">
        <v>0.5</v>
      </c>
      <c r="J11" s="171">
        <v>0.5</v>
      </c>
      <c r="K11" s="171">
        <v>0.5</v>
      </c>
    </row>
    <row r="12" spans="1:11" ht="16.5" thickBot="1">
      <c r="A12" s="170">
        <v>6</v>
      </c>
      <c r="B12" s="171">
        <v>0.5</v>
      </c>
      <c r="C12" s="172">
        <v>0.5</v>
      </c>
      <c r="H12" s="170">
        <v>6</v>
      </c>
      <c r="I12" s="171">
        <v>0.5</v>
      </c>
      <c r="J12" s="171">
        <v>0.5</v>
      </c>
      <c r="K12" s="171">
        <v>0.5</v>
      </c>
    </row>
    <row r="13" spans="1:11" ht="16.5" thickBot="1">
      <c r="A13" s="170">
        <v>7</v>
      </c>
      <c r="B13" s="171">
        <v>0.5</v>
      </c>
      <c r="C13" s="172">
        <v>0.5</v>
      </c>
      <c r="H13" s="170">
        <v>7</v>
      </c>
      <c r="I13" s="171">
        <v>0.5</v>
      </c>
      <c r="J13" s="171">
        <v>0.5</v>
      </c>
      <c r="K13" s="171">
        <v>0.5</v>
      </c>
    </row>
    <row r="14" spans="1:11" ht="16.5" thickBot="1">
      <c r="A14" s="170">
        <v>8</v>
      </c>
      <c r="B14" s="171">
        <v>0.6</v>
      </c>
      <c r="C14" s="172">
        <v>0.56000000000000005</v>
      </c>
      <c r="H14" s="170">
        <v>8</v>
      </c>
      <c r="I14" s="171">
        <v>0.6</v>
      </c>
      <c r="J14" s="171">
        <v>0.56000000000000005</v>
      </c>
      <c r="K14" s="171">
        <v>0.53</v>
      </c>
    </row>
    <row r="15" spans="1:11" ht="16.5" thickBot="1">
      <c r="A15" s="170">
        <v>9</v>
      </c>
      <c r="B15" s="171">
        <v>0.7</v>
      </c>
      <c r="C15" s="172">
        <v>0.62</v>
      </c>
      <c r="H15" s="170">
        <v>9</v>
      </c>
      <c r="I15" s="171">
        <v>0.7</v>
      </c>
      <c r="J15" s="171">
        <v>0.62</v>
      </c>
      <c r="K15" s="171">
        <v>0.56999999999999995</v>
      </c>
    </row>
    <row r="16" spans="1:11" ht="16.5" thickBot="1">
      <c r="A16" s="170">
        <v>10</v>
      </c>
      <c r="B16" s="171">
        <v>0.8</v>
      </c>
      <c r="C16" s="172">
        <v>0.68</v>
      </c>
      <c r="H16" s="170">
        <v>10</v>
      </c>
      <c r="I16" s="171">
        <v>0.8</v>
      </c>
      <c r="J16" s="171">
        <v>0.68</v>
      </c>
      <c r="K16" s="171">
        <v>0.6</v>
      </c>
    </row>
    <row r="17" spans="1:11" ht="16.5" thickBot="1">
      <c r="A17" s="170">
        <v>11</v>
      </c>
      <c r="B17" s="171">
        <v>0.9</v>
      </c>
      <c r="C17" s="172">
        <v>0.74</v>
      </c>
      <c r="H17" s="170">
        <v>11</v>
      </c>
      <c r="I17" s="171">
        <v>0.9</v>
      </c>
      <c r="J17" s="171">
        <v>0.74</v>
      </c>
      <c r="K17" s="171">
        <v>0.63</v>
      </c>
    </row>
    <row r="18" spans="1:11" ht="16.5" thickBot="1">
      <c r="A18" s="170">
        <v>12</v>
      </c>
      <c r="B18" s="171">
        <v>0.9</v>
      </c>
      <c r="C18" s="172">
        <v>0.79</v>
      </c>
      <c r="H18" s="170">
        <v>12</v>
      </c>
      <c r="I18" s="171">
        <v>0.9</v>
      </c>
      <c r="J18" s="171">
        <v>0.79</v>
      </c>
      <c r="K18" s="171">
        <v>0.67</v>
      </c>
    </row>
    <row r="19" spans="1:11" ht="16.5" thickBot="1">
      <c r="A19" s="170">
        <v>13</v>
      </c>
      <c r="B19" s="173" t="s">
        <v>174</v>
      </c>
      <c r="C19" s="172">
        <v>0.85</v>
      </c>
      <c r="H19" s="170">
        <v>13</v>
      </c>
      <c r="I19" s="171" t="s">
        <v>174</v>
      </c>
      <c r="J19" s="171">
        <v>0.85</v>
      </c>
      <c r="K19" s="171">
        <v>0.7</v>
      </c>
    </row>
    <row r="20" spans="1:11" ht="16.5" thickBot="1">
      <c r="A20" s="170">
        <v>14</v>
      </c>
      <c r="B20" s="173" t="s">
        <v>174</v>
      </c>
      <c r="C20" s="172">
        <v>0.9</v>
      </c>
      <c r="H20" s="170">
        <v>14</v>
      </c>
      <c r="I20" s="171" t="s">
        <v>174</v>
      </c>
      <c r="J20" s="171">
        <v>0.9</v>
      </c>
      <c r="K20" s="171">
        <v>0.73</v>
      </c>
    </row>
    <row r="21" spans="1:11" ht="16.5" thickBot="1">
      <c r="A21" s="170">
        <v>15</v>
      </c>
      <c r="B21" s="174" t="s">
        <v>174</v>
      </c>
      <c r="C21" s="175">
        <v>0.9</v>
      </c>
      <c r="H21" s="170">
        <v>15</v>
      </c>
      <c r="I21" s="171" t="s">
        <v>174</v>
      </c>
      <c r="J21" s="171">
        <v>0.9</v>
      </c>
      <c r="K21" s="171">
        <v>0.77</v>
      </c>
    </row>
    <row r="22" spans="1:11" ht="15.75">
      <c r="H22" s="213">
        <v>16</v>
      </c>
      <c r="I22" s="171" t="s">
        <v>174</v>
      </c>
      <c r="J22" s="171" t="s">
        <v>174</v>
      </c>
      <c r="K22" s="171">
        <v>0.8</v>
      </c>
    </row>
    <row r="23" spans="1:11" ht="16.5" thickBot="1">
      <c r="H23" s="170">
        <v>17</v>
      </c>
      <c r="I23" s="171" t="s">
        <v>174</v>
      </c>
      <c r="J23" s="171" t="s">
        <v>174</v>
      </c>
      <c r="K23" s="171">
        <v>0.83</v>
      </c>
    </row>
    <row r="24" spans="1:11" ht="15.75">
      <c r="H24" s="213">
        <v>18</v>
      </c>
      <c r="I24" s="171" t="s">
        <v>174</v>
      </c>
      <c r="J24" s="171" t="s">
        <v>174</v>
      </c>
      <c r="K24" s="171">
        <v>0.87</v>
      </c>
    </row>
    <row r="25" spans="1:11" ht="16.5" thickBot="1">
      <c r="H25" s="170">
        <v>19</v>
      </c>
      <c r="I25" s="171" t="s">
        <v>174</v>
      </c>
      <c r="J25" s="171" t="s">
        <v>174</v>
      </c>
      <c r="K25" s="171">
        <v>0.9</v>
      </c>
    </row>
    <row r="26" spans="1:11" ht="15.75">
      <c r="H26" s="213">
        <v>20</v>
      </c>
      <c r="I26" s="171" t="s">
        <v>174</v>
      </c>
      <c r="J26" s="171" t="s">
        <v>174</v>
      </c>
      <c r="K26" s="171">
        <v>0.9</v>
      </c>
    </row>
  </sheetData>
  <mergeCells count="10">
    <mergeCell ref="K3:K5"/>
    <mergeCell ref="B2:C2"/>
    <mergeCell ref="A3:A5"/>
    <mergeCell ref="B3:B5"/>
    <mergeCell ref="C3:C5"/>
    <mergeCell ref="E3:E5"/>
    <mergeCell ref="I2:J2"/>
    <mergeCell ref="H3:H5"/>
    <mergeCell ref="I3:I5"/>
    <mergeCell ref="J3: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SS</vt:lpstr>
      <vt:lpstr>Format</vt:lpstr>
      <vt:lpstr>Output OLD</vt:lpstr>
      <vt:lpstr>Output</vt:lpstr>
      <vt:lpstr>SSV</vt:lpstr>
      <vt:lpstr>SAMF and Premium</vt:lpstr>
      <vt:lpstr>GSV</vt:lpstr>
      <vt:lpstr>Format!Print_Area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c668</dc:creator>
  <cp:lastModifiedBy>cloudconvert_15</cp:lastModifiedBy>
  <dcterms:created xsi:type="dcterms:W3CDTF">2014-09-30T05:19:17Z</dcterms:created>
  <dcterms:modified xsi:type="dcterms:W3CDTF">2024-03-14T18:00:31Z</dcterms:modified>
</cp:coreProperties>
</file>