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9200" windowHeight="6465" activeTab="5"/>
  </bookViews>
  <sheets>
    <sheet name="Rapport" sheetId="118" r:id="rId1"/>
    <sheet name="RapportSammenlign" sheetId="119" r:id="rId2"/>
    <sheet name="OBS" sheetId="121" r:id="rId3"/>
    <sheet name="OPS" sheetId="116" r:id="rId4"/>
    <sheet name="Dagtilbud" sheetId="97" r:id="rId5"/>
    <sheet name="børn oktober" sheetId="110" r:id="rId6"/>
    <sheet name="socioøkonomi" sheetId="93" r:id="rId7"/>
    <sheet name="Sprogvurderinger" sheetId="113" r:id="rId8"/>
    <sheet name="underretninger" sheetId="100" r:id="rId9"/>
    <sheet name="magtanvendelser" sheetId="95" r:id="rId10"/>
    <sheet name="timer" sheetId="92" r:id="rId11"/>
    <sheet name="fravær" sheetId="90" r:id="rId12"/>
    <sheet name="trivsel" sheetId="120" r:id="rId13"/>
    <sheet name="KIDS" sheetId="98" r:id="rId14"/>
    <sheet name="kortlægning" sheetId="99" r:id="rId15"/>
    <sheet name="nat brug 21" sheetId="102" r:id="rId16"/>
  </sheets>
  <definedNames>
    <definedName name="Dagtilbud">Dagtilbud!$B$2:$B$47</definedName>
    <definedName name="Dagtilbudsdata">Dagtilbud!#REF!</definedName>
    <definedName name="Dagtilbudsdata2">Dagtilbud!#REF!</definedName>
    <definedName name="Dagtilbudsliste">Dagtilbud!#REF!</definedName>
    <definedName name="Kriterie1">#REF!</definedName>
    <definedName name="_xlnm.Extract" localSheetId="4">Dagtilbud!$B$1</definedName>
  </definedNames>
  <calcPr calcId="162913"/>
</workbook>
</file>

<file path=xl/calcChain.xml><?xml version="1.0" encoding="utf-8"?>
<calcChain xmlns="http://schemas.openxmlformats.org/spreadsheetml/2006/main">
  <c r="E6" i="119" l="1"/>
  <c r="K12" i="119" l="1"/>
  <c r="K11" i="119"/>
  <c r="K10" i="119"/>
  <c r="F12" i="119"/>
  <c r="F11" i="119"/>
  <c r="F10" i="119"/>
  <c r="F12" i="118"/>
  <c r="F11" i="118"/>
  <c r="F10" i="118"/>
  <c r="D53" i="98" l="1"/>
  <c r="E41" i="118" l="1"/>
  <c r="E40" i="118"/>
  <c r="E39" i="118"/>
  <c r="E38" i="118"/>
  <c r="J41" i="119"/>
  <c r="J40" i="119"/>
  <c r="J39" i="119"/>
  <c r="J38" i="119"/>
  <c r="E41" i="119"/>
  <c r="E40" i="119"/>
  <c r="E39" i="119"/>
  <c r="E38" i="119"/>
  <c r="M50" i="110" l="1"/>
  <c r="N50" i="110"/>
  <c r="L50" i="110"/>
  <c r="N48" i="110"/>
  <c r="M49" i="110"/>
  <c r="N49" i="110"/>
  <c r="L49" i="110"/>
  <c r="M48" i="110"/>
  <c r="L48" i="110"/>
  <c r="J14" i="113" l="1"/>
  <c r="J35" i="113"/>
  <c r="N60" i="113"/>
  <c r="J19" i="113"/>
  <c r="J4" i="113"/>
  <c r="J30" i="113"/>
  <c r="J29" i="113"/>
  <c r="J28" i="113"/>
  <c r="J17" i="113"/>
  <c r="J15" i="113"/>
  <c r="J8" i="113"/>
  <c r="J40" i="113"/>
  <c r="J7" i="113"/>
  <c r="J27" i="113"/>
  <c r="J39" i="113"/>
  <c r="J38" i="113"/>
  <c r="J13" i="113"/>
  <c r="J6" i="113"/>
  <c r="H25" i="113"/>
  <c r="G25" i="113"/>
  <c r="J25" i="113"/>
  <c r="F52" i="93" l="1"/>
  <c r="R50" i="93"/>
  <c r="P50" i="93"/>
  <c r="O50" i="93"/>
  <c r="Q50" i="93" s="1"/>
  <c r="N50" i="93"/>
  <c r="M50" i="93"/>
  <c r="L50" i="93"/>
  <c r="K50" i="93"/>
  <c r="J50" i="93"/>
  <c r="H50" i="93"/>
  <c r="G50" i="93"/>
  <c r="I50" i="93" s="1"/>
  <c r="F50" i="93"/>
  <c r="E50" i="93"/>
  <c r="D50" i="93"/>
  <c r="C50" i="93"/>
  <c r="R49" i="93"/>
  <c r="P49" i="93"/>
  <c r="O49" i="93"/>
  <c r="Q49" i="93" s="1"/>
  <c r="N49" i="93"/>
  <c r="M49" i="93"/>
  <c r="L49" i="93"/>
  <c r="K49" i="93"/>
  <c r="J49" i="93"/>
  <c r="H49" i="93"/>
  <c r="G49" i="93"/>
  <c r="I49" i="93" s="1"/>
  <c r="F49" i="93"/>
  <c r="E49" i="93"/>
  <c r="D49" i="93"/>
  <c r="C49" i="93"/>
  <c r="R48" i="93"/>
  <c r="P48" i="93"/>
  <c r="O48" i="93"/>
  <c r="Q48" i="93" s="1"/>
  <c r="N48" i="93"/>
  <c r="M48" i="93"/>
  <c r="L48" i="93"/>
  <c r="K48" i="93"/>
  <c r="J48" i="93"/>
  <c r="H48" i="93"/>
  <c r="G48" i="93"/>
  <c r="I48" i="93" s="1"/>
  <c r="F48" i="93"/>
  <c r="E48" i="93"/>
  <c r="D48" i="93"/>
  <c r="C48" i="93"/>
  <c r="Q47" i="93"/>
  <c r="M47" i="93"/>
  <c r="I47" i="93"/>
  <c r="E47" i="93"/>
  <c r="Q46" i="93"/>
  <c r="M46" i="93"/>
  <c r="I46" i="93"/>
  <c r="E46" i="93"/>
  <c r="Q45" i="93"/>
  <c r="M45" i="93"/>
  <c r="I45" i="93"/>
  <c r="E45" i="93"/>
  <c r="Q44" i="93"/>
  <c r="M44" i="93"/>
  <c r="I44" i="93"/>
  <c r="E44" i="93"/>
  <c r="Q43" i="93"/>
  <c r="M43" i="93"/>
  <c r="I43" i="93"/>
  <c r="E43" i="93"/>
  <c r="Q42" i="93"/>
  <c r="M42" i="93"/>
  <c r="I42" i="93"/>
  <c r="E42" i="93"/>
  <c r="Q41" i="93"/>
  <c r="M41" i="93"/>
  <c r="I41" i="93"/>
  <c r="Q40" i="93"/>
  <c r="M40" i="93"/>
  <c r="I40" i="93"/>
  <c r="E40" i="93"/>
  <c r="Q39" i="93"/>
  <c r="M39" i="93"/>
  <c r="I39" i="93"/>
  <c r="E39" i="93"/>
  <c r="Q38" i="93"/>
  <c r="M38" i="93"/>
  <c r="I38" i="93"/>
  <c r="E38" i="93"/>
  <c r="Q37" i="93"/>
  <c r="M37" i="93"/>
  <c r="I37" i="93"/>
  <c r="E37" i="93"/>
  <c r="Q36" i="93"/>
  <c r="M36" i="93"/>
  <c r="I36" i="93"/>
  <c r="E36" i="93"/>
  <c r="Q35" i="93"/>
  <c r="M35" i="93"/>
  <c r="I35" i="93"/>
  <c r="E35" i="93"/>
  <c r="Q34" i="93"/>
  <c r="M34" i="93"/>
  <c r="I34" i="93"/>
  <c r="E34" i="93"/>
  <c r="Q33" i="93"/>
  <c r="M33" i="93"/>
  <c r="I33" i="93"/>
  <c r="E33" i="93"/>
  <c r="Q32" i="93"/>
  <c r="M32" i="93"/>
  <c r="I32" i="93"/>
  <c r="E32" i="93"/>
  <c r="Q31" i="93"/>
  <c r="M31" i="93"/>
  <c r="I31" i="93"/>
  <c r="E31" i="93"/>
  <c r="Q30" i="93"/>
  <c r="M30" i="93"/>
  <c r="I30" i="93"/>
  <c r="E30" i="93"/>
  <c r="Q29" i="93"/>
  <c r="M29" i="93"/>
  <c r="I29" i="93"/>
  <c r="E29" i="93"/>
  <c r="Q28" i="93"/>
  <c r="M28" i="93"/>
  <c r="I28" i="93"/>
  <c r="E28" i="93"/>
  <c r="Q27" i="93"/>
  <c r="M27" i="93"/>
  <c r="I27" i="93"/>
  <c r="E27" i="93"/>
  <c r="Q26" i="93"/>
  <c r="M26" i="93"/>
  <c r="I26" i="93"/>
  <c r="E26" i="93"/>
  <c r="Q25" i="93"/>
  <c r="M25" i="93"/>
  <c r="I25" i="93"/>
  <c r="E25" i="93"/>
  <c r="Q24" i="93"/>
  <c r="M24" i="93"/>
  <c r="I24" i="93"/>
  <c r="E24" i="93"/>
  <c r="Q23" i="93"/>
  <c r="M23" i="93"/>
  <c r="I23" i="93"/>
  <c r="E23" i="93"/>
  <c r="Q22" i="93"/>
  <c r="M22" i="93"/>
  <c r="I22" i="93"/>
  <c r="E22" i="93"/>
  <c r="Q21" i="93"/>
  <c r="M21" i="93"/>
  <c r="I21" i="93"/>
  <c r="E21" i="93"/>
  <c r="Q20" i="93"/>
  <c r="M20" i="93"/>
  <c r="I20" i="93"/>
  <c r="E20" i="93"/>
  <c r="Q19" i="93"/>
  <c r="M19" i="93"/>
  <c r="I19" i="93"/>
  <c r="E19" i="93"/>
  <c r="Q18" i="93"/>
  <c r="M18" i="93"/>
  <c r="I18" i="93"/>
  <c r="E18" i="93"/>
  <c r="Q17" i="93"/>
  <c r="M17" i="93"/>
  <c r="I17" i="93"/>
  <c r="E17" i="93"/>
  <c r="Q16" i="93"/>
  <c r="M16" i="93"/>
  <c r="I16" i="93"/>
  <c r="E16" i="93"/>
  <c r="Q15" i="93"/>
  <c r="M15" i="93"/>
  <c r="I15" i="93"/>
  <c r="E15" i="93"/>
  <c r="Q14" i="93"/>
  <c r="M14" i="93"/>
  <c r="I14" i="93"/>
  <c r="E14" i="93"/>
  <c r="Q12" i="93"/>
  <c r="M12" i="93"/>
  <c r="I12" i="93"/>
  <c r="E12" i="93"/>
  <c r="Q11" i="93"/>
  <c r="M11" i="93"/>
  <c r="I11" i="93"/>
  <c r="E11" i="93"/>
  <c r="Q10" i="93"/>
  <c r="M10" i="93"/>
  <c r="I10" i="93"/>
  <c r="E10" i="93"/>
  <c r="Q9" i="93"/>
  <c r="M9" i="93"/>
  <c r="I9" i="93"/>
  <c r="E9" i="93"/>
  <c r="Q8" i="93"/>
  <c r="M8" i="93"/>
  <c r="I8" i="93"/>
  <c r="E8" i="93"/>
  <c r="Q7" i="93"/>
  <c r="M7" i="93"/>
  <c r="I7" i="93"/>
  <c r="E7" i="93"/>
  <c r="Q6" i="93"/>
  <c r="M6" i="93"/>
  <c r="I6" i="93"/>
  <c r="E6" i="93"/>
  <c r="Q5" i="93"/>
  <c r="M5" i="93"/>
  <c r="I5" i="93"/>
  <c r="E5" i="93"/>
  <c r="Q4" i="93"/>
  <c r="M4" i="93"/>
  <c r="I4" i="93"/>
  <c r="E4" i="93"/>
  <c r="Q3" i="93"/>
  <c r="M3" i="93"/>
  <c r="I3" i="93"/>
  <c r="E3" i="93"/>
  <c r="J23" i="113" l="1"/>
  <c r="J5" i="113"/>
  <c r="J26" i="113"/>
  <c r="J3" i="113"/>
  <c r="I3" i="113"/>
  <c r="G3" i="113"/>
  <c r="G22" i="113"/>
  <c r="J34" i="113"/>
  <c r="J21" i="113"/>
  <c r="J18" i="113"/>
  <c r="G16" i="113"/>
  <c r="D20" i="100"/>
  <c r="D13" i="100"/>
  <c r="D10" i="100"/>
  <c r="J12" i="113" l="1"/>
  <c r="H12" i="113" s="1"/>
  <c r="G12" i="113"/>
  <c r="G11" i="113"/>
  <c r="J10" i="113"/>
  <c r="G10" i="113"/>
  <c r="H10" i="113" s="1"/>
  <c r="H21" i="113"/>
  <c r="H22" i="113"/>
  <c r="H23" i="113"/>
  <c r="H24" i="113"/>
  <c r="H26" i="113"/>
  <c r="H27" i="113"/>
  <c r="H28" i="113"/>
  <c r="H29" i="113"/>
  <c r="H30" i="113"/>
  <c r="H31" i="113"/>
  <c r="H33" i="113"/>
  <c r="H34" i="113"/>
  <c r="H35" i="113"/>
  <c r="H37" i="113"/>
  <c r="H38" i="113"/>
  <c r="H39" i="113"/>
  <c r="H40" i="113"/>
  <c r="H50" i="113"/>
  <c r="H51" i="113"/>
  <c r="H3" i="113"/>
  <c r="H4" i="113"/>
  <c r="H5" i="113"/>
  <c r="H6" i="113"/>
  <c r="H7" i="113"/>
  <c r="H8" i="113"/>
  <c r="H9" i="113"/>
  <c r="H11" i="113"/>
  <c r="H13" i="113"/>
  <c r="H14" i="113"/>
  <c r="H15" i="113"/>
  <c r="H16" i="113"/>
  <c r="H17" i="113"/>
  <c r="H18" i="113"/>
  <c r="H19" i="113"/>
  <c r="J9" i="113"/>
  <c r="G9" i="113"/>
  <c r="J20" i="113"/>
  <c r="G20" i="113"/>
  <c r="H20" i="113" l="1"/>
  <c r="J36" i="119" l="1"/>
  <c r="J35" i="119"/>
  <c r="J34" i="119"/>
  <c r="J33" i="119"/>
  <c r="J32" i="119"/>
  <c r="J31" i="119"/>
  <c r="J29" i="119"/>
  <c r="J27" i="119"/>
  <c r="J26" i="119"/>
  <c r="J23" i="119"/>
  <c r="J22" i="119"/>
  <c r="J20" i="119"/>
  <c r="J19" i="119"/>
  <c r="J17" i="119"/>
  <c r="J16" i="119"/>
  <c r="J15" i="119"/>
  <c r="J14" i="119"/>
  <c r="J12" i="119"/>
  <c r="J11" i="119"/>
  <c r="J10" i="119"/>
  <c r="I27" i="119"/>
  <c r="I26" i="119"/>
  <c r="I23" i="119"/>
  <c r="I22" i="119"/>
  <c r="I20" i="119"/>
  <c r="I19" i="119"/>
  <c r="I17" i="119"/>
  <c r="I16" i="119"/>
  <c r="I15" i="119"/>
  <c r="I14" i="119"/>
  <c r="I12" i="119"/>
  <c r="I11" i="119"/>
  <c r="I10" i="119"/>
  <c r="H46" i="119"/>
  <c r="H44" i="119"/>
  <c r="H43" i="119"/>
  <c r="H41" i="119"/>
  <c r="H40" i="119"/>
  <c r="H39" i="119"/>
  <c r="H38" i="119"/>
  <c r="H12" i="119"/>
  <c r="H11" i="119"/>
  <c r="H10" i="119"/>
  <c r="J7" i="119"/>
  <c r="J6" i="119"/>
  <c r="J5" i="119"/>
  <c r="I7" i="119"/>
  <c r="I6" i="119"/>
  <c r="I5" i="119"/>
  <c r="H7" i="119"/>
  <c r="H5" i="119"/>
  <c r="H6" i="119"/>
  <c r="J46" i="119"/>
  <c r="I46" i="119"/>
  <c r="E46" i="119"/>
  <c r="D46" i="119"/>
  <c r="C46" i="119"/>
  <c r="C44" i="119"/>
  <c r="C43" i="119"/>
  <c r="C41" i="119"/>
  <c r="C40" i="119"/>
  <c r="C39" i="119"/>
  <c r="C38" i="119"/>
  <c r="E36" i="119"/>
  <c r="E35" i="119"/>
  <c r="E34" i="119"/>
  <c r="E33" i="119"/>
  <c r="E32" i="119"/>
  <c r="E31" i="119"/>
  <c r="E29" i="119"/>
  <c r="E27" i="119"/>
  <c r="D27" i="119"/>
  <c r="E26" i="119"/>
  <c r="D26" i="119"/>
  <c r="E23" i="119"/>
  <c r="D23" i="119"/>
  <c r="E22" i="119"/>
  <c r="D22" i="119"/>
  <c r="E20" i="119"/>
  <c r="D20" i="119"/>
  <c r="E19" i="119"/>
  <c r="D19" i="119"/>
  <c r="E17" i="119"/>
  <c r="D17" i="119"/>
  <c r="E16" i="119"/>
  <c r="D16" i="119"/>
  <c r="E15" i="119"/>
  <c r="D15" i="119"/>
  <c r="E14" i="119"/>
  <c r="D14" i="119"/>
  <c r="E12" i="119"/>
  <c r="D12" i="119"/>
  <c r="C12" i="119"/>
  <c r="E11" i="119"/>
  <c r="D11" i="119"/>
  <c r="C11" i="119"/>
  <c r="E10" i="119"/>
  <c r="D10" i="119"/>
  <c r="C10" i="119"/>
  <c r="E7" i="119"/>
  <c r="D7" i="119"/>
  <c r="C7" i="119"/>
  <c r="D6" i="119"/>
  <c r="C6" i="119"/>
  <c r="E5" i="119"/>
  <c r="D5" i="119"/>
  <c r="C5" i="119"/>
  <c r="E36" i="118"/>
  <c r="E35" i="118"/>
  <c r="E34" i="118"/>
  <c r="E33" i="118"/>
  <c r="E32" i="118"/>
  <c r="E29" i="118"/>
  <c r="D4" i="102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3" i="102"/>
  <c r="D62" i="102"/>
  <c r="E47" i="102"/>
  <c r="E46" i="102"/>
  <c r="E45" i="102"/>
  <c r="E44" i="102"/>
  <c r="E43" i="102"/>
  <c r="E42" i="102"/>
  <c r="E41" i="102"/>
  <c r="E40" i="102"/>
  <c r="E39" i="102"/>
  <c r="E38" i="102"/>
  <c r="E37" i="102"/>
  <c r="E36" i="102"/>
  <c r="E35" i="102"/>
  <c r="E34" i="102"/>
  <c r="E33" i="102"/>
  <c r="E32" i="102"/>
  <c r="E31" i="102"/>
  <c r="E30" i="102"/>
  <c r="E29" i="102"/>
  <c r="E28" i="102"/>
  <c r="E26" i="102"/>
  <c r="E25" i="102"/>
  <c r="E23" i="102"/>
  <c r="E22" i="102"/>
  <c r="E21" i="102"/>
  <c r="E20" i="102"/>
  <c r="E19" i="102"/>
  <c r="E17" i="102"/>
  <c r="E16" i="102"/>
  <c r="E15" i="102"/>
  <c r="E14" i="102"/>
  <c r="E13" i="102"/>
  <c r="E12" i="102"/>
  <c r="E11" i="102"/>
  <c r="E10" i="102"/>
  <c r="E9" i="102"/>
  <c r="E8" i="102"/>
  <c r="E7" i="102"/>
  <c r="E6" i="102"/>
  <c r="E5" i="102"/>
  <c r="E4" i="102"/>
  <c r="E3" i="102"/>
  <c r="C43" i="118"/>
  <c r="I8" i="119" l="1"/>
  <c r="E25" i="119"/>
  <c r="J25" i="119"/>
  <c r="J8" i="119"/>
  <c r="E8" i="119"/>
  <c r="D25" i="119"/>
  <c r="I25" i="119"/>
  <c r="C8" i="119"/>
  <c r="D8" i="119"/>
  <c r="H8" i="119"/>
  <c r="C41" i="118"/>
  <c r="C40" i="118"/>
  <c r="E12" i="118"/>
  <c r="E11" i="118"/>
  <c r="E10" i="118"/>
  <c r="D12" i="118"/>
  <c r="C12" i="118"/>
  <c r="D11" i="118"/>
  <c r="D10" i="118"/>
  <c r="D19" i="118" l="1"/>
  <c r="E46" i="118" l="1"/>
  <c r="D46" i="118"/>
  <c r="C46" i="118"/>
  <c r="C44" i="118"/>
  <c r="C39" i="118"/>
  <c r="C38" i="118"/>
  <c r="E31" i="118"/>
  <c r="E27" i="118"/>
  <c r="D27" i="118"/>
  <c r="E26" i="118"/>
  <c r="D26" i="118"/>
  <c r="E23" i="118"/>
  <c r="E22" i="118"/>
  <c r="E20" i="118"/>
  <c r="D20" i="118"/>
  <c r="E19" i="118"/>
  <c r="E17" i="118"/>
  <c r="D17" i="118"/>
  <c r="E16" i="118"/>
  <c r="D16" i="118"/>
  <c r="E15" i="118"/>
  <c r="D15" i="118"/>
  <c r="E14" i="118"/>
  <c r="D14" i="118"/>
  <c r="C11" i="118"/>
  <c r="C10" i="118"/>
  <c r="E7" i="118"/>
  <c r="D7" i="118"/>
  <c r="C7" i="118"/>
  <c r="E6" i="118"/>
  <c r="D6" i="118"/>
  <c r="C6" i="118"/>
  <c r="E5" i="118"/>
  <c r="D5" i="118"/>
  <c r="C5" i="118"/>
  <c r="E8" i="118" l="1"/>
  <c r="D8" i="118"/>
  <c r="C8" i="118"/>
  <c r="E25" i="118"/>
  <c r="D25" i="118"/>
  <c r="D50" i="92"/>
  <c r="E50" i="92"/>
  <c r="F50" i="92"/>
  <c r="C50" i="92"/>
  <c r="I30" i="110" l="1"/>
  <c r="H30" i="110"/>
  <c r="I17" i="110"/>
  <c r="J13" i="110"/>
  <c r="H13" i="110"/>
  <c r="F13" i="110" l="1"/>
  <c r="D13" i="110"/>
  <c r="E37" i="110"/>
  <c r="E30" i="110"/>
  <c r="D30" i="110"/>
  <c r="E17" i="110"/>
  <c r="G12" i="92" l="1"/>
  <c r="I12" i="92" s="1"/>
  <c r="G14" i="92"/>
  <c r="I14" i="92" s="1"/>
  <c r="G32" i="92"/>
  <c r="I32" i="92" s="1"/>
  <c r="G30" i="92"/>
  <c r="I30" i="92" s="1"/>
  <c r="G28" i="92"/>
  <c r="I28" i="92" s="1"/>
  <c r="G21" i="92"/>
  <c r="H21" i="92" s="1"/>
  <c r="G37" i="92"/>
  <c r="I37" i="92" s="1"/>
  <c r="G36" i="92"/>
  <c r="I36" i="92" s="1"/>
  <c r="G34" i="92"/>
  <c r="I34" i="92" s="1"/>
  <c r="G29" i="92"/>
  <c r="I29" i="92" s="1"/>
  <c r="G31" i="92"/>
  <c r="I31" i="92" s="1"/>
  <c r="G26" i="92"/>
  <c r="I26" i="92" s="1"/>
  <c r="G25" i="92"/>
  <c r="I25" i="92" s="1"/>
  <c r="G22" i="92"/>
  <c r="H22" i="92" s="1"/>
  <c r="G20" i="92"/>
  <c r="I20" i="92" s="1"/>
  <c r="G24" i="92"/>
  <c r="I24" i="92" s="1"/>
  <c r="G15" i="92"/>
  <c r="I15" i="92" s="1"/>
  <c r="G13" i="92"/>
  <c r="I13" i="92" s="1"/>
  <c r="G19" i="92"/>
  <c r="I19" i="92" s="1"/>
  <c r="G35" i="92"/>
  <c r="I35" i="92" s="1"/>
  <c r="G11" i="92"/>
  <c r="I11" i="92" s="1"/>
  <c r="G10" i="92"/>
  <c r="H10" i="92" s="1"/>
  <c r="G18" i="92"/>
  <c r="I18" i="92" s="1"/>
  <c r="G7" i="92"/>
  <c r="I7" i="92" s="1"/>
  <c r="G33" i="92"/>
  <c r="I33" i="92" s="1"/>
  <c r="G23" i="92"/>
  <c r="I23" i="92" s="1"/>
  <c r="G27" i="92"/>
  <c r="I27" i="92" s="1"/>
  <c r="G17" i="92"/>
  <c r="I17" i="92" s="1"/>
  <c r="G9" i="92"/>
  <c r="I9" i="92" s="1"/>
  <c r="G8" i="92"/>
  <c r="H8" i="92" s="1"/>
  <c r="G6" i="92"/>
  <c r="I6" i="92" s="1"/>
  <c r="G5" i="92"/>
  <c r="I5" i="92" s="1"/>
  <c r="G16" i="92"/>
  <c r="I16" i="92" s="1"/>
  <c r="G4" i="92"/>
  <c r="I4" i="92" l="1"/>
  <c r="G50" i="92"/>
  <c r="H33" i="92"/>
  <c r="H31" i="92"/>
  <c r="H6" i="92"/>
  <c r="I8" i="92"/>
  <c r="I10" i="92"/>
  <c r="H5" i="92"/>
  <c r="I21" i="92"/>
  <c r="H19" i="92"/>
  <c r="I22" i="92"/>
  <c r="H30" i="92"/>
  <c r="H7" i="92"/>
  <c r="H36" i="92"/>
  <c r="H27" i="92"/>
  <c r="H24" i="92"/>
  <c r="H9" i="92"/>
  <c r="H11" i="92"/>
  <c r="H25" i="92"/>
  <c r="H28" i="92"/>
  <c r="H4" i="92"/>
  <c r="H23" i="92"/>
  <c r="H13" i="92"/>
  <c r="H29" i="92"/>
  <c r="H32" i="92"/>
  <c r="H18" i="92"/>
  <c r="H20" i="92"/>
  <c r="H37" i="92"/>
  <c r="H12" i="92"/>
  <c r="H17" i="92"/>
  <c r="H35" i="92"/>
  <c r="H26" i="92"/>
  <c r="H16" i="92"/>
  <c r="H15" i="92"/>
  <c r="H34" i="92"/>
  <c r="H14" i="92"/>
  <c r="H50" i="92" l="1"/>
  <c r="D23" i="118" s="1"/>
  <c r="I50" i="92"/>
  <c r="D22" i="118" s="1"/>
</calcChain>
</file>

<file path=xl/sharedStrings.xml><?xml version="1.0" encoding="utf-8"?>
<sst xmlns="http://schemas.openxmlformats.org/spreadsheetml/2006/main" count="1910" uniqueCount="236">
  <si>
    <t>Pinjevejens Børnehus</t>
  </si>
  <si>
    <t>Taps Børnehave</t>
  </si>
  <si>
    <t>Tved</t>
  </si>
  <si>
    <t>Total</t>
  </si>
  <si>
    <t>Antal underretninger</t>
  </si>
  <si>
    <t>Dagplejen</t>
  </si>
  <si>
    <t>Andel pædagogtimer</t>
  </si>
  <si>
    <t>Børnenes trivsel</t>
  </si>
  <si>
    <t>Forældretilfredshed</t>
  </si>
  <si>
    <t>Afdeling</t>
  </si>
  <si>
    <t>Fraværs-% kort</t>
  </si>
  <si>
    <t>Fraværs-% lang</t>
  </si>
  <si>
    <t>BUF Dagpleje Gæstehusene (KK_1575)</t>
  </si>
  <si>
    <t>BUF Dagpleje konsulenter (KK_0197)</t>
  </si>
  <si>
    <t>BUF Dagpleje ledelse og adm. (KK_0916)</t>
  </si>
  <si>
    <t>BUF Dagpleje Team 1 (KK_0196)</t>
  </si>
  <si>
    <t>BUF Dagpleje Team 2 (KK_0809)</t>
  </si>
  <si>
    <t>Pædagoger</t>
  </si>
  <si>
    <t>Pædagogmedhjælpere og PAU</t>
  </si>
  <si>
    <t>Andel medhjælpe og PAU</t>
  </si>
  <si>
    <t>Andel Pædagoger</t>
  </si>
  <si>
    <t>Ansatte</t>
  </si>
  <si>
    <t>Timetal i perioden</t>
  </si>
  <si>
    <t>Stednr.</t>
  </si>
  <si>
    <t>Institution</t>
  </si>
  <si>
    <t>Indmeldte børn i alt</t>
  </si>
  <si>
    <t>Sdr. Bjert Menighedsbørnehave</t>
  </si>
  <si>
    <t>-</t>
  </si>
  <si>
    <t>Bramdrup Børnehave</t>
  </si>
  <si>
    <t>Børnegården Vester Nebel</t>
  </si>
  <si>
    <t>Børnehaven Højvang</t>
  </si>
  <si>
    <t>Børnehaven Løvetand</t>
  </si>
  <si>
    <t>Børnehaven Over Vejen</t>
  </si>
  <si>
    <t>Børnehaven Regnbuen</t>
  </si>
  <si>
    <t>Børnehuset Mariekjær</t>
  </si>
  <si>
    <t>Børnehuset Strandhuse</t>
  </si>
  <si>
    <t>Børnehuset Sønderled</t>
  </si>
  <si>
    <t>Børnehuset Ådalen</t>
  </si>
  <si>
    <t>Engsøens Børnehus</t>
  </si>
  <si>
    <t>Fynslund - vuggestue og børnehave</t>
  </si>
  <si>
    <t>Midtbyens Børnehus</t>
  </si>
  <si>
    <t>Naturinstitutionen Bøgebladet</t>
  </si>
  <si>
    <t>stednr.</t>
  </si>
  <si>
    <t>1. oktober 2021- 30. september 2022</t>
  </si>
  <si>
    <t>2021-2022</t>
  </si>
  <si>
    <t>Privatbørnehaven Floravej</t>
  </si>
  <si>
    <t>Eltang Børnehave og Skole</t>
  </si>
  <si>
    <t>Privatbørnehaven Sct. Michaels Børnehave</t>
  </si>
  <si>
    <t>Børnehuset Hejls</t>
  </si>
  <si>
    <t>Daginstitutionen Kastaniegården</t>
  </si>
  <si>
    <t>Daginstitutionen Drejens</t>
  </si>
  <si>
    <t>Børnehuset Broen</t>
  </si>
  <si>
    <t>Børnehuset Kloden</t>
  </si>
  <si>
    <t>Daginstitutionen Trekløveren</t>
  </si>
  <si>
    <t>Daginstitutionen Tved</t>
  </si>
  <si>
    <t>Daginstitutionen Under Egen</t>
  </si>
  <si>
    <t>Privatinstitutionen Frilandsbørnehaven Enghøj</t>
  </si>
  <si>
    <t>Privatinstititutionen Rødbæksgaard Børnehave</t>
  </si>
  <si>
    <t>Daginstitutionen Kildemosen</t>
  </si>
  <si>
    <t>Daginstitutionen Kernehuset</t>
  </si>
  <si>
    <t>Børnehuset Søbo</t>
  </si>
  <si>
    <t>Privatinstitutionen Maria Mikkelsens Børnehus</t>
  </si>
  <si>
    <t>Børnehuset Marielundskolen</t>
  </si>
  <si>
    <t>Privatinstitutionen Østbyens Børnehus</t>
  </si>
  <si>
    <t>Privatinstitutionen Stepping Natur- og idrætsbørnehave</t>
  </si>
  <si>
    <t>Privatinstitutionen Lykkegårdens Børnehus</t>
  </si>
  <si>
    <t>Daginstitutionen Firkløveret</t>
  </si>
  <si>
    <t>Daginstitutionen Kongebjerget</t>
  </si>
  <si>
    <t>Daginstitutionen Troldblomst</t>
  </si>
  <si>
    <t>indskrevne 0-2 årige, almen</t>
  </si>
  <si>
    <t>indskrevne 3-6 årige, almen</t>
  </si>
  <si>
    <t>special</t>
  </si>
  <si>
    <t>0-2 årige, almen</t>
  </si>
  <si>
    <t xml:space="preserve">3-6 årige, almen </t>
  </si>
  <si>
    <t>Dagtilbud</t>
  </si>
  <si>
    <t>Dato</t>
  </si>
  <si>
    <t>2022-10</t>
  </si>
  <si>
    <t>2021-10</t>
  </si>
  <si>
    <t>Andel medhjælper/pau-timer</t>
  </si>
  <si>
    <t>Sygefraværs%</t>
  </si>
  <si>
    <t>heraf kort</t>
  </si>
  <si>
    <t>heraf lang</t>
  </si>
  <si>
    <t>Børn i alt</t>
  </si>
  <si>
    <t>PERSONALE</t>
  </si>
  <si>
    <t>Antal underretninger i perioden</t>
  </si>
  <si>
    <t>Antal magtanvendelser (1. august - 31. juli)</t>
  </si>
  <si>
    <t>1. oktober 2021, status</t>
  </si>
  <si>
    <t>Højrisikobørn (10%) - andel af børn i dagtilbuddet</t>
  </si>
  <si>
    <t>Højrisikobørn (10%) - antal børn i dagtilbuddet</t>
  </si>
  <si>
    <t xml:space="preserve">Special </t>
  </si>
  <si>
    <t>TILSYN</t>
  </si>
  <si>
    <t>Dato for tilsyn</t>
  </si>
  <si>
    <t>10% risikobørn andel af indmeldte</t>
  </si>
  <si>
    <t>2023-10</t>
  </si>
  <si>
    <t>okt.21-okt.22</t>
  </si>
  <si>
    <t>Antal sprogvurderinger</t>
  </si>
  <si>
    <t>heraf</t>
  </si>
  <si>
    <t>generel</t>
  </si>
  <si>
    <t>fokuseret</t>
  </si>
  <si>
    <t>særligt</t>
  </si>
  <si>
    <t>okt.22-okt.23</t>
  </si>
  <si>
    <t>okt.23-okt.24</t>
  </si>
  <si>
    <t>Antal magtanvendelser</t>
  </si>
  <si>
    <t>1. oktober 2022, status/ seneste år</t>
  </si>
  <si>
    <t>1. oktober 2023, status/ seneste år</t>
  </si>
  <si>
    <t>Børnehusene i Vonsild</t>
  </si>
  <si>
    <t>Børnehuset ved Åen</t>
  </si>
  <si>
    <t>Daginstitutionen Nordstjernen</t>
  </si>
  <si>
    <t>ingen data</t>
  </si>
  <si>
    <t>Daginstitutionen Agtrupvej/Brunebjerg</t>
  </si>
  <si>
    <t>2022-2023</t>
  </si>
  <si>
    <t>Kolding</t>
  </si>
  <si>
    <t>Forældretilfredshed, min.</t>
  </si>
  <si>
    <t xml:space="preserve"> jf. Benchmark, jf. Indenrigs- og Sundhedsministeriet</t>
  </si>
  <si>
    <t>Brunebjerg</t>
  </si>
  <si>
    <t>Designbørnehuset</t>
  </si>
  <si>
    <t>Firkløveret, Sdr. Bjert</t>
  </si>
  <si>
    <t>Firkløveret, Sdr. Stenderup</t>
  </si>
  <si>
    <t>Gl. Kongevej</t>
  </si>
  <si>
    <t>Idrætsbørnehaven</t>
  </si>
  <si>
    <t>Musikbørnehaven</t>
  </si>
  <si>
    <t>Petersbjerggård</t>
  </si>
  <si>
    <t>Vonsild Børnehus</t>
  </si>
  <si>
    <t>to datasæt</t>
  </si>
  <si>
    <t>tre datasæt</t>
  </si>
  <si>
    <t>Emne/data</t>
  </si>
  <si>
    <t>Vælg dagtilbud:</t>
  </si>
  <si>
    <t>OBS</t>
  </si>
  <si>
    <t>Vær opmærksom på:</t>
  </si>
  <si>
    <t>Der kan være unøjagtigheder i data, da specialafdelingen kun tælles med i nogle data og ikke i andre.</t>
  </si>
  <si>
    <t>Antal gennemførte sprogvurderinger i perioden</t>
  </si>
  <si>
    <t>SOCIO-ØK.</t>
  </si>
  <si>
    <t>SPROGVUR-DERINGER</t>
  </si>
  <si>
    <t>U. og M.</t>
  </si>
  <si>
    <t xml:space="preserve">Børnenes trivsel </t>
  </si>
  <si>
    <t>60000k</t>
  </si>
  <si>
    <t>Koldings kommunale dagtilbud</t>
  </si>
  <si>
    <t>60000p</t>
  </si>
  <si>
    <t>Private daginstitutioner i Kolding</t>
  </si>
  <si>
    <t>Ingen bemærkninger</t>
  </si>
  <si>
    <t>Pædagog/medhjælper timer er excl. Dagplejen</t>
  </si>
  <si>
    <t>ANTAL INDMELDTE BØRN</t>
  </si>
  <si>
    <t>Personalets vurdering - dagsplan og aktiviteter</t>
  </si>
  <si>
    <t xml:space="preserve">Personalets vurdering - børnenes interesse og indsats </t>
  </si>
  <si>
    <r>
      <rPr>
        <i/>
        <sz val="10"/>
        <color theme="1"/>
        <rFont val="Arial"/>
        <family val="2"/>
      </rPr>
      <t>Oprindelig</t>
    </r>
    <r>
      <rPr>
        <sz val="10"/>
        <color theme="1"/>
        <rFont val="Arial"/>
        <family val="2"/>
      </rPr>
      <t xml:space="preserve"> (efterår 2021) - andel tilfreds+meget tilfreds </t>
    </r>
  </si>
  <si>
    <r>
      <rPr>
        <i/>
        <sz val="10"/>
        <color theme="1"/>
        <rFont val="Arial"/>
        <family val="2"/>
      </rPr>
      <t>Benchmarket</t>
    </r>
    <r>
      <rPr>
        <sz val="10"/>
        <color theme="1"/>
        <rFont val="Arial"/>
        <family val="2"/>
      </rPr>
      <t xml:space="preserve"> (Jo større tal, des bedre)</t>
    </r>
  </si>
  <si>
    <t>Personalets vurdering - børnenes interesse og indsats</t>
  </si>
  <si>
    <t xml:space="preserve">Personalets trivsel, jf. trivselsundersøgelse </t>
  </si>
  <si>
    <t>Kolonne1</t>
  </si>
  <si>
    <t>% tilfreds+meget tilfreds</t>
  </si>
  <si>
    <t>Trivsel 2023</t>
  </si>
  <si>
    <t>KIDS score - Fysiske omgivelser indendørs</t>
  </si>
  <si>
    <t>KIDS score - Fysiske omgivelser udendørs/legeplads</t>
  </si>
  <si>
    <t>KIDS score - Relationer</t>
  </si>
  <si>
    <t>KIDS score - Leg og aktiviteter</t>
  </si>
  <si>
    <r>
      <t xml:space="preserve">KIDS score - </t>
    </r>
    <r>
      <rPr>
        <i/>
        <sz val="10"/>
        <color theme="1"/>
        <rFont val="Arial"/>
        <family val="2"/>
      </rPr>
      <t>vægtet</t>
    </r>
  </si>
  <si>
    <t>KORT-LÆGNING</t>
  </si>
  <si>
    <t>NATION. TILFREDS.</t>
  </si>
  <si>
    <t>Budgetbeløb (indeværende budgetår)</t>
  </si>
  <si>
    <t>definition:</t>
  </si>
  <si>
    <t>alle pædaggoer på pædagogoverenskomst (SD)</t>
  </si>
  <si>
    <t>hhv pau og pædagogmedhjælperoverenskomster (46101, 76101)</t>
  </si>
  <si>
    <t>Mie Havgaard Gregersen</t>
  </si>
  <si>
    <t>Fælles, Børn-Daginstitutioner, Marlene</t>
  </si>
  <si>
    <t xml:space="preserve">Ca. 80 </t>
  </si>
  <si>
    <t xml:space="preserve">Ca. 75 </t>
  </si>
  <si>
    <t>Der er unøjagtigheder i data vdr. underretninger (fejlregistreringer)</t>
  </si>
  <si>
    <t>Der er unøjagtigheder/fejlregistreringer i data</t>
  </si>
  <si>
    <t>Trivselsdata er for både skole og børnehave</t>
  </si>
  <si>
    <t>tal er for både skole og bhv</t>
  </si>
  <si>
    <t>Data pr. oktober 2020 til brug for budget 2021</t>
  </si>
  <si>
    <t>Data pr. oktober 2021 til brug for budget 2022</t>
  </si>
  <si>
    <t>Data pr. oktober 2022 til brug for budget 2023</t>
  </si>
  <si>
    <t>Data pr. oktober 2023 til brug for budget 2024</t>
  </si>
  <si>
    <t>Budgetbeløb 2021</t>
  </si>
  <si>
    <t>Budgetbeløb 2022</t>
  </si>
  <si>
    <t>Budgetbeløb 2023</t>
  </si>
  <si>
    <t>Budgetbeløb 2024</t>
  </si>
  <si>
    <t>Socioøkonomi er data trukket 1. oktober året før budgetåret</t>
  </si>
  <si>
    <t>Antal episoder</t>
  </si>
  <si>
    <t>Ca. 5</t>
  </si>
  <si>
    <t>20.03.23</t>
  </si>
  <si>
    <t>12.09.2023</t>
  </si>
  <si>
    <t>29.03.23</t>
  </si>
  <si>
    <t>21.09.23</t>
  </si>
  <si>
    <t>13.09.23</t>
  </si>
  <si>
    <t>31.08.23</t>
  </si>
  <si>
    <t>05.09.23</t>
  </si>
  <si>
    <t>26.09.23</t>
  </si>
  <si>
    <t>09.10.23</t>
  </si>
  <si>
    <t>02.10.2023</t>
  </si>
  <si>
    <t>01.09.2023</t>
  </si>
  <si>
    <t>06.09.2023</t>
  </si>
  <si>
    <t>23.03.2023</t>
  </si>
  <si>
    <t>13.09.2023</t>
  </si>
  <si>
    <t>23.08.23</t>
  </si>
  <si>
    <t>01.02.2023</t>
  </si>
  <si>
    <t>26.06.2023</t>
  </si>
  <si>
    <t>12.04.23</t>
  </si>
  <si>
    <t>07.06.2023</t>
  </si>
  <si>
    <t>27.02.2023</t>
  </si>
  <si>
    <t>02.05.2023</t>
  </si>
  <si>
    <t>15.03.2023</t>
  </si>
  <si>
    <t>15.05.2023</t>
  </si>
  <si>
    <t>- (for få svar)</t>
  </si>
  <si>
    <t>Generel indsats (antal)</t>
  </si>
  <si>
    <t>Særlig indsats (antal)</t>
  </si>
  <si>
    <t>Fokuseret indsats (antal)</t>
  </si>
  <si>
    <t>tal skal hentes</t>
  </si>
  <si>
    <t>kan jeg få tal ved familieområdet?</t>
  </si>
  <si>
    <t>kan jeg få tallene ved Claudia?</t>
  </si>
  <si>
    <t>Genkendelse af tal, bogstaver og geometriske figurer</t>
  </si>
  <si>
    <t>11.10.23</t>
  </si>
  <si>
    <t>24.10.23</t>
  </si>
  <si>
    <t>16.11.23</t>
  </si>
  <si>
    <t>31.10.23</t>
  </si>
  <si>
    <t>10.10.23</t>
  </si>
  <si>
    <t>06.11.23</t>
  </si>
  <si>
    <t>Efterår 2023</t>
  </si>
  <si>
    <t>20.09.2023</t>
  </si>
  <si>
    <t>11.10.2023</t>
  </si>
  <si>
    <t>22.08.2023</t>
  </si>
  <si>
    <t>14.11.2023</t>
  </si>
  <si>
    <t>27.09.2023</t>
  </si>
  <si>
    <t>23.11.2023</t>
  </si>
  <si>
    <t>31.10.2023</t>
  </si>
  <si>
    <t>06.11.2023</t>
  </si>
  <si>
    <t>29.11.2023</t>
  </si>
  <si>
    <t>28.11.2023</t>
  </si>
  <si>
    <t>04.12.2023</t>
  </si>
  <si>
    <t>21.11.2023</t>
  </si>
  <si>
    <t>05.12.2023</t>
  </si>
  <si>
    <t>løvetand almen (special placeret højere på alle parametre)</t>
  </si>
  <si>
    <t>24.10.2023</t>
  </si>
  <si>
    <t>1. oktober 2024, status/ seneste år</t>
  </si>
  <si>
    <t>Bemærk vdr. KIDS score, at de er beregnet på baggrund af de besøgte dagplejere i 2023. Enkelte nåede ikke at blive ikke scoret i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</si>
</sst>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%"/>
    <numFmt numFmtId="165" formatCode="0.0"/>
    <numFmt numFmtId="166" formatCode="#,##0.0"/>
    <numFmt numFmtId="167" formatCode="#,##0.00_ ;\-#,##0.00\ "/>
    <numFmt numFmtId="168" formatCode="[$-406]mmmm\ yyyy;@"/>
    <numFmt numFmtId="169" formatCode="[$-406]mmmm\ yy;@"/>
    <numFmt numFmtId="170" formatCode="#,##0\ &quot;kr.&quot;"/>
    <numFmt numFmtId="171" formatCode="##0.00%;\-##0.00%"/>
    <numFmt numFmtId="172" formatCode="##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858F"/>
      <name val="Segoe UI"/>
      <family val="2"/>
    </font>
    <font>
      <sz val="9"/>
      <color rgb="FF000000"/>
      <name val="Segoe UI"/>
      <family val="2"/>
    </font>
    <font>
      <sz val="11"/>
      <name val="Calibri"/>
      <family val="2"/>
      <scheme val="minor"/>
    </font>
    <font>
      <sz val="10"/>
      <color theme="1"/>
      <name val="Tahoma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2"/>
      <name val="Arial"/>
      <family val="2"/>
    </font>
    <font>
      <b/>
      <sz val="8"/>
      <color rgb="FF000000"/>
      <name val="Arial"/>
      <family val="2"/>
    </font>
    <font>
      <sz val="10"/>
      <color theme="0" tint="-4.9989318521683403E-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11"/>
      <color theme="2"/>
      <name val="Calibri"/>
      <family val="2"/>
      <scheme val="minor"/>
    </font>
    <font>
      <sz val="11"/>
      <color rgb="FFEAEAEA"/>
      <name val="Calibri"/>
      <family val="2"/>
      <scheme val="minor"/>
    </font>
    <font>
      <sz val="9.6"/>
      <color theme="1"/>
      <name val="Segoe UI"/>
      <family val="2"/>
    </font>
    <font>
      <sz val="9.6"/>
      <name val="Segoe UI"/>
      <family val="2"/>
    </font>
    <font>
      <sz val="12"/>
      <color rgb="FF454234"/>
      <name val="Arial"/>
      <family val="2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E8E8"/>
      </patternFill>
    </fill>
    <fill>
      <patternFill patternType="solid">
        <fgColor rgb="FFF8F8F8"/>
      </patternFill>
    </fill>
    <fill>
      <patternFill patternType="solid">
        <fgColor rgb="FFCCCC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5B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rgb="FFA1A8AD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1" fillId="5" borderId="0" applyNumberFormat="0" applyBorder="0" applyAlignment="0" applyProtection="0"/>
  </cellStyleXfs>
  <cellXfs count="228"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/>
    <xf numFmtId="0" fontId="7" fillId="0" borderId="8" xfId="0" applyFont="1" applyFill="1" applyBorder="1"/>
    <xf numFmtId="0" fontId="7" fillId="0" borderId="11" xfId="0" applyFont="1" applyFill="1" applyBorder="1"/>
    <xf numFmtId="0" fontId="8" fillId="0" borderId="12" xfId="0" applyFont="1" applyFill="1" applyBorder="1" applyAlignment="1">
      <alignment horizontal="right" vertical="center"/>
    </xf>
    <xf numFmtId="0" fontId="8" fillId="0" borderId="13" xfId="0" applyFont="1" applyFill="1" applyBorder="1" applyAlignment="1">
      <alignment horizontal="right" vertical="center"/>
    </xf>
    <xf numFmtId="0" fontId="7" fillId="0" borderId="14" xfId="0" applyFont="1" applyFill="1" applyBorder="1"/>
    <xf numFmtId="0" fontId="7" fillId="0" borderId="15" xfId="0" applyFont="1" applyFill="1" applyBorder="1"/>
    <xf numFmtId="39" fontId="9" fillId="4" borderId="16" xfId="0" applyNumberFormat="1" applyFont="1" applyFill="1" applyBorder="1" applyAlignment="1">
      <alignment vertical="top"/>
    </xf>
    <xf numFmtId="39" fontId="9" fillId="4" borderId="17" xfId="0" applyNumberFormat="1" applyFont="1" applyFill="1" applyBorder="1" applyAlignment="1">
      <alignment vertical="top"/>
    </xf>
    <xf numFmtId="167" fontId="0" fillId="0" borderId="18" xfId="0" applyNumberFormat="1" applyFont="1" applyFill="1" applyBorder="1"/>
    <xf numFmtId="9" fontId="0" fillId="0" borderId="0" xfId="2" applyFont="1" applyFill="1" applyBorder="1"/>
    <xf numFmtId="9" fontId="0" fillId="0" borderId="18" xfId="2" applyFont="1" applyFill="1" applyBorder="1"/>
    <xf numFmtId="39" fontId="9" fillId="0" borderId="16" xfId="0" applyNumberFormat="1" applyFont="1" applyFill="1" applyBorder="1" applyAlignment="1">
      <alignment vertical="top"/>
    </xf>
    <xf numFmtId="39" fontId="9" fillId="0" borderId="17" xfId="0" applyNumberFormat="1" applyFont="1" applyFill="1" applyBorder="1" applyAlignment="1">
      <alignment vertical="top"/>
    </xf>
    <xf numFmtId="0" fontId="0" fillId="0" borderId="16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wrapText="1"/>
    </xf>
    <xf numFmtId="0" fontId="4" fillId="0" borderId="0" xfId="0" applyFont="1" applyBorder="1"/>
    <xf numFmtId="0" fontId="0" fillId="0" borderId="0" xfId="0" applyFill="1" applyBorder="1"/>
    <xf numFmtId="0" fontId="0" fillId="0" borderId="0" xfId="0" applyFill="1"/>
    <xf numFmtId="1" fontId="4" fillId="0" borderId="0" xfId="0" applyNumberFormat="1" applyFont="1" applyBorder="1"/>
    <xf numFmtId="1" fontId="0" fillId="0" borderId="0" xfId="0" applyNumberFormat="1" applyBorder="1"/>
    <xf numFmtId="1" fontId="0" fillId="0" borderId="0" xfId="0" applyNumberFormat="1" applyFill="1" applyBorder="1"/>
    <xf numFmtId="49" fontId="4" fillId="0" borderId="0" xfId="0" applyNumberFormat="1" applyFont="1" applyBorder="1"/>
    <xf numFmtId="49" fontId="0" fillId="0" borderId="0" xfId="0" applyNumberFormat="1" applyBorder="1"/>
    <xf numFmtId="1" fontId="4" fillId="0" borderId="0" xfId="0" applyNumberFormat="1" applyFont="1" applyFill="1" applyBorder="1"/>
    <xf numFmtId="168" fontId="4" fillId="0" borderId="0" xfId="0" applyNumberFormat="1" applyFont="1" applyBorder="1"/>
    <xf numFmtId="168" fontId="0" fillId="0" borderId="0" xfId="0" applyNumberFormat="1" applyBorder="1"/>
    <xf numFmtId="169" fontId="0" fillId="0" borderId="0" xfId="0" applyNumberFormat="1" applyBorder="1"/>
    <xf numFmtId="0" fontId="3" fillId="0" borderId="0" xfId="0" applyFont="1" applyBorder="1"/>
    <xf numFmtId="0" fontId="10" fillId="0" borderId="0" xfId="0" applyFont="1"/>
    <xf numFmtId="10" fontId="6" fillId="0" borderId="0" xfId="0" applyNumberFormat="1" applyFont="1" applyFill="1" applyBorder="1" applyAlignment="1">
      <alignment vertical="top" wrapText="1"/>
    </xf>
    <xf numFmtId="1" fontId="0" fillId="0" borderId="21" xfId="0" applyNumberFormat="1" applyBorder="1" applyAlignment="1">
      <alignment horizontal="center" vertical="center"/>
    </xf>
    <xf numFmtId="0" fontId="0" fillId="0" borderId="21" xfId="0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Fill="1"/>
    <xf numFmtId="0" fontId="4" fillId="0" borderId="0" xfId="0" applyFont="1"/>
    <xf numFmtId="0" fontId="4" fillId="0" borderId="0" xfId="0" applyFont="1" applyAlignment="1">
      <alignment wrapText="1"/>
    </xf>
    <xf numFmtId="2" fontId="0" fillId="0" borderId="0" xfId="0" applyNumberFormat="1"/>
    <xf numFmtId="0" fontId="12" fillId="0" borderId="0" xfId="0" applyFont="1" applyAlignment="1">
      <alignment wrapText="1"/>
    </xf>
    <xf numFmtId="0" fontId="13" fillId="2" borderId="7" xfId="0" applyFont="1" applyFill="1" applyBorder="1"/>
    <xf numFmtId="0" fontId="15" fillId="0" borderId="8" xfId="0" applyFont="1" applyFill="1" applyBorder="1"/>
    <xf numFmtId="0" fontId="15" fillId="0" borderId="14" xfId="0" applyFont="1" applyFill="1" applyBorder="1"/>
    <xf numFmtId="0" fontId="15" fillId="6" borderId="16" xfId="0" applyFont="1" applyFill="1" applyBorder="1"/>
    <xf numFmtId="0" fontId="15" fillId="6" borderId="18" xfId="0" applyFont="1" applyFill="1" applyBorder="1" applyAlignment="1">
      <alignment textRotation="90"/>
    </xf>
    <xf numFmtId="0" fontId="15" fillId="6" borderId="16" xfId="0" applyFont="1" applyFill="1" applyBorder="1" applyAlignment="1">
      <alignment textRotation="90" wrapText="1"/>
    </xf>
    <xf numFmtId="0" fontId="2" fillId="6" borderId="12" xfId="0" applyFont="1" applyFill="1" applyBorder="1" applyAlignment="1">
      <alignment wrapText="1"/>
    </xf>
    <xf numFmtId="0" fontId="2" fillId="6" borderId="15" xfId="0" applyFont="1" applyFill="1" applyBorder="1"/>
    <xf numFmtId="0" fontId="15" fillId="6" borderId="18" xfId="0" applyFont="1" applyFill="1" applyBorder="1"/>
    <xf numFmtId="0" fontId="15" fillId="0" borderId="12" xfId="0" applyFont="1" applyFill="1" applyBorder="1" applyAlignment="1">
      <alignment horizontal="center" vertical="center" textRotation="90"/>
    </xf>
    <xf numFmtId="0" fontId="13" fillId="6" borderId="4" xfId="0" applyFont="1" applyFill="1" applyBorder="1" applyAlignment="1">
      <alignment wrapText="1"/>
    </xf>
    <xf numFmtId="0" fontId="2" fillId="8" borderId="27" xfId="0" applyFont="1" applyFill="1" applyBorder="1"/>
    <xf numFmtId="0" fontId="2" fillId="6" borderId="27" xfId="0" applyFont="1" applyFill="1" applyBorder="1"/>
    <xf numFmtId="0" fontId="2" fillId="8" borderId="27" xfId="0" applyFont="1" applyFill="1" applyBorder="1" applyAlignment="1">
      <alignment wrapText="1"/>
    </xf>
    <xf numFmtId="0" fontId="2" fillId="8" borderId="28" xfId="0" applyFont="1" applyFill="1" applyBorder="1" applyAlignment="1">
      <alignment wrapText="1"/>
    </xf>
    <xf numFmtId="0" fontId="13" fillId="6" borderId="29" xfId="0" applyFont="1" applyFill="1" applyBorder="1" applyAlignment="1">
      <alignment wrapText="1"/>
    </xf>
    <xf numFmtId="0" fontId="2" fillId="6" borderId="16" xfId="0" applyFont="1" applyFill="1" applyBorder="1"/>
    <xf numFmtId="0" fontId="2" fillId="6" borderId="0" xfId="0" applyFont="1" applyFill="1" applyBorder="1" applyAlignment="1">
      <alignment wrapText="1"/>
    </xf>
    <xf numFmtId="0" fontId="2" fillId="6" borderId="17" xfId="0" applyFont="1" applyFill="1" applyBorder="1" applyAlignment="1">
      <alignment wrapText="1"/>
    </xf>
    <xf numFmtId="0" fontId="13" fillId="2" borderId="27" xfId="0" applyFont="1" applyFill="1" applyBorder="1"/>
    <xf numFmtId="0" fontId="13" fillId="6" borderId="27" xfId="0" applyFont="1" applyFill="1" applyBorder="1"/>
    <xf numFmtId="0" fontId="2" fillId="6" borderId="16" xfId="0" applyFont="1" applyFill="1" applyBorder="1" applyAlignment="1">
      <alignment wrapText="1"/>
    </xf>
    <xf numFmtId="0" fontId="13" fillId="6" borderId="30" xfId="0" applyFont="1" applyFill="1" applyBorder="1" applyAlignment="1">
      <alignment wrapText="1"/>
    </xf>
    <xf numFmtId="0" fontId="2" fillId="6" borderId="12" xfId="0" applyNumberFormat="1" applyFont="1" applyFill="1" applyBorder="1"/>
    <xf numFmtId="0" fontId="13" fillId="2" borderId="19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vertical="top" wrapText="1"/>
    </xf>
    <xf numFmtId="0" fontId="18" fillId="3" borderId="9" xfId="0" applyFont="1" applyFill="1" applyBorder="1" applyAlignment="1">
      <alignment horizontal="right" vertical="center" wrapText="1"/>
    </xf>
    <xf numFmtId="0" fontId="14" fillId="0" borderId="0" xfId="0" applyFont="1" applyFill="1" applyBorder="1"/>
    <xf numFmtId="0" fontId="14" fillId="0" borderId="0" xfId="0" applyFont="1" applyBorder="1"/>
    <xf numFmtId="10" fontId="6" fillId="0" borderId="0" xfId="0" quotePrefix="1" applyNumberFormat="1" applyFont="1" applyFill="1" applyBorder="1" applyAlignment="1">
      <alignment vertical="top" wrapText="1"/>
    </xf>
    <xf numFmtId="0" fontId="2" fillId="8" borderId="24" xfId="0" applyFont="1" applyFill="1" applyBorder="1" applyAlignment="1">
      <alignment horizontal="right"/>
    </xf>
    <xf numFmtId="0" fontId="2" fillId="8" borderId="25" xfId="0" applyFont="1" applyFill="1" applyBorder="1" applyAlignment="1">
      <alignment horizontal="right"/>
    </xf>
    <xf numFmtId="0" fontId="2" fillId="6" borderId="25" xfId="0" applyFont="1" applyFill="1" applyBorder="1" applyAlignment="1">
      <alignment horizontal="right"/>
    </xf>
    <xf numFmtId="9" fontId="2" fillId="8" borderId="25" xfId="0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right"/>
    </xf>
    <xf numFmtId="0" fontId="2" fillId="8" borderId="25" xfId="0" applyNumberFormat="1" applyFont="1" applyFill="1" applyBorder="1" applyAlignment="1">
      <alignment horizontal="right"/>
    </xf>
    <xf numFmtId="0" fontId="2" fillId="8" borderId="25" xfId="0" applyNumberFormat="1" applyFont="1" applyFill="1" applyBorder="1" applyAlignment="1">
      <alignment horizontal="right" vertical="center"/>
    </xf>
    <xf numFmtId="0" fontId="2" fillId="6" borderId="25" xfId="0" applyNumberFormat="1" applyFont="1" applyFill="1" applyBorder="1" applyAlignment="1">
      <alignment horizontal="right"/>
    </xf>
    <xf numFmtId="164" fontId="2" fillId="8" borderId="25" xfId="0" applyNumberFormat="1" applyFont="1" applyFill="1" applyBorder="1" applyAlignment="1">
      <alignment horizontal="right"/>
    </xf>
    <xf numFmtId="0" fontId="2" fillId="8" borderId="26" xfId="0" applyNumberFormat="1" applyFont="1" applyFill="1" applyBorder="1" applyAlignment="1">
      <alignment horizontal="right"/>
    </xf>
    <xf numFmtId="0" fontId="2" fillId="8" borderId="26" xfId="0" applyFont="1" applyFill="1" applyBorder="1" applyAlignment="1">
      <alignment horizontal="right"/>
    </xf>
    <xf numFmtId="0" fontId="20" fillId="8" borderId="27" xfId="0" applyFont="1" applyFill="1" applyBorder="1"/>
    <xf numFmtId="0" fontId="2" fillId="2" borderId="23" xfId="0" applyFont="1" applyFill="1" applyBorder="1" applyAlignment="1">
      <alignment horizontal="left" vertical="center"/>
    </xf>
    <xf numFmtId="170" fontId="2" fillId="8" borderId="25" xfId="0" applyNumberFormat="1" applyFont="1" applyFill="1" applyBorder="1" applyAlignment="1">
      <alignment horizontal="right" vertical="center"/>
    </xf>
    <xf numFmtId="0" fontId="10" fillId="0" borderId="31" xfId="0" applyFont="1" applyBorder="1"/>
    <xf numFmtId="0" fontId="10" fillId="0" borderId="0" xfId="0" applyFont="1" applyBorder="1"/>
    <xf numFmtId="166" fontId="10" fillId="0" borderId="0" xfId="0" applyNumberFormat="1" applyFont="1" applyBorder="1"/>
    <xf numFmtId="0" fontId="22" fillId="0" borderId="16" xfId="0" applyFont="1" applyBorder="1"/>
    <xf numFmtId="9" fontId="22" fillId="0" borderId="31" xfId="0" applyNumberFormat="1" applyFont="1" applyBorder="1"/>
    <xf numFmtId="0" fontId="22" fillId="0" borderId="0" xfId="0" applyFont="1" applyBorder="1" applyAlignment="1">
      <alignment wrapText="1"/>
    </xf>
    <xf numFmtId="166" fontId="22" fillId="0" borderId="0" xfId="0" applyNumberFormat="1" applyFont="1" applyBorder="1" applyAlignment="1">
      <alignment wrapText="1"/>
    </xf>
    <xf numFmtId="166" fontId="22" fillId="0" borderId="32" xfId="0" applyNumberFormat="1" applyFont="1" applyBorder="1" applyAlignment="1">
      <alignment wrapText="1"/>
    </xf>
    <xf numFmtId="9" fontId="22" fillId="0" borderId="0" xfId="0" applyNumberFormat="1" applyFont="1" applyBorder="1"/>
    <xf numFmtId="166" fontId="22" fillId="0" borderId="0" xfId="0" applyNumberFormat="1" applyFont="1" applyFill="1" applyBorder="1" applyAlignment="1">
      <alignment wrapText="1"/>
    </xf>
    <xf numFmtId="3" fontId="10" fillId="0" borderId="32" xfId="0" applyNumberFormat="1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32" xfId="0" applyFont="1" applyBorder="1"/>
    <xf numFmtId="166" fontId="10" fillId="0" borderId="32" xfId="0" applyNumberFormat="1" applyFont="1" applyBorder="1"/>
    <xf numFmtId="0" fontId="10" fillId="0" borderId="33" xfId="0" applyFont="1" applyBorder="1"/>
    <xf numFmtId="3" fontId="10" fillId="0" borderId="34" xfId="0" applyNumberFormat="1" applyFont="1" applyBorder="1"/>
    <xf numFmtId="166" fontId="10" fillId="0" borderId="34" xfId="0" applyNumberFormat="1" applyFont="1" applyBorder="1"/>
    <xf numFmtId="3" fontId="10" fillId="0" borderId="35" xfId="0" applyNumberFormat="1" applyFont="1" applyBorder="1"/>
    <xf numFmtId="0" fontId="10" fillId="0" borderId="34" xfId="0" applyFont="1" applyBorder="1"/>
    <xf numFmtId="0" fontId="0" fillId="0" borderId="1" xfId="0" applyFill="1" applyBorder="1"/>
    <xf numFmtId="0" fontId="10" fillId="0" borderId="1" xfId="0" applyFont="1" applyBorder="1"/>
    <xf numFmtId="165" fontId="10" fillId="0" borderId="0" xfId="0" applyNumberFormat="1" applyFont="1"/>
    <xf numFmtId="0" fontId="10" fillId="0" borderId="0" xfId="0" quotePrefix="1" applyFont="1"/>
    <xf numFmtId="0" fontId="0" fillId="0" borderId="21" xfId="0" quotePrefix="1" applyBorder="1"/>
    <xf numFmtId="0" fontId="5" fillId="3" borderId="0" xfId="0" applyFont="1" applyFill="1" applyBorder="1" applyAlignment="1">
      <alignment horizontal="left" vertical="center" wrapText="1"/>
    </xf>
    <xf numFmtId="0" fontId="0" fillId="0" borderId="9" xfId="0" applyBorder="1"/>
    <xf numFmtId="0" fontId="5" fillId="3" borderId="0" xfId="0" applyFont="1" applyFill="1" applyBorder="1" applyAlignment="1">
      <alignment horizontal="right" vertical="center" wrapText="1"/>
    </xf>
    <xf numFmtId="171" fontId="23" fillId="0" borderId="0" xfId="0" applyNumberFormat="1" applyFont="1" applyFill="1" applyBorder="1" applyAlignment="1">
      <alignment vertical="top" wrapText="1"/>
    </xf>
    <xf numFmtId="172" fontId="23" fillId="0" borderId="0" xfId="0" applyNumberFormat="1" applyFont="1" applyFill="1" applyBorder="1" applyAlignment="1">
      <alignment vertical="top" wrapText="1"/>
    </xf>
    <xf numFmtId="9" fontId="0" fillId="0" borderId="0" xfId="0" applyNumberFormat="1"/>
    <xf numFmtId="0" fontId="0" fillId="0" borderId="0" xfId="0" quotePrefix="1" applyBorder="1"/>
    <xf numFmtId="1" fontId="0" fillId="0" borderId="21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" xfId="0" applyNumberFormat="1" applyBorder="1"/>
    <xf numFmtId="1" fontId="22" fillId="0" borderId="0" xfId="0" applyNumberFormat="1" applyFont="1" applyBorder="1"/>
    <xf numFmtId="1" fontId="22" fillId="0" borderId="0" xfId="0" applyNumberFormat="1" applyFont="1" applyFill="1" applyBorder="1"/>
    <xf numFmtId="0" fontId="10" fillId="0" borderId="1" xfId="0" applyNumberFormat="1" applyFont="1" applyBorder="1"/>
    <xf numFmtId="1" fontId="10" fillId="0" borderId="0" xfId="0" applyNumberFormat="1" applyFont="1" applyBorder="1"/>
    <xf numFmtId="1" fontId="10" fillId="0" borderId="0" xfId="0" applyNumberFormat="1" applyFont="1" applyFill="1" applyBorder="1"/>
    <xf numFmtId="10" fontId="0" fillId="0" borderId="0" xfId="0" applyNumberFormat="1" applyFill="1" applyBorder="1"/>
    <xf numFmtId="171" fontId="6" fillId="0" borderId="0" xfId="0" applyNumberFormat="1" applyFont="1" applyFill="1" applyBorder="1" applyAlignment="1">
      <alignment vertical="top" wrapText="1"/>
    </xf>
    <xf numFmtId="171" fontId="24" fillId="9" borderId="0" xfId="0" applyNumberFormat="1" applyFont="1" applyFill="1" applyBorder="1" applyAlignment="1">
      <alignment vertical="top" wrapText="1"/>
    </xf>
    <xf numFmtId="0" fontId="25" fillId="0" borderId="0" xfId="0" applyFont="1"/>
    <xf numFmtId="0" fontId="26" fillId="0" borderId="0" xfId="0" applyFont="1"/>
    <xf numFmtId="0" fontId="19" fillId="8" borderId="25" xfId="0" applyFont="1" applyFill="1" applyBorder="1" applyAlignment="1">
      <alignment horizontal="right"/>
    </xf>
    <xf numFmtId="0" fontId="19" fillId="8" borderId="25" xfId="0" applyFont="1" applyFill="1" applyBorder="1" applyAlignment="1">
      <alignment horizontal="right" vertical="center"/>
    </xf>
    <xf numFmtId="0" fontId="27" fillId="0" borderId="36" xfId="0" applyFont="1" applyBorder="1" applyAlignment="1">
      <alignment vertical="center" wrapText="1"/>
    </xf>
    <xf numFmtId="0" fontId="27" fillId="0" borderId="37" xfId="0" applyFont="1" applyBorder="1" applyAlignment="1">
      <alignment vertical="center" wrapText="1"/>
    </xf>
    <xf numFmtId="0" fontId="28" fillId="0" borderId="36" xfId="0" applyFont="1" applyBorder="1" applyAlignment="1">
      <alignment vertical="center" wrapText="1"/>
    </xf>
    <xf numFmtId="0" fontId="28" fillId="0" borderId="37" xfId="0" applyFont="1" applyBorder="1" applyAlignment="1">
      <alignment vertical="center" wrapText="1"/>
    </xf>
    <xf numFmtId="0" fontId="0" fillId="0" borderId="36" xfId="0" quotePrefix="1" applyBorder="1"/>
    <xf numFmtId="0" fontId="27" fillId="0" borderId="21" xfId="0" applyFont="1" applyBorder="1" applyAlignment="1">
      <alignment vertical="center" wrapText="1"/>
    </xf>
    <xf numFmtId="0" fontId="27" fillId="0" borderId="0" xfId="0" applyFont="1" applyBorder="1" applyAlignment="1">
      <alignment vertical="center" wrapText="1"/>
    </xf>
    <xf numFmtId="0" fontId="0" fillId="0" borderId="37" xfId="0" quotePrefix="1" applyBorder="1"/>
    <xf numFmtId="0" fontId="0" fillId="10" borderId="0" xfId="0" applyFill="1"/>
    <xf numFmtId="0" fontId="0" fillId="10" borderId="0" xfId="0" applyFill="1" applyAlignment="1">
      <alignment wrapText="1"/>
    </xf>
    <xf numFmtId="0" fontId="27" fillId="10" borderId="38" xfId="0" applyFont="1" applyFill="1" applyBorder="1" applyAlignment="1">
      <alignment vertical="center" wrapText="1"/>
    </xf>
    <xf numFmtId="0" fontId="29" fillId="10" borderId="38" xfId="0" applyFont="1" applyFill="1" applyBorder="1" applyAlignment="1">
      <alignment horizontal="center" vertical="center" wrapText="1"/>
    </xf>
    <xf numFmtId="0" fontId="29" fillId="10" borderId="0" xfId="0" applyFont="1" applyFill="1" applyBorder="1" applyAlignment="1">
      <alignment horizontal="center" vertical="center" wrapText="1"/>
    </xf>
    <xf numFmtId="0" fontId="29" fillId="10" borderId="37" xfId="0" applyFont="1" applyFill="1" applyBorder="1" applyAlignment="1">
      <alignment horizontal="center" vertical="center" wrapText="1"/>
    </xf>
    <xf numFmtId="0" fontId="0" fillId="10" borderId="38" xfId="0" applyFill="1" applyBorder="1"/>
    <xf numFmtId="0" fontId="30" fillId="0" borderId="0" xfId="0" applyFont="1"/>
    <xf numFmtId="0" fontId="0" fillId="11" borderId="1" xfId="0" applyFill="1" applyBorder="1"/>
    <xf numFmtId="0" fontId="0" fillId="0" borderId="39" xfId="0" applyBorder="1"/>
    <xf numFmtId="0" fontId="0" fillId="12" borderId="1" xfId="0" applyFont="1" applyFill="1" applyBorder="1"/>
    <xf numFmtId="0" fontId="0" fillId="0" borderId="1" xfId="0" applyFont="1" applyBorder="1"/>
    <xf numFmtId="0" fontId="0" fillId="0" borderId="39" xfId="0" applyFont="1" applyBorder="1"/>
    <xf numFmtId="2" fontId="10" fillId="0" borderId="0" xfId="0" applyNumberFormat="1" applyFont="1"/>
    <xf numFmtId="0" fontId="13" fillId="6" borderId="0" xfId="0" applyFont="1" applyFill="1" applyBorder="1" applyAlignment="1">
      <alignment wrapText="1"/>
    </xf>
    <xf numFmtId="0" fontId="2" fillId="6" borderId="0" xfId="0" applyFont="1" applyFill="1" applyBorder="1"/>
    <xf numFmtId="0" fontId="13" fillId="6" borderId="6" xfId="0" applyFont="1" applyFill="1" applyBorder="1" applyAlignment="1">
      <alignment wrapText="1"/>
    </xf>
    <xf numFmtId="0" fontId="20" fillId="8" borderId="40" xfId="0" applyFont="1" applyFill="1" applyBorder="1" applyAlignment="1">
      <alignment horizontal="right"/>
    </xf>
    <xf numFmtId="0" fontId="20" fillId="8" borderId="27" xfId="0" applyFont="1" applyFill="1" applyBorder="1" applyAlignment="1">
      <alignment horizontal="right"/>
    </xf>
    <xf numFmtId="0" fontId="20" fillId="6" borderId="27" xfId="0" applyFont="1" applyFill="1" applyBorder="1" applyAlignment="1">
      <alignment horizontal="right"/>
    </xf>
    <xf numFmtId="9" fontId="20" fillId="8" borderId="27" xfId="0" applyNumberFormat="1" applyFont="1" applyFill="1" applyBorder="1" applyAlignment="1">
      <alignment horizontal="right"/>
    </xf>
    <xf numFmtId="170" fontId="20" fillId="8" borderId="27" xfId="0" applyNumberFormat="1" applyFont="1" applyFill="1" applyBorder="1" applyAlignment="1">
      <alignment horizontal="right" vertical="center"/>
    </xf>
    <xf numFmtId="0" fontId="20" fillId="8" borderId="27" xfId="0" applyFont="1" applyFill="1" applyBorder="1" applyAlignment="1">
      <alignment horizontal="right" vertical="center"/>
    </xf>
    <xf numFmtId="0" fontId="20" fillId="8" borderId="27" xfId="0" applyNumberFormat="1" applyFont="1" applyFill="1" applyBorder="1" applyAlignment="1">
      <alignment horizontal="right" vertical="center"/>
    </xf>
    <xf numFmtId="0" fontId="2" fillId="8" borderId="27" xfId="0" applyNumberFormat="1" applyFont="1" applyFill="1" applyBorder="1" applyAlignment="1">
      <alignment horizontal="right"/>
    </xf>
    <xf numFmtId="0" fontId="2" fillId="8" borderId="27" xfId="0" applyNumberFormat="1" applyFont="1" applyFill="1" applyBorder="1" applyAlignment="1">
      <alignment horizontal="right" vertical="center"/>
    </xf>
    <xf numFmtId="0" fontId="20" fillId="6" borderId="27" xfId="0" applyNumberFormat="1" applyFont="1" applyFill="1" applyBorder="1" applyAlignment="1">
      <alignment horizontal="right"/>
    </xf>
    <xf numFmtId="0" fontId="20" fillId="8" borderId="28" xfId="0" applyFont="1" applyFill="1" applyBorder="1" applyAlignment="1">
      <alignment horizontal="right"/>
    </xf>
    <xf numFmtId="0" fontId="20" fillId="8" borderId="1" xfId="0" applyFont="1" applyFill="1" applyBorder="1" applyAlignment="1">
      <alignment horizontal="right"/>
    </xf>
    <xf numFmtId="0" fontId="20" fillId="6" borderId="1" xfId="0" applyFont="1" applyFill="1" applyBorder="1" applyAlignment="1">
      <alignment horizontal="right"/>
    </xf>
    <xf numFmtId="9" fontId="20" fillId="8" borderId="1" xfId="0" applyNumberFormat="1" applyFont="1" applyFill="1" applyBorder="1" applyAlignment="1">
      <alignment horizontal="right"/>
    </xf>
    <xf numFmtId="0" fontId="20" fillId="8" borderId="1" xfId="0" applyFont="1" applyFill="1" applyBorder="1" applyAlignment="1">
      <alignment horizontal="right" vertical="center"/>
    </xf>
    <xf numFmtId="0" fontId="20" fillId="8" borderId="1" xfId="0" applyNumberFormat="1" applyFont="1" applyFill="1" applyBorder="1" applyAlignment="1">
      <alignment horizontal="right" vertical="center"/>
    </xf>
    <xf numFmtId="0" fontId="2" fillId="8" borderId="1" xfId="0" applyNumberFormat="1" applyFont="1" applyFill="1" applyBorder="1" applyAlignment="1">
      <alignment horizontal="right"/>
    </xf>
    <xf numFmtId="0" fontId="2" fillId="8" borderId="1" xfId="0" applyNumberFormat="1" applyFont="1" applyFill="1" applyBorder="1" applyAlignment="1">
      <alignment horizontal="right" vertical="center"/>
    </xf>
    <xf numFmtId="0" fontId="20" fillId="6" borderId="1" xfId="0" applyNumberFormat="1" applyFont="1" applyFill="1" applyBorder="1" applyAlignment="1">
      <alignment horizontal="right"/>
    </xf>
    <xf numFmtId="9" fontId="20" fillId="8" borderId="19" xfId="0" applyNumberFormat="1" applyFont="1" applyFill="1" applyBorder="1" applyAlignment="1">
      <alignment horizontal="right"/>
    </xf>
    <xf numFmtId="0" fontId="20" fillId="8" borderId="19" xfId="0" applyFont="1" applyFill="1" applyBorder="1" applyAlignment="1">
      <alignment horizontal="right"/>
    </xf>
    <xf numFmtId="170" fontId="20" fillId="8" borderId="19" xfId="0" applyNumberFormat="1" applyFont="1" applyFill="1" applyBorder="1" applyAlignment="1">
      <alignment horizontal="right" vertical="center"/>
    </xf>
    <xf numFmtId="165" fontId="20" fillId="8" borderId="27" xfId="0" applyNumberFormat="1" applyFont="1" applyFill="1" applyBorder="1" applyAlignment="1">
      <alignment horizontal="right" vertical="center"/>
    </xf>
    <xf numFmtId="0" fontId="17" fillId="6" borderId="27" xfId="0" applyNumberFormat="1" applyFont="1" applyFill="1" applyBorder="1" applyAlignment="1">
      <alignment horizontal="right"/>
    </xf>
    <xf numFmtId="9" fontId="17" fillId="8" borderId="27" xfId="0" applyNumberFormat="1" applyFont="1" applyFill="1" applyBorder="1" applyAlignment="1">
      <alignment horizontal="right"/>
    </xf>
    <xf numFmtId="0" fontId="17" fillId="8" borderId="28" xfId="0" applyFont="1" applyFill="1" applyBorder="1" applyAlignment="1">
      <alignment horizontal="right"/>
    </xf>
    <xf numFmtId="165" fontId="20" fillId="8" borderId="1" xfId="0" applyNumberFormat="1" applyFont="1" applyFill="1" applyBorder="1" applyAlignment="1">
      <alignment horizontal="right" vertical="center"/>
    </xf>
    <xf numFmtId="0" fontId="17" fillId="6" borderId="1" xfId="0" applyNumberFormat="1" applyFont="1" applyFill="1" applyBorder="1" applyAlignment="1">
      <alignment horizontal="right"/>
    </xf>
    <xf numFmtId="9" fontId="17" fillId="8" borderId="1" xfId="0" applyNumberFormat="1" applyFont="1" applyFill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0" fontId="2" fillId="6" borderId="1" xfId="0" applyFont="1" applyFill="1" applyBorder="1"/>
    <xf numFmtId="0" fontId="21" fillId="2" borderId="2" xfId="0" applyFont="1" applyFill="1" applyBorder="1" applyAlignment="1">
      <alignment horizontal="center" vertical="center" wrapText="1"/>
    </xf>
    <xf numFmtId="0" fontId="21" fillId="6" borderId="6" xfId="0" applyFont="1" applyFill="1" applyBorder="1" applyAlignment="1">
      <alignment wrapText="1"/>
    </xf>
    <xf numFmtId="0" fontId="21" fillId="2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2" fillId="6" borderId="16" xfId="0" applyNumberFormat="1" applyFont="1" applyFill="1" applyBorder="1"/>
    <xf numFmtId="0" fontId="2" fillId="6" borderId="17" xfId="0" applyFont="1" applyFill="1" applyBorder="1"/>
    <xf numFmtId="0" fontId="2" fillId="6" borderId="4" xfId="0" applyFont="1" applyFill="1" applyBorder="1"/>
    <xf numFmtId="0" fontId="15" fillId="0" borderId="18" xfId="0" applyFont="1" applyFill="1" applyBorder="1" applyAlignment="1">
      <alignment horizontal="center" vertical="center" textRotation="90" wrapText="1"/>
    </xf>
    <xf numFmtId="0" fontId="15" fillId="0" borderId="18" xfId="0" applyFont="1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4">
    <cellStyle name="Normal" xfId="0" builtinId="0"/>
    <cellStyle name="Normal 2" xfId="1"/>
    <cellStyle name="Procent" xfId="2" builtinId="5"/>
    <cellStyle name="TableHeader" xfId="3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AEAEA"/>
      <color rgb="FF9F5FCF"/>
      <color rgb="FFFF99FF"/>
      <color rgb="FFCCFF99"/>
      <color rgb="FF99FF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552229</xdr:colOff>
      <xdr:row>12</xdr:row>
      <xdr:rowOff>152143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5650" y="381000"/>
          <a:ext cx="1771429" cy="205714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15</xdr:row>
      <xdr:rowOff>0</xdr:rowOff>
    </xdr:from>
    <xdr:to>
      <xdr:col>15</xdr:col>
      <xdr:colOff>400000</xdr:colOff>
      <xdr:row>24</xdr:row>
      <xdr:rowOff>37881</xdr:rowOff>
    </xdr:to>
    <xdr:pic>
      <xdr:nvPicPr>
        <xdr:cNvPr id="3" name="Billed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5650" y="2857500"/>
          <a:ext cx="400000" cy="1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0</xdr:rowOff>
    </xdr:from>
    <xdr:to>
      <xdr:col>19</xdr:col>
      <xdr:colOff>66362</xdr:colOff>
      <xdr:row>36</xdr:row>
      <xdr:rowOff>9286</xdr:rowOff>
    </xdr:to>
    <xdr:pic>
      <xdr:nvPicPr>
        <xdr:cNvPr id="4" name="Billed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5650" y="4953000"/>
          <a:ext cx="2504762" cy="19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38</xdr:row>
      <xdr:rowOff>0</xdr:rowOff>
    </xdr:from>
    <xdr:to>
      <xdr:col>19</xdr:col>
      <xdr:colOff>571124</xdr:colOff>
      <xdr:row>48</xdr:row>
      <xdr:rowOff>37857</xdr:rowOff>
    </xdr:to>
    <xdr:pic>
      <xdr:nvPicPr>
        <xdr:cNvPr id="5" name="Billed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25650" y="7239000"/>
          <a:ext cx="3009524" cy="1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7</xdr:col>
      <xdr:colOff>247390</xdr:colOff>
      <xdr:row>6</xdr:row>
      <xdr:rowOff>136393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5350" y="184150"/>
          <a:ext cx="2076190" cy="10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14" displayName="Tabel14" ref="B2:E47" totalsRowShown="0" headerRowDxfId="1">
  <autoFilter ref="B2:E47"/>
  <sortState ref="B3:E47">
    <sortCondition ref="B2:B47"/>
  </sortState>
  <tableColumns count="4">
    <tableColumn id="1" name="Dagtilbud"/>
    <tableColumn id="2" name=" jf. Benchmark, jf. Indenrigs- og Sundhedsministeriet"/>
    <tableColumn id="8" name="% tilfreds+meget tilfreds" dataDxfId="0">
      <calculatedColumnFormula>Tabel14[[#This Row],[Kolonne1]]/100</calculatedColumnFormula>
    </tableColumn>
    <tableColumn id="3" name="Kolonne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G67"/>
  <sheetViews>
    <sheetView workbookViewId="0">
      <selection activeCell="E66" sqref="E66"/>
    </sheetView>
  </sheetViews>
  <sheetFormatPr defaultColWidth="9.140625" defaultRowHeight="15" x14ac:dyDescent="0.25"/>
  <cols>
    <col min="1" max="1" width="6.28515625" style="28" customWidth="1"/>
    <col min="2" max="2" width="45.42578125" style="28" customWidth="1"/>
    <col min="3" max="3" width="15.28515625" style="28" bestFit="1" customWidth="1"/>
    <col min="4" max="5" width="16.7109375" style="28" bestFit="1" customWidth="1"/>
    <col min="6" max="6" width="16.7109375" style="28" customWidth="1"/>
    <col min="7" max="7" width="3.42578125" style="28" customWidth="1"/>
    <col min="8" max="8" width="9.140625" style="28"/>
    <col min="9" max="9" width="9.140625" style="28" customWidth="1"/>
    <col min="10" max="16384" width="9.140625" style="28"/>
  </cols>
  <sheetData>
    <row r="1" spans="1:6" ht="24" customHeight="1" x14ac:dyDescent="0.25">
      <c r="A1" s="50"/>
      <c r="B1" s="49" t="s">
        <v>126</v>
      </c>
      <c r="C1" s="214" t="s">
        <v>105</v>
      </c>
      <c r="D1" s="215"/>
      <c r="E1" s="215"/>
      <c r="F1" s="216"/>
    </row>
    <row r="2" spans="1:6" ht="5.25" customHeight="1" x14ac:dyDescent="0.25">
      <c r="A2" s="57"/>
      <c r="B2" s="65"/>
      <c r="C2" s="70"/>
      <c r="D2" s="66"/>
      <c r="E2" s="67"/>
      <c r="F2" s="66"/>
    </row>
    <row r="3" spans="1:6" ht="26.25" thickBot="1" x14ac:dyDescent="0.3">
      <c r="A3" s="51"/>
      <c r="B3" s="68" t="s">
        <v>125</v>
      </c>
      <c r="C3" s="73" t="s">
        <v>86</v>
      </c>
      <c r="D3" s="74" t="s">
        <v>103</v>
      </c>
      <c r="E3" s="75" t="s">
        <v>104</v>
      </c>
      <c r="F3" s="75" t="s">
        <v>234</v>
      </c>
    </row>
    <row r="4" spans="1:6" ht="3" customHeight="1" thickBot="1" x14ac:dyDescent="0.3">
      <c r="A4" s="57"/>
      <c r="B4" s="69"/>
      <c r="C4" s="71"/>
      <c r="D4" s="59"/>
      <c r="E4" s="64"/>
      <c r="F4" s="164"/>
    </row>
    <row r="5" spans="1:6" ht="14.1" customHeight="1" x14ac:dyDescent="0.25">
      <c r="A5" s="208" t="s">
        <v>141</v>
      </c>
      <c r="B5" s="60" t="s">
        <v>72</v>
      </c>
      <c r="C5" s="81">
        <f>VLOOKUP($C$1,'børn oktober'!$B:$N,3,FALSE)</f>
        <v>33</v>
      </c>
      <c r="D5" s="81">
        <f>VLOOKUP($C$1,'børn oktober'!$B:$N,7,FALSE)</f>
        <v>38</v>
      </c>
      <c r="E5" s="167">
        <f>VLOOKUP($C$1,'børn oktober'!$B:$N,11,FALSE)</f>
        <v>40</v>
      </c>
      <c r="F5" s="178"/>
    </row>
    <row r="6" spans="1:6" ht="14.1" customHeight="1" x14ac:dyDescent="0.25">
      <c r="A6" s="208"/>
      <c r="B6" s="60" t="s">
        <v>73</v>
      </c>
      <c r="C6" s="82">
        <f>VLOOKUP($C$1,'børn oktober'!$B:$N,4,FALSE)</f>
        <v>127</v>
      </c>
      <c r="D6" s="82">
        <f>VLOOKUP($C$1,'børn oktober'!$B:$N,8,FALSE)</f>
        <v>139</v>
      </c>
      <c r="E6" s="168">
        <f>VLOOKUP($C$1,'børn oktober'!$B:$N,12,FALSE)</f>
        <v>150</v>
      </c>
      <c r="F6" s="178"/>
    </row>
    <row r="7" spans="1:6" ht="14.1" customHeight="1" x14ac:dyDescent="0.25">
      <c r="A7" s="208"/>
      <c r="B7" s="60" t="s">
        <v>89</v>
      </c>
      <c r="C7" s="82">
        <f>VLOOKUP($C$1,'børn oktober'!$B:$N,5,FALSE)</f>
        <v>0</v>
      </c>
      <c r="D7" s="82">
        <f>VLOOKUP($C$1,'børn oktober'!$B:$N,9,FALSE)</f>
        <v>0</v>
      </c>
      <c r="E7" s="168">
        <f>VLOOKUP($C$1,'børn oktober'!$B:$N,13,FALSE)</f>
        <v>0</v>
      </c>
      <c r="F7" s="178"/>
    </row>
    <row r="8" spans="1:6" ht="14.1" customHeight="1" x14ac:dyDescent="0.25">
      <c r="A8" s="208"/>
      <c r="B8" s="60" t="s">
        <v>82</v>
      </c>
      <c r="C8" s="82">
        <f>SUM(C5:C7)</f>
        <v>160</v>
      </c>
      <c r="D8" s="82">
        <f>SUM(D5:D7)</f>
        <v>177</v>
      </c>
      <c r="E8" s="168">
        <f>SUM(E5:E7)</f>
        <v>190</v>
      </c>
      <c r="F8" s="178"/>
    </row>
    <row r="9" spans="1:6" ht="3" customHeight="1" x14ac:dyDescent="0.25">
      <c r="A9" s="52"/>
      <c r="B9" s="61"/>
      <c r="C9" s="83"/>
      <c r="D9" s="83"/>
      <c r="E9" s="169"/>
      <c r="F9" s="179"/>
    </row>
    <row r="10" spans="1:6" ht="15" customHeight="1" x14ac:dyDescent="0.25">
      <c r="A10" s="207" t="s">
        <v>131</v>
      </c>
      <c r="B10" s="60" t="s">
        <v>87</v>
      </c>
      <c r="C10" s="84">
        <f>VLOOKUP($C$1,socioøkonomi!$B:$M,4,FALSE)/100</f>
        <v>0</v>
      </c>
      <c r="D10" s="84">
        <f>VLOOKUP($C$1,socioøkonomi!$B:$M,8,FALSE)/100</f>
        <v>1.8633540372670808E-2</v>
      </c>
      <c r="E10" s="170">
        <f>VLOOKUP($C$1,socioøkonomi!$B:$M,12,FALSE)/100</f>
        <v>1.6759776536312849E-2</v>
      </c>
      <c r="F10" s="186">
        <f>VLOOKUP($C$1,socioøkonomi!$B:$R,16,FALSE)/100</f>
        <v>2.6178010471204188E-2</v>
      </c>
    </row>
    <row r="11" spans="1:6" ht="15" customHeight="1" x14ac:dyDescent="0.25">
      <c r="A11" s="208"/>
      <c r="B11" s="60" t="s">
        <v>88</v>
      </c>
      <c r="C11" s="82">
        <f>VLOOKUP($C$1,socioøkonomi!$B:$M,2,FALSE)</f>
        <v>0</v>
      </c>
      <c r="D11" s="82">
        <f>VLOOKUP($C$1,socioøkonomi!$B:$M,6,FALSE)</f>
        <v>3</v>
      </c>
      <c r="E11" s="168">
        <f>VLOOKUP($C$1,socioøkonomi!$B:$M,10,FALSE)</f>
        <v>3</v>
      </c>
      <c r="F11" s="187">
        <f>VLOOKUP($C$1,socioøkonomi!$B:$R,14,FALSE)</f>
        <v>5</v>
      </c>
    </row>
    <row r="12" spans="1:6" ht="15" customHeight="1" x14ac:dyDescent="0.25">
      <c r="A12" s="209"/>
      <c r="B12" s="60" t="s">
        <v>158</v>
      </c>
      <c r="C12" s="94">
        <f>VLOOKUP($C$1,socioøkonomi!$B:$M,5,FALSE)</f>
        <v>41000</v>
      </c>
      <c r="D12" s="94">
        <f>VLOOKUP($C$1,socioøkonomi!$B:$M,9,FALSE)</f>
        <v>48000</v>
      </c>
      <c r="E12" s="171">
        <f>VLOOKUP($C$1,socioøkonomi!$B:$X,13,FALSE)</f>
        <v>79000</v>
      </c>
      <c r="F12" s="188">
        <f>VLOOKUP($C$1,socioøkonomi!$B:$X,17,FALSE)</f>
        <v>135000</v>
      </c>
    </row>
    <row r="13" spans="1:6" ht="3" customHeight="1" x14ac:dyDescent="0.25">
      <c r="A13" s="52"/>
      <c r="B13" s="61"/>
      <c r="C13" s="83"/>
      <c r="D13" s="83"/>
      <c r="E13" s="169"/>
      <c r="F13" s="179"/>
    </row>
    <row r="14" spans="1:6" ht="14.1" customHeight="1" x14ac:dyDescent="0.25">
      <c r="A14" s="208" t="s">
        <v>132</v>
      </c>
      <c r="B14" s="60" t="s">
        <v>130</v>
      </c>
      <c r="C14" s="140"/>
      <c r="D14" s="141" t="str">
        <f>VLOOKUP($C$1,Sprogvurderinger!$B:$N,2,FALSE)</f>
        <v>tal skal hentes</v>
      </c>
      <c r="E14" s="172">
        <f>VLOOKUP($C$1,Sprogvurderinger!$B:$N,6,FALSE)</f>
        <v>94</v>
      </c>
      <c r="F14" s="181"/>
    </row>
    <row r="15" spans="1:6" ht="14.1" customHeight="1" x14ac:dyDescent="0.25">
      <c r="A15" s="208"/>
      <c r="B15" s="92" t="s">
        <v>205</v>
      </c>
      <c r="C15" s="140"/>
      <c r="D15" s="140" t="str">
        <f>VLOOKUP($C$1,Sprogvurderinger!$B:$N,3,FALSE)</f>
        <v>tal skal hentes</v>
      </c>
      <c r="E15" s="168">
        <f>VLOOKUP($C$1,Sprogvurderinger!$B:$N,7,FALSE)</f>
        <v>69</v>
      </c>
      <c r="F15" s="178"/>
    </row>
    <row r="16" spans="1:6" ht="14.1" customHeight="1" x14ac:dyDescent="0.25">
      <c r="A16" s="208"/>
      <c r="B16" s="92" t="s">
        <v>206</v>
      </c>
      <c r="C16" s="140"/>
      <c r="D16" s="140" t="str">
        <f>VLOOKUP($C$1,Sprogvurderinger!$B:$N,4,FALSE)</f>
        <v>tal skal hentes</v>
      </c>
      <c r="E16" s="168">
        <f>VLOOKUP($C$1,Sprogvurderinger!$B:$N,8,FALSE)</f>
        <v>7</v>
      </c>
      <c r="F16" s="178"/>
    </row>
    <row r="17" spans="1:6" ht="14.1" customHeight="1" x14ac:dyDescent="0.25">
      <c r="A17" s="208"/>
      <c r="B17" s="92" t="s">
        <v>207</v>
      </c>
      <c r="C17" s="140"/>
      <c r="D17" s="140" t="str">
        <f>VLOOKUP($C$1,Sprogvurderinger!$B:$N,5,FALSE)</f>
        <v>tal skal hentes</v>
      </c>
      <c r="E17" s="168">
        <f>VLOOKUP($C$1,Sprogvurderinger!$B:$N,9,FALSE)</f>
        <v>18</v>
      </c>
      <c r="F17" s="178"/>
    </row>
    <row r="18" spans="1:6" ht="3" customHeight="1" x14ac:dyDescent="0.25">
      <c r="A18" s="52"/>
      <c r="B18" s="61"/>
      <c r="C18" s="85"/>
      <c r="D18" s="85"/>
      <c r="E18" s="169"/>
      <c r="F18" s="179"/>
    </row>
    <row r="19" spans="1:6" ht="14.1" customHeight="1" x14ac:dyDescent="0.25">
      <c r="A19" s="207" t="s">
        <v>133</v>
      </c>
      <c r="B19" s="60" t="s">
        <v>84</v>
      </c>
      <c r="C19" s="140"/>
      <c r="D19" s="141" t="str">
        <f>VLOOKUP($C$1,underretninger!$B:$N,2,FALSE)</f>
        <v>kan jeg få tal ved familieområdet?</v>
      </c>
      <c r="E19" s="168">
        <f>VLOOKUP($C$1,underretninger!$B:$N,3,FALSE)</f>
        <v>0</v>
      </c>
      <c r="F19" s="178"/>
    </row>
    <row r="20" spans="1:6" ht="14.1" customHeight="1" x14ac:dyDescent="0.25">
      <c r="A20" s="208"/>
      <c r="B20" s="60" t="s">
        <v>85</v>
      </c>
      <c r="C20" s="140"/>
      <c r="D20" s="141" t="str">
        <f>VLOOKUP($C$1,magtanvendelser!$B:$K,2,FALSE)</f>
        <v>kan jeg få tallene ved Claudia?</v>
      </c>
      <c r="E20" s="168">
        <f>VLOOKUP($C$1,magtanvendelser!$B:$K,3,FALSE)</f>
        <v>0</v>
      </c>
      <c r="F20" s="178"/>
    </row>
    <row r="21" spans="1:6" ht="3" customHeight="1" x14ac:dyDescent="0.25">
      <c r="A21" s="52"/>
      <c r="B21" s="61"/>
      <c r="C21" s="83"/>
      <c r="D21" s="83"/>
      <c r="E21" s="169"/>
      <c r="F21" s="179"/>
    </row>
    <row r="22" spans="1:6" ht="14.1" customHeight="1" x14ac:dyDescent="0.25">
      <c r="A22" s="207" t="s">
        <v>83</v>
      </c>
      <c r="B22" s="60" t="s">
        <v>6</v>
      </c>
      <c r="C22" s="82"/>
      <c r="D22" s="84">
        <f>VLOOKUP($C$1,timer!$B:$N,8,FALSE)</f>
        <v>0.52850749742241576</v>
      </c>
      <c r="E22" s="170">
        <f>VLOOKUP($C$1,timer!$B:$N,10,FALSE)</f>
        <v>0.58091853078009414</v>
      </c>
      <c r="F22" s="180"/>
    </row>
    <row r="23" spans="1:6" ht="14.1" customHeight="1" x14ac:dyDescent="0.25">
      <c r="A23" s="208"/>
      <c r="B23" s="60" t="s">
        <v>78</v>
      </c>
      <c r="C23" s="82"/>
      <c r="D23" s="84">
        <f>VLOOKUP($C$1,timer!$B:$N,7,FALSE)</f>
        <v>0.47149250257758424</v>
      </c>
      <c r="E23" s="170">
        <f>VLOOKUP($C$1,timer!$B:$N,9,FALSE)</f>
        <v>0.41908146921990586</v>
      </c>
      <c r="F23" s="180"/>
    </row>
    <row r="24" spans="1:6" ht="3" customHeight="1" x14ac:dyDescent="0.25">
      <c r="A24" s="208"/>
      <c r="B24" s="61"/>
      <c r="C24" s="83"/>
      <c r="D24" s="83"/>
      <c r="E24" s="169"/>
      <c r="F24" s="179"/>
    </row>
    <row r="25" spans="1:6" ht="14.1" customHeight="1" x14ac:dyDescent="0.25">
      <c r="A25" s="208"/>
      <c r="B25" s="60" t="s">
        <v>79</v>
      </c>
      <c r="C25" s="82"/>
      <c r="D25" s="84">
        <f>SUM(D26:D27)</f>
        <v>9.8239661849109206E-2</v>
      </c>
      <c r="E25" s="170">
        <f>SUM(E26:E27)</f>
        <v>0.10607595659700468</v>
      </c>
      <c r="F25" s="180"/>
    </row>
    <row r="26" spans="1:6" ht="14.1" customHeight="1" x14ac:dyDescent="0.25">
      <c r="A26" s="208"/>
      <c r="B26" s="60" t="s">
        <v>80</v>
      </c>
      <c r="C26" s="82"/>
      <c r="D26" s="84">
        <f>VLOOKUP($C$1,fravær!$B:$I,2,FALSE)</f>
        <v>4.7126610653941789E-2</v>
      </c>
      <c r="E26" s="170">
        <f>VLOOKUP($C$1,fravær!$B:$I,4,FALSE)</f>
        <v>3.1486072448020097E-2</v>
      </c>
      <c r="F26" s="180"/>
    </row>
    <row r="27" spans="1:6" ht="14.1" customHeight="1" x14ac:dyDescent="0.25">
      <c r="A27" s="210"/>
      <c r="B27" s="60" t="s">
        <v>81</v>
      </c>
      <c r="C27" s="82"/>
      <c r="D27" s="84">
        <f>VLOOKUP($C$1,fravær!$B:$I,3,FALSE)</f>
        <v>5.1113051195167417E-2</v>
      </c>
      <c r="E27" s="170">
        <f>VLOOKUP($C$1,fravær!$B:$I,5,FALSE)</f>
        <v>7.4589884148984584E-2</v>
      </c>
      <c r="F27" s="180"/>
    </row>
    <row r="28" spans="1:6" ht="3" customHeight="1" x14ac:dyDescent="0.25">
      <c r="A28" s="211"/>
      <c r="B28" s="61"/>
      <c r="C28" s="83"/>
      <c r="D28" s="83"/>
      <c r="E28" s="169"/>
      <c r="F28" s="179"/>
    </row>
    <row r="29" spans="1:6" ht="14.1" customHeight="1" x14ac:dyDescent="0.25">
      <c r="A29" s="211"/>
      <c r="B29" s="92" t="s">
        <v>147</v>
      </c>
      <c r="C29" s="82"/>
      <c r="D29" s="84"/>
      <c r="E29" s="173">
        <f>VLOOKUP($C$1,trivsel!$B:$O,2,FALSE)</f>
        <v>3.7</v>
      </c>
      <c r="F29" s="182"/>
    </row>
    <row r="30" spans="1:6" ht="3" customHeight="1" x14ac:dyDescent="0.25">
      <c r="A30" s="52"/>
      <c r="B30" s="61"/>
      <c r="C30" s="83"/>
      <c r="D30" s="83"/>
      <c r="E30" s="169"/>
      <c r="F30" s="179"/>
    </row>
    <row r="31" spans="1:6" ht="14.1" customHeight="1" x14ac:dyDescent="0.25">
      <c r="A31" s="207" t="s">
        <v>90</v>
      </c>
      <c r="B31" s="60" t="s">
        <v>91</v>
      </c>
      <c r="C31" s="82"/>
      <c r="D31" s="82"/>
      <c r="E31" s="173" t="str">
        <f>VLOOKUP($C$1,KIDS!$B:$O,2,FALSE)</f>
        <v>21.09.23</v>
      </c>
      <c r="F31" s="182"/>
    </row>
    <row r="32" spans="1:6" ht="14.1" customHeight="1" x14ac:dyDescent="0.25">
      <c r="A32" s="207"/>
      <c r="B32" s="60" t="s">
        <v>151</v>
      </c>
      <c r="C32" s="82"/>
      <c r="D32" s="82"/>
      <c r="E32" s="173">
        <f>VLOOKUP($C$1,KIDS!$B:$O,3,FALSE)</f>
        <v>47.9</v>
      </c>
      <c r="F32" s="182"/>
    </row>
    <row r="33" spans="1:7" ht="14.1" customHeight="1" x14ac:dyDescent="0.25">
      <c r="A33" s="207"/>
      <c r="B33" s="60" t="s">
        <v>152</v>
      </c>
      <c r="C33" s="82"/>
      <c r="D33" s="82"/>
      <c r="E33" s="173">
        <f>VLOOKUP($C$1,KIDS!$B:$O,4,FALSE)</f>
        <v>45</v>
      </c>
      <c r="F33" s="182"/>
    </row>
    <row r="34" spans="1:7" ht="14.1" customHeight="1" x14ac:dyDescent="0.25">
      <c r="A34" s="207"/>
      <c r="B34" s="60" t="s">
        <v>153</v>
      </c>
      <c r="C34" s="82"/>
      <c r="D34" s="82"/>
      <c r="E34" s="173">
        <f>VLOOKUP($C$1,KIDS!$B:$O,5,FALSE)</f>
        <v>65.5</v>
      </c>
      <c r="F34" s="182"/>
    </row>
    <row r="35" spans="1:7" ht="14.1" customHeight="1" x14ac:dyDescent="0.25">
      <c r="A35" s="207"/>
      <c r="B35" s="60" t="s">
        <v>154</v>
      </c>
      <c r="C35" s="82"/>
      <c r="D35" s="82"/>
      <c r="E35" s="173">
        <f>VLOOKUP($C$1,KIDS!$B:$O,6,FALSE)</f>
        <v>53.7</v>
      </c>
      <c r="F35" s="182"/>
    </row>
    <row r="36" spans="1:7" ht="14.1" customHeight="1" x14ac:dyDescent="0.25">
      <c r="A36" s="208"/>
      <c r="B36" s="60" t="s">
        <v>155</v>
      </c>
      <c r="C36" s="82"/>
      <c r="D36" s="82"/>
      <c r="E36" s="173" t="str">
        <f>VLOOKUP($C$1,KIDS!$B:$O,7,FALSE)</f>
        <v>-</v>
      </c>
      <c r="F36" s="182"/>
    </row>
    <row r="37" spans="1:7" ht="3" customHeight="1" x14ac:dyDescent="0.25">
      <c r="A37" s="52"/>
      <c r="B37" s="61"/>
      <c r="C37" s="83"/>
      <c r="D37" s="83"/>
      <c r="E37" s="169"/>
      <c r="F37" s="179"/>
    </row>
    <row r="38" spans="1:7" ht="14.1" customHeight="1" x14ac:dyDescent="0.25">
      <c r="A38" s="207" t="s">
        <v>156</v>
      </c>
      <c r="B38" s="60" t="s">
        <v>134</v>
      </c>
      <c r="C38" s="86">
        <f>VLOOKUP($C$1,kortlægning!$B:$L,2,FALSE)</f>
        <v>512</v>
      </c>
      <c r="D38" s="86"/>
      <c r="E38" s="174">
        <f>VLOOKUP($C$1,kortlægning!$B:$L,6,FALSE)</f>
        <v>511</v>
      </c>
      <c r="F38" s="183"/>
      <c r="G38" s="44"/>
    </row>
    <row r="39" spans="1:7" ht="14.1" customHeight="1" x14ac:dyDescent="0.25">
      <c r="A39" s="209"/>
      <c r="B39" s="60" t="s">
        <v>8</v>
      </c>
      <c r="C39" s="86">
        <f>VLOOKUP($C$1,kortlægning!$B:$L,3,FALSE)</f>
        <v>531</v>
      </c>
      <c r="D39" s="86"/>
      <c r="E39" s="174">
        <f>VLOOKUP($C$1,kortlægning!$B:$L,7,FALSE)</f>
        <v>456</v>
      </c>
      <c r="F39" s="183"/>
      <c r="G39" s="44"/>
    </row>
    <row r="40" spans="1:7" ht="14.1" customHeight="1" x14ac:dyDescent="0.25">
      <c r="A40" s="209"/>
      <c r="B40" s="60" t="s">
        <v>142</v>
      </c>
      <c r="C40" s="87">
        <f>VLOOKUP($C$1,kortlægning!$B:$L,4,FALSE)</f>
        <v>543</v>
      </c>
      <c r="D40" s="86"/>
      <c r="E40" s="175">
        <f>VLOOKUP($C$1,kortlægning!$B:$L,8,FALSE)</f>
        <v>479</v>
      </c>
      <c r="F40" s="184"/>
      <c r="G40" s="44"/>
    </row>
    <row r="41" spans="1:7" ht="14.1" customHeight="1" x14ac:dyDescent="0.25">
      <c r="A41" s="209"/>
      <c r="B41" s="60" t="s">
        <v>143</v>
      </c>
      <c r="C41" s="87">
        <f>VLOOKUP($C$1,kortlægning!$B:$L,5,FALSE)</f>
        <v>527</v>
      </c>
      <c r="D41" s="86"/>
      <c r="E41" s="175">
        <f>VLOOKUP($C$1,kortlægning!$B:$L,9,FALSE)</f>
        <v>507</v>
      </c>
      <c r="F41" s="184"/>
      <c r="G41" s="44"/>
    </row>
    <row r="42" spans="1:7" ht="3" customHeight="1" x14ac:dyDescent="0.25">
      <c r="A42" s="53"/>
      <c r="B42" s="61"/>
      <c r="C42" s="88"/>
      <c r="D42" s="88"/>
      <c r="E42" s="176"/>
      <c r="F42" s="185"/>
      <c r="G42" s="44"/>
    </row>
    <row r="43" spans="1:7" ht="23.1" customHeight="1" x14ac:dyDescent="0.25">
      <c r="A43" s="207" t="s">
        <v>157</v>
      </c>
      <c r="B43" s="62" t="s">
        <v>144</v>
      </c>
      <c r="C43" s="89" t="str">
        <f>VLOOKUP($C$1,'nat brug 21'!$B:$K,3,FALSE)</f>
        <v>to datasæt</v>
      </c>
      <c r="D43" s="84"/>
      <c r="E43" s="170"/>
      <c r="F43" s="180"/>
    </row>
    <row r="44" spans="1:7" ht="23.1" customHeight="1" thickBot="1" x14ac:dyDescent="0.3">
      <c r="A44" s="208"/>
      <c r="B44" s="63" t="s">
        <v>145</v>
      </c>
      <c r="C44" s="90" t="str">
        <f>VLOOKUP($C$1,'nat brug 21'!$B:$K,2,FALSE)</f>
        <v>to datasæt</v>
      </c>
      <c r="D44" s="91"/>
      <c r="E44" s="177"/>
      <c r="F44" s="178"/>
    </row>
    <row r="45" spans="1:7" ht="3" customHeight="1" thickBot="1" x14ac:dyDescent="0.3">
      <c r="A45" s="54"/>
      <c r="B45" s="55"/>
      <c r="C45" s="204"/>
      <c r="D45" s="165"/>
      <c r="E45" s="205"/>
      <c r="F45" s="165"/>
    </row>
    <row r="46" spans="1:7" ht="70.5" customHeight="1" thickBot="1" x14ac:dyDescent="0.3">
      <c r="A46" s="58" t="s">
        <v>127</v>
      </c>
      <c r="B46" s="93" t="s">
        <v>128</v>
      </c>
      <c r="C46" s="212" t="str">
        <f>VLOOKUP($C$1,OPS!B:N,2,FALSE)</f>
        <v>Ingen bemærkninger</v>
      </c>
      <c r="D46" s="213" t="e">
        <f>VLOOKUP($C$1,'børn oktober'!C:O,4,FALSE)</f>
        <v>#N/A</v>
      </c>
      <c r="E46" s="213" t="e">
        <f>VLOOKUP($C$1,'børn oktober'!D:P,4,FALSE)</f>
        <v>#N/A</v>
      </c>
      <c r="F46" s="213"/>
    </row>
    <row r="48" spans="1:7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</sheetData>
  <sheetProtection algorithmName="SHA-512" hashValue="0yjjITnFTL8Z5Rzad5bYCMAVMWLmvYiKLaP4MEPCnWhbfHFfpy2ayWB+/4YkP8WbTgINKUia8amcKARB5Uyjrw==" saltValue="AFz7Op4Zuodb4e6vbBm93w==" spinCount="100000" sheet="1" objects="1" scenarios="1"/>
  <mergeCells count="10">
    <mergeCell ref="A5:A8"/>
    <mergeCell ref="A14:A17"/>
    <mergeCell ref="A19:A20"/>
    <mergeCell ref="A10:A12"/>
    <mergeCell ref="C1:F1"/>
    <mergeCell ref="A31:A36"/>
    <mergeCell ref="A43:A44"/>
    <mergeCell ref="A38:A41"/>
    <mergeCell ref="A22:A29"/>
    <mergeCell ref="C46:F46"/>
  </mergeCells>
  <dataValidations count="1">
    <dataValidation type="list" allowBlank="1" showInputMessage="1" showErrorMessage="1" sqref="C2">
      <formula1>Dagtilbud</formula1>
    </dataValidation>
  </dataValidations>
  <pageMargins left="0.7" right="0.7" top="0.75" bottom="0.75" header="0.3" footer="0.3"/>
  <pageSetup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Dagtilbud!$B$2:$B$50</xm:f>
          </x14:formula1>
          <xm:sqref>C1:E1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51"/>
  <sheetViews>
    <sheetView workbookViewId="0">
      <selection activeCell="D38" sqref="D38"/>
    </sheetView>
  </sheetViews>
  <sheetFormatPr defaultColWidth="9.140625" defaultRowHeight="15" x14ac:dyDescent="0.25"/>
  <cols>
    <col min="1" max="1" width="33" style="1" bestFit="1" customWidth="1"/>
    <col min="2" max="2" width="51.85546875" style="1" bestFit="1" customWidth="1"/>
    <col min="3" max="3" width="21.85546875" style="1" bestFit="1" customWidth="1"/>
    <col min="4" max="4" width="20" style="39" bestFit="1" customWidth="1"/>
    <col min="5" max="5" width="20" style="1" bestFit="1" customWidth="1"/>
    <col min="6" max="16384" width="9.140625" style="1"/>
  </cols>
  <sheetData>
    <row r="1" spans="1:7" x14ac:dyDescent="0.25">
      <c r="A1" s="24"/>
      <c r="B1" s="24"/>
      <c r="C1" s="25" t="s">
        <v>94</v>
      </c>
      <c r="D1" s="39" t="s">
        <v>100</v>
      </c>
      <c r="E1" s="1" t="s">
        <v>101</v>
      </c>
    </row>
    <row r="2" spans="1:7" x14ac:dyDescent="0.25">
      <c r="A2" s="23" t="s">
        <v>23</v>
      </c>
      <c r="B2" s="23" t="s">
        <v>74</v>
      </c>
      <c r="C2" s="1" t="s">
        <v>102</v>
      </c>
      <c r="D2" s="39" t="s">
        <v>179</v>
      </c>
      <c r="E2" s="1" t="s">
        <v>179</v>
      </c>
    </row>
    <row r="3" spans="1:7" x14ac:dyDescent="0.25">
      <c r="A3" s="23">
        <v>51401</v>
      </c>
      <c r="B3" s="22" t="s">
        <v>28</v>
      </c>
      <c r="C3" s="138" t="s">
        <v>210</v>
      </c>
      <c r="D3" s="39">
        <v>1</v>
      </c>
      <c r="E3" s="2"/>
      <c r="G3" s="22"/>
    </row>
    <row r="4" spans="1:7" x14ac:dyDescent="0.25">
      <c r="A4" s="23">
        <v>51421</v>
      </c>
      <c r="B4" s="22" t="s">
        <v>29</v>
      </c>
      <c r="C4" s="138" t="s">
        <v>210</v>
      </c>
      <c r="D4" s="39">
        <v>0</v>
      </c>
      <c r="G4" s="22"/>
    </row>
    <row r="5" spans="1:7" x14ac:dyDescent="0.25">
      <c r="A5" s="23">
        <v>51402</v>
      </c>
      <c r="B5" s="22" t="s">
        <v>30</v>
      </c>
      <c r="C5" s="138" t="s">
        <v>210</v>
      </c>
      <c r="D5" s="39">
        <v>0</v>
      </c>
      <c r="E5" s="2"/>
      <c r="G5" s="22"/>
    </row>
    <row r="6" spans="1:7" x14ac:dyDescent="0.25">
      <c r="A6" s="23">
        <v>51404</v>
      </c>
      <c r="B6" s="22" t="s">
        <v>31</v>
      </c>
      <c r="C6" s="138" t="s">
        <v>210</v>
      </c>
      <c r="D6" s="39">
        <v>2</v>
      </c>
      <c r="G6" s="22"/>
    </row>
    <row r="7" spans="1:7" x14ac:dyDescent="0.25">
      <c r="A7" s="23">
        <v>51406</v>
      </c>
      <c r="B7" s="22" t="s">
        <v>32</v>
      </c>
      <c r="C7" s="138" t="s">
        <v>210</v>
      </c>
      <c r="D7" s="39">
        <v>0</v>
      </c>
      <c r="G7" s="22"/>
    </row>
    <row r="8" spans="1:7" x14ac:dyDescent="0.25">
      <c r="A8" s="23">
        <v>51407</v>
      </c>
      <c r="B8" s="22" t="s">
        <v>33</v>
      </c>
      <c r="C8" s="138" t="s">
        <v>210</v>
      </c>
      <c r="D8" s="39">
        <v>0</v>
      </c>
      <c r="G8" s="22"/>
    </row>
    <row r="9" spans="1:7" x14ac:dyDescent="0.25">
      <c r="A9" s="23">
        <v>51422</v>
      </c>
      <c r="B9" s="22" t="s">
        <v>105</v>
      </c>
      <c r="C9" s="138" t="s">
        <v>210</v>
      </c>
      <c r="D9" s="39">
        <v>0</v>
      </c>
      <c r="G9" s="22"/>
    </row>
    <row r="10" spans="1:7" x14ac:dyDescent="0.25">
      <c r="A10" s="23">
        <v>51432</v>
      </c>
      <c r="B10" s="22" t="s">
        <v>51</v>
      </c>
      <c r="C10" s="138" t="s">
        <v>210</v>
      </c>
      <c r="D10" s="39">
        <v>12</v>
      </c>
      <c r="G10" s="22"/>
    </row>
    <row r="11" spans="1:7" x14ac:dyDescent="0.25">
      <c r="A11" s="23">
        <v>51428</v>
      </c>
      <c r="B11" s="22" t="s">
        <v>48</v>
      </c>
      <c r="C11" s="138" t="s">
        <v>210</v>
      </c>
      <c r="D11" s="39">
        <v>0</v>
      </c>
      <c r="G11" s="22"/>
    </row>
    <row r="12" spans="1:7" x14ac:dyDescent="0.25">
      <c r="A12" s="23">
        <v>51438</v>
      </c>
      <c r="B12" s="22" t="s">
        <v>52</v>
      </c>
      <c r="C12" s="138" t="s">
        <v>210</v>
      </c>
      <c r="D12" s="39">
        <v>0</v>
      </c>
      <c r="G12" s="22"/>
    </row>
    <row r="13" spans="1:7" x14ac:dyDescent="0.25">
      <c r="A13" s="23">
        <v>51405</v>
      </c>
      <c r="B13" s="22" t="s">
        <v>34</v>
      </c>
      <c r="C13" s="138" t="s">
        <v>210</v>
      </c>
      <c r="D13" s="39">
        <v>0</v>
      </c>
      <c r="G13" s="22"/>
    </row>
    <row r="14" spans="1:7" x14ac:dyDescent="0.25">
      <c r="A14" s="23">
        <v>30824</v>
      </c>
      <c r="B14" s="22" t="s">
        <v>62</v>
      </c>
      <c r="C14" s="138" t="s">
        <v>210</v>
      </c>
      <c r="D14" s="39">
        <v>22</v>
      </c>
      <c r="E14" s="2"/>
      <c r="G14" s="27"/>
    </row>
    <row r="15" spans="1:7" x14ac:dyDescent="0.25">
      <c r="A15" s="23">
        <v>51409</v>
      </c>
      <c r="B15" s="22" t="s">
        <v>35</v>
      </c>
      <c r="C15" s="138" t="s">
        <v>210</v>
      </c>
      <c r="D15" s="39">
        <v>0</v>
      </c>
      <c r="G15" s="22"/>
    </row>
    <row r="16" spans="1:7" x14ac:dyDescent="0.25">
      <c r="A16" s="23">
        <v>51423</v>
      </c>
      <c r="B16" s="22" t="s">
        <v>60</v>
      </c>
      <c r="C16" s="138" t="s">
        <v>210</v>
      </c>
      <c r="D16" s="39">
        <v>0</v>
      </c>
      <c r="G16" s="22"/>
    </row>
    <row r="17" spans="1:7" x14ac:dyDescent="0.25">
      <c r="A17" s="23">
        <v>51410</v>
      </c>
      <c r="B17" s="22" t="s">
        <v>36</v>
      </c>
      <c r="C17" s="138" t="s">
        <v>210</v>
      </c>
      <c r="D17" s="39">
        <v>0</v>
      </c>
      <c r="G17" s="22"/>
    </row>
    <row r="18" spans="1:7" x14ac:dyDescent="0.25">
      <c r="A18" s="23">
        <v>51424</v>
      </c>
      <c r="B18" s="22" t="s">
        <v>106</v>
      </c>
      <c r="C18" s="138" t="s">
        <v>210</v>
      </c>
      <c r="D18" s="39">
        <v>0</v>
      </c>
      <c r="G18" s="22"/>
    </row>
    <row r="19" spans="1:7" x14ac:dyDescent="0.25">
      <c r="A19" s="23">
        <v>51416</v>
      </c>
      <c r="B19" s="22" t="s">
        <v>37</v>
      </c>
      <c r="C19" s="138" t="s">
        <v>210</v>
      </c>
      <c r="D19" s="39">
        <v>0</v>
      </c>
      <c r="G19" s="22"/>
    </row>
    <row r="20" spans="1:7" x14ac:dyDescent="0.25">
      <c r="A20" s="23">
        <v>51420</v>
      </c>
      <c r="B20" s="22" t="s">
        <v>109</v>
      </c>
      <c r="C20" s="138" t="s">
        <v>210</v>
      </c>
      <c r="D20" s="39">
        <v>0</v>
      </c>
      <c r="G20" s="22"/>
    </row>
    <row r="21" spans="1:7" x14ac:dyDescent="0.25">
      <c r="A21" s="23">
        <v>51425</v>
      </c>
      <c r="B21" s="22" t="s">
        <v>50</v>
      </c>
      <c r="C21" s="138" t="s">
        <v>210</v>
      </c>
      <c r="D21" s="39">
        <v>2</v>
      </c>
      <c r="G21" s="22"/>
    </row>
    <row r="22" spans="1:7" x14ac:dyDescent="0.25">
      <c r="A22" s="23">
        <v>51427</v>
      </c>
      <c r="B22" s="22" t="s">
        <v>66</v>
      </c>
      <c r="C22" s="138" t="s">
        <v>210</v>
      </c>
      <c r="D22" s="39">
        <v>0</v>
      </c>
      <c r="G22" s="22"/>
    </row>
    <row r="23" spans="1:7" x14ac:dyDescent="0.25">
      <c r="A23" s="23">
        <v>51429</v>
      </c>
      <c r="B23" s="22" t="s">
        <v>49</v>
      </c>
      <c r="C23" s="138" t="s">
        <v>210</v>
      </c>
      <c r="D23" s="39">
        <v>0</v>
      </c>
      <c r="G23" s="22"/>
    </row>
    <row r="24" spans="1:7" x14ac:dyDescent="0.25">
      <c r="A24" s="23">
        <v>51430</v>
      </c>
      <c r="B24" s="22" t="s">
        <v>59</v>
      </c>
      <c r="C24" s="138" t="s">
        <v>210</v>
      </c>
      <c r="D24" s="39">
        <v>0</v>
      </c>
      <c r="G24" s="22"/>
    </row>
    <row r="25" spans="1:7" x14ac:dyDescent="0.25">
      <c r="A25" s="23">
        <v>51431</v>
      </c>
      <c r="B25" s="22" t="s">
        <v>58</v>
      </c>
      <c r="C25" s="138" t="s">
        <v>210</v>
      </c>
      <c r="D25" s="39">
        <v>2</v>
      </c>
      <c r="G25" s="22"/>
    </row>
    <row r="26" spans="1:7" x14ac:dyDescent="0.25">
      <c r="A26" s="22">
        <v>51436</v>
      </c>
      <c r="B26" s="22" t="s">
        <v>67</v>
      </c>
      <c r="C26" s="138" t="s">
        <v>210</v>
      </c>
      <c r="D26" s="39">
        <v>0</v>
      </c>
      <c r="G26" s="22"/>
    </row>
    <row r="27" spans="1:7" x14ac:dyDescent="0.25">
      <c r="A27" s="23">
        <v>51434</v>
      </c>
      <c r="B27" s="22" t="s">
        <v>107</v>
      </c>
      <c r="C27" s="138" t="s">
        <v>210</v>
      </c>
      <c r="D27" s="39">
        <v>0</v>
      </c>
      <c r="G27" s="22"/>
    </row>
    <row r="28" spans="1:7" x14ac:dyDescent="0.25">
      <c r="A28" s="23">
        <v>51439</v>
      </c>
      <c r="B28" s="22" t="s">
        <v>53</v>
      </c>
      <c r="C28" s="138" t="s">
        <v>210</v>
      </c>
      <c r="D28" s="39">
        <v>0</v>
      </c>
      <c r="G28" s="22"/>
    </row>
    <row r="29" spans="1:7" x14ac:dyDescent="0.25">
      <c r="A29" s="23">
        <v>51440</v>
      </c>
      <c r="B29" s="22" t="s">
        <v>68</v>
      </c>
      <c r="C29" s="138" t="s">
        <v>210</v>
      </c>
      <c r="D29" s="39">
        <v>0</v>
      </c>
      <c r="G29" s="22"/>
    </row>
    <row r="30" spans="1:7" x14ac:dyDescent="0.25">
      <c r="A30" s="23">
        <v>51441</v>
      </c>
      <c r="B30" s="22" t="s">
        <v>54</v>
      </c>
      <c r="C30" s="138" t="s">
        <v>210</v>
      </c>
      <c r="D30" s="39">
        <v>11</v>
      </c>
      <c r="G30" s="22"/>
    </row>
    <row r="31" spans="1:7" x14ac:dyDescent="0.25">
      <c r="A31" s="23">
        <v>51442</v>
      </c>
      <c r="B31" s="22" t="s">
        <v>55</v>
      </c>
      <c r="C31" s="138" t="s">
        <v>210</v>
      </c>
      <c r="D31" s="39">
        <v>5</v>
      </c>
      <c r="G31" s="22"/>
    </row>
    <row r="32" spans="1:7" x14ac:dyDescent="0.25">
      <c r="A32" s="23">
        <v>51105</v>
      </c>
      <c r="B32" s="27" t="s">
        <v>5</v>
      </c>
      <c r="C32" s="138" t="s">
        <v>210</v>
      </c>
      <c r="D32" s="39">
        <v>2</v>
      </c>
      <c r="E32" s="2"/>
      <c r="G32" s="22"/>
    </row>
    <row r="33" spans="1:7" ht="15.75" customHeight="1" x14ac:dyDescent="0.25">
      <c r="A33" s="23">
        <v>30508</v>
      </c>
      <c r="B33" s="22" t="s">
        <v>46</v>
      </c>
      <c r="C33" s="138" t="s">
        <v>210</v>
      </c>
      <c r="D33" s="39">
        <v>0</v>
      </c>
      <c r="E33" s="2"/>
      <c r="G33" s="22"/>
    </row>
    <row r="34" spans="1:7" x14ac:dyDescent="0.25">
      <c r="A34" s="23">
        <v>51426</v>
      </c>
      <c r="B34" s="22" t="s">
        <v>38</v>
      </c>
      <c r="C34" s="138" t="s">
        <v>210</v>
      </c>
      <c r="D34" s="39">
        <v>5</v>
      </c>
      <c r="G34" s="22"/>
    </row>
    <row r="35" spans="1:7" x14ac:dyDescent="0.25">
      <c r="A35" s="23">
        <v>30509</v>
      </c>
      <c r="B35" s="22" t="s">
        <v>39</v>
      </c>
      <c r="C35" s="138" t="s">
        <v>210</v>
      </c>
      <c r="D35" s="39">
        <v>0</v>
      </c>
      <c r="E35" s="2"/>
      <c r="G35" s="22"/>
    </row>
    <row r="36" spans="1:7" x14ac:dyDescent="0.25">
      <c r="A36" s="115">
        <v>60000</v>
      </c>
      <c r="B36" s="27" t="s">
        <v>111</v>
      </c>
      <c r="C36" s="138" t="s">
        <v>210</v>
      </c>
      <c r="D36" s="118" t="s">
        <v>27</v>
      </c>
      <c r="E36" s="39"/>
      <c r="G36" s="22"/>
    </row>
    <row r="37" spans="1:7" x14ac:dyDescent="0.25">
      <c r="A37" s="23" t="s">
        <v>135</v>
      </c>
      <c r="B37" s="27" t="s">
        <v>136</v>
      </c>
      <c r="C37" s="138" t="s">
        <v>210</v>
      </c>
      <c r="D37" s="39">
        <v>68</v>
      </c>
      <c r="G37" s="22"/>
    </row>
    <row r="38" spans="1:7" x14ac:dyDescent="0.25">
      <c r="A38" s="23">
        <v>51433</v>
      </c>
      <c r="B38" s="22" t="s">
        <v>40</v>
      </c>
      <c r="C38" s="138" t="s">
        <v>210</v>
      </c>
      <c r="D38" s="39">
        <v>0</v>
      </c>
      <c r="G38" s="22"/>
    </row>
    <row r="39" spans="1:7" x14ac:dyDescent="0.25">
      <c r="A39" s="23">
        <v>51435</v>
      </c>
      <c r="B39" s="22" t="s">
        <v>41</v>
      </c>
      <c r="C39" s="138" t="s">
        <v>210</v>
      </c>
      <c r="D39" s="39">
        <v>1</v>
      </c>
      <c r="G39" s="22"/>
    </row>
    <row r="40" spans="1:7" x14ac:dyDescent="0.25">
      <c r="A40" s="23">
        <v>51437</v>
      </c>
      <c r="B40" s="22" t="s">
        <v>0</v>
      </c>
      <c r="C40" s="138" t="s">
        <v>210</v>
      </c>
      <c r="D40" s="39">
        <v>3</v>
      </c>
      <c r="G40" s="22"/>
    </row>
    <row r="41" spans="1:7" x14ac:dyDescent="0.25">
      <c r="A41" s="23">
        <v>1</v>
      </c>
      <c r="B41" s="22" t="s">
        <v>45</v>
      </c>
      <c r="C41" s="138" t="s">
        <v>210</v>
      </c>
      <c r="D41" s="39" t="s">
        <v>108</v>
      </c>
      <c r="E41" s="39"/>
      <c r="G41" s="22"/>
    </row>
    <row r="42" spans="1:7" x14ac:dyDescent="0.25">
      <c r="A42" s="23">
        <v>2</v>
      </c>
      <c r="B42" s="22" t="s">
        <v>47</v>
      </c>
      <c r="C42" s="138" t="s">
        <v>210</v>
      </c>
      <c r="D42" s="39" t="s">
        <v>108</v>
      </c>
      <c r="E42" s="39"/>
      <c r="G42" s="22"/>
    </row>
    <row r="43" spans="1:7" x14ac:dyDescent="0.25">
      <c r="A43" s="23" t="s">
        <v>137</v>
      </c>
      <c r="B43" s="27" t="s">
        <v>138</v>
      </c>
      <c r="C43" s="138" t="s">
        <v>210</v>
      </c>
      <c r="D43" s="39" t="s">
        <v>108</v>
      </c>
      <c r="E43" s="39"/>
      <c r="G43" s="22"/>
    </row>
    <row r="44" spans="1:7" x14ac:dyDescent="0.25">
      <c r="A44" s="23">
        <v>3</v>
      </c>
      <c r="B44" s="22" t="s">
        <v>57</v>
      </c>
      <c r="C44" s="138" t="s">
        <v>210</v>
      </c>
      <c r="D44" s="39" t="s">
        <v>108</v>
      </c>
      <c r="E44" s="39"/>
      <c r="G44" s="22"/>
    </row>
    <row r="45" spans="1:7" x14ac:dyDescent="0.25">
      <c r="A45" s="23">
        <v>4</v>
      </c>
      <c r="B45" s="22" t="s">
        <v>56</v>
      </c>
      <c r="C45" s="138" t="s">
        <v>210</v>
      </c>
      <c r="D45" s="39" t="s">
        <v>108</v>
      </c>
      <c r="E45" s="39"/>
      <c r="G45" s="22"/>
    </row>
    <row r="46" spans="1:7" x14ac:dyDescent="0.25">
      <c r="A46" s="22">
        <v>5</v>
      </c>
      <c r="B46" s="22" t="s">
        <v>65</v>
      </c>
      <c r="C46" s="138" t="s">
        <v>210</v>
      </c>
      <c r="D46" s="39" t="s">
        <v>108</v>
      </c>
      <c r="E46" s="39"/>
      <c r="G46" s="22"/>
    </row>
    <row r="47" spans="1:7" x14ac:dyDescent="0.25">
      <c r="A47" s="22">
        <v>6</v>
      </c>
      <c r="B47" s="22" t="s">
        <v>61</v>
      </c>
      <c r="C47" s="138" t="s">
        <v>210</v>
      </c>
      <c r="D47" s="39" t="s">
        <v>108</v>
      </c>
      <c r="E47" s="39"/>
      <c r="G47" s="22"/>
    </row>
    <row r="48" spans="1:7" x14ac:dyDescent="0.25">
      <c r="A48" s="22">
        <v>7</v>
      </c>
      <c r="B48" s="22" t="s">
        <v>64</v>
      </c>
      <c r="C48" s="138" t="s">
        <v>210</v>
      </c>
      <c r="D48" s="39" t="s">
        <v>108</v>
      </c>
      <c r="E48" s="39"/>
      <c r="G48" s="22"/>
    </row>
    <row r="49" spans="1:5" x14ac:dyDescent="0.25">
      <c r="A49" s="22">
        <v>8</v>
      </c>
      <c r="B49" s="22" t="s">
        <v>63</v>
      </c>
      <c r="C49" s="138" t="s">
        <v>210</v>
      </c>
      <c r="D49" s="39" t="s">
        <v>108</v>
      </c>
      <c r="E49" s="39"/>
    </row>
    <row r="50" spans="1:5" x14ac:dyDescent="0.25">
      <c r="A50" s="22">
        <v>51418</v>
      </c>
      <c r="B50" s="22" t="s">
        <v>26</v>
      </c>
      <c r="C50" s="138" t="s">
        <v>210</v>
      </c>
      <c r="D50" s="39">
        <v>0</v>
      </c>
    </row>
    <row r="51" spans="1:5" x14ac:dyDescent="0.25">
      <c r="A51" s="22">
        <v>51411</v>
      </c>
      <c r="B51" s="22" t="s">
        <v>1</v>
      </c>
      <c r="C51" s="138" t="s">
        <v>210</v>
      </c>
      <c r="D51" s="39">
        <v>0</v>
      </c>
    </row>
  </sheetData>
  <sortState ref="A3:E51">
    <sortCondition ref="B3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opLeftCell="A17" workbookViewId="0">
      <selection activeCell="C1" sqref="C1:F1"/>
    </sheetView>
  </sheetViews>
  <sheetFormatPr defaultRowHeight="15" x14ac:dyDescent="0.25"/>
  <cols>
    <col min="2" max="2" width="38.140625" bestFit="1" customWidth="1"/>
    <col min="3" max="3" width="14.7109375" customWidth="1"/>
    <col min="4" max="4" width="9.7109375" customWidth="1"/>
    <col min="5" max="5" width="31.28515625" customWidth="1"/>
    <col min="6" max="6" width="9.7109375" customWidth="1"/>
    <col min="7" max="7" width="9.5703125" bestFit="1" customWidth="1"/>
    <col min="8" max="8" width="27" bestFit="1" customWidth="1"/>
    <col min="9" max="9" width="19.28515625" bestFit="1" customWidth="1"/>
    <col min="10" max="10" width="12.5703125" customWidth="1"/>
  </cols>
  <sheetData>
    <row r="1" spans="1:18" ht="15.75" thickBot="1" x14ac:dyDescent="0.3">
      <c r="A1" s="1"/>
      <c r="B1" s="1"/>
      <c r="C1" s="19" t="s">
        <v>43</v>
      </c>
      <c r="D1" s="22"/>
      <c r="E1" s="22"/>
      <c r="F1" s="22"/>
      <c r="G1" s="22"/>
      <c r="H1" s="1">
        <v>2022</v>
      </c>
      <c r="I1" s="22">
        <v>2022</v>
      </c>
      <c r="J1" s="1">
        <v>2023</v>
      </c>
      <c r="K1" s="22">
        <v>2023</v>
      </c>
      <c r="L1" s="1"/>
      <c r="M1" s="1"/>
    </row>
    <row r="2" spans="1:18" ht="35.25" customHeight="1" x14ac:dyDescent="0.25">
      <c r="A2" s="1"/>
      <c r="B2" s="5"/>
      <c r="C2" s="20" t="s">
        <v>17</v>
      </c>
      <c r="D2" s="21"/>
      <c r="E2" s="20" t="s">
        <v>18</v>
      </c>
      <c r="F2" s="21"/>
      <c r="G2" s="6" t="s">
        <v>3</v>
      </c>
      <c r="H2" s="7" t="s">
        <v>19</v>
      </c>
      <c r="I2" s="6" t="s">
        <v>20</v>
      </c>
      <c r="J2" s="7" t="s">
        <v>19</v>
      </c>
      <c r="K2" s="6" t="s">
        <v>20</v>
      </c>
      <c r="L2" s="1"/>
      <c r="M2" s="1"/>
    </row>
    <row r="3" spans="1:18" ht="15.75" thickBot="1" x14ac:dyDescent="0.3">
      <c r="A3" s="26" t="s">
        <v>23</v>
      </c>
      <c r="B3" s="26" t="s">
        <v>74</v>
      </c>
      <c r="C3" s="8" t="s">
        <v>21</v>
      </c>
      <c r="D3" s="9" t="s">
        <v>22</v>
      </c>
      <c r="E3" s="8" t="s">
        <v>21</v>
      </c>
      <c r="F3" s="9" t="s">
        <v>22</v>
      </c>
      <c r="G3" s="10"/>
      <c r="H3" s="11"/>
      <c r="I3" s="10"/>
      <c r="J3" s="1"/>
      <c r="K3" s="1"/>
      <c r="L3" s="1"/>
      <c r="M3" s="1"/>
    </row>
    <row r="4" spans="1:18" x14ac:dyDescent="0.25">
      <c r="A4" s="22">
        <v>51401</v>
      </c>
      <c r="B4" s="22" t="s">
        <v>28</v>
      </c>
      <c r="C4" s="12">
        <v>119</v>
      </c>
      <c r="D4" s="13">
        <v>16423.14</v>
      </c>
      <c r="E4" s="12">
        <v>132</v>
      </c>
      <c r="F4" s="13">
        <v>9177.7099999999955</v>
      </c>
      <c r="G4" s="14">
        <f t="shared" ref="G4:G37" si="0">D4+F4</f>
        <v>25600.849999999995</v>
      </c>
      <c r="H4" s="15">
        <f t="shared" ref="H4:H37" si="1">F4/G4</f>
        <v>0.35849239380723674</v>
      </c>
      <c r="I4" s="16">
        <f t="shared" ref="I4:I37" si="2">D4/G4</f>
        <v>0.64150760619276326</v>
      </c>
      <c r="J4" s="124">
        <v>0.34644283155178351</v>
      </c>
      <c r="K4" s="124">
        <v>0.65355716844821654</v>
      </c>
      <c r="L4" s="1"/>
      <c r="M4" s="1"/>
    </row>
    <row r="5" spans="1:18" x14ac:dyDescent="0.25">
      <c r="A5" s="22">
        <v>51402</v>
      </c>
      <c r="B5" s="22" t="s">
        <v>30</v>
      </c>
      <c r="C5" s="12">
        <v>47</v>
      </c>
      <c r="D5" s="13">
        <v>5455.68</v>
      </c>
      <c r="E5" s="12">
        <v>101</v>
      </c>
      <c r="F5" s="13">
        <v>6434.9299999999985</v>
      </c>
      <c r="G5" s="14">
        <f t="shared" si="0"/>
        <v>11890.609999999999</v>
      </c>
      <c r="H5" s="15">
        <f t="shared" si="1"/>
        <v>0.54117745010558749</v>
      </c>
      <c r="I5" s="16">
        <f t="shared" si="2"/>
        <v>0.45882254989441257</v>
      </c>
      <c r="J5" s="124">
        <v>0.55765273849599017</v>
      </c>
      <c r="K5" s="124">
        <v>0.44234726150400977</v>
      </c>
      <c r="L5" s="1" t="s">
        <v>159</v>
      </c>
      <c r="M5" s="1"/>
      <c r="R5" s="1"/>
    </row>
    <row r="6" spans="1:18" x14ac:dyDescent="0.25">
      <c r="A6" s="22">
        <v>51404</v>
      </c>
      <c r="B6" s="22" t="s">
        <v>31</v>
      </c>
      <c r="C6" s="17">
        <v>165</v>
      </c>
      <c r="D6" s="18">
        <v>23780.969999999994</v>
      </c>
      <c r="E6" s="17">
        <v>151</v>
      </c>
      <c r="F6" s="18">
        <v>17328.939999999999</v>
      </c>
      <c r="G6" s="14">
        <f t="shared" si="0"/>
        <v>41109.909999999989</v>
      </c>
      <c r="H6" s="15">
        <f t="shared" si="1"/>
        <v>0.42152707218283875</v>
      </c>
      <c r="I6" s="16">
        <f t="shared" si="2"/>
        <v>0.57847292781716142</v>
      </c>
      <c r="J6" s="124">
        <v>0.43117889939943027</v>
      </c>
      <c r="K6" s="124">
        <v>0.56882110060056978</v>
      </c>
      <c r="L6" s="1" t="s">
        <v>160</v>
      </c>
      <c r="M6" s="1"/>
      <c r="R6" s="1"/>
    </row>
    <row r="7" spans="1:18" x14ac:dyDescent="0.25">
      <c r="A7" s="22">
        <v>51405</v>
      </c>
      <c r="B7" s="22" t="s">
        <v>34</v>
      </c>
      <c r="C7" s="12">
        <v>198</v>
      </c>
      <c r="D7" s="13">
        <v>27841.259999999995</v>
      </c>
      <c r="E7" s="12">
        <v>212</v>
      </c>
      <c r="F7" s="13">
        <v>21694.449999999993</v>
      </c>
      <c r="G7" s="14">
        <f t="shared" si="0"/>
        <v>49535.709999999992</v>
      </c>
      <c r="H7" s="15">
        <f t="shared" si="1"/>
        <v>0.43795576968615163</v>
      </c>
      <c r="I7" s="16">
        <f t="shared" si="2"/>
        <v>0.56204423031384831</v>
      </c>
      <c r="J7" s="124">
        <v>0.40808175952526721</v>
      </c>
      <c r="K7" s="124">
        <v>0.59191824047473274</v>
      </c>
      <c r="L7" s="1" t="s">
        <v>161</v>
      </c>
      <c r="M7" s="1"/>
      <c r="R7" s="1"/>
    </row>
    <row r="8" spans="1:18" x14ac:dyDescent="0.25">
      <c r="A8" s="22">
        <v>51406</v>
      </c>
      <c r="B8" s="22" t="s">
        <v>32</v>
      </c>
      <c r="C8" s="12">
        <v>125</v>
      </c>
      <c r="D8" s="13">
        <v>14377.579999999998</v>
      </c>
      <c r="E8" s="12">
        <v>140</v>
      </c>
      <c r="F8" s="13">
        <v>6876.88</v>
      </c>
      <c r="G8" s="14">
        <f t="shared" si="0"/>
        <v>21254.46</v>
      </c>
      <c r="H8" s="15">
        <f t="shared" si="1"/>
        <v>0.32354997492291032</v>
      </c>
      <c r="I8" s="16">
        <f t="shared" si="2"/>
        <v>0.67645002507708962</v>
      </c>
      <c r="J8" s="124">
        <v>0.3309485439966805</v>
      </c>
      <c r="K8" s="124">
        <v>0.66905145600331961</v>
      </c>
      <c r="L8" s="1"/>
      <c r="M8" s="1"/>
    </row>
    <row r="9" spans="1:18" x14ac:dyDescent="0.25">
      <c r="A9" s="22">
        <v>51407</v>
      </c>
      <c r="B9" s="22" t="s">
        <v>33</v>
      </c>
      <c r="C9" s="17">
        <v>100</v>
      </c>
      <c r="D9" s="18">
        <v>15604.039999999997</v>
      </c>
      <c r="E9" s="17">
        <v>96</v>
      </c>
      <c r="F9" s="18">
        <v>4090.76</v>
      </c>
      <c r="G9" s="14">
        <f t="shared" si="0"/>
        <v>19694.799999999996</v>
      </c>
      <c r="H9" s="15">
        <f t="shared" si="1"/>
        <v>0.20770761825456471</v>
      </c>
      <c r="I9" s="16">
        <f t="shared" si="2"/>
        <v>0.79229238174543537</v>
      </c>
      <c r="J9" s="124">
        <v>0.35300571905720207</v>
      </c>
      <c r="K9" s="124">
        <v>0.64699428094279798</v>
      </c>
      <c r="L9" s="2"/>
      <c r="M9" s="1"/>
    </row>
    <row r="10" spans="1:18" x14ac:dyDescent="0.25">
      <c r="A10" s="22">
        <v>51409</v>
      </c>
      <c r="B10" s="22" t="s">
        <v>35</v>
      </c>
      <c r="C10" s="12">
        <v>128</v>
      </c>
      <c r="D10" s="13">
        <v>16986.46</v>
      </c>
      <c r="E10" s="12">
        <v>160</v>
      </c>
      <c r="F10" s="13">
        <v>6296.29</v>
      </c>
      <c r="G10" s="14">
        <f t="shared" si="0"/>
        <v>23282.75</v>
      </c>
      <c r="H10" s="15">
        <f t="shared" si="1"/>
        <v>0.27042724764042048</v>
      </c>
      <c r="I10" s="16">
        <f t="shared" si="2"/>
        <v>0.72957275235957952</v>
      </c>
      <c r="J10" s="124">
        <v>0.36588813822207311</v>
      </c>
      <c r="K10" s="124">
        <v>0.63411186177792689</v>
      </c>
      <c r="L10" s="1"/>
      <c r="M10" s="1"/>
    </row>
    <row r="11" spans="1:18" x14ac:dyDescent="0.25">
      <c r="A11" s="22">
        <v>51410</v>
      </c>
      <c r="B11" s="22" t="s">
        <v>36</v>
      </c>
      <c r="C11" s="17">
        <v>83</v>
      </c>
      <c r="D11" s="18">
        <v>11058.439999999999</v>
      </c>
      <c r="E11" s="17">
        <v>129</v>
      </c>
      <c r="F11" s="18">
        <v>4844.630000000001</v>
      </c>
      <c r="G11" s="14">
        <f t="shared" si="0"/>
        <v>15903.07</v>
      </c>
      <c r="H11" s="15">
        <f t="shared" si="1"/>
        <v>0.30463489125055737</v>
      </c>
      <c r="I11" s="16">
        <f t="shared" si="2"/>
        <v>0.69536510874944268</v>
      </c>
      <c r="J11" s="124">
        <v>0.41477227783744242</v>
      </c>
      <c r="K11" s="124">
        <v>0.58522772216255758</v>
      </c>
      <c r="L11" s="1"/>
      <c r="M11" s="1"/>
    </row>
    <row r="12" spans="1:18" x14ac:dyDescent="0.25">
      <c r="A12" s="22">
        <v>51411</v>
      </c>
      <c r="B12" s="22" t="s">
        <v>1</v>
      </c>
      <c r="C12" s="17">
        <v>40</v>
      </c>
      <c r="D12" s="18">
        <v>5160.92</v>
      </c>
      <c r="E12" s="17">
        <v>48</v>
      </c>
      <c r="F12" s="18">
        <v>3466.6</v>
      </c>
      <c r="G12" s="14">
        <f t="shared" si="0"/>
        <v>8627.52</v>
      </c>
      <c r="H12" s="15">
        <f t="shared" si="1"/>
        <v>0.40180724008753382</v>
      </c>
      <c r="I12" s="16">
        <f t="shared" si="2"/>
        <v>0.59819275991246612</v>
      </c>
      <c r="J12" s="124">
        <v>0.55151611218857222</v>
      </c>
      <c r="K12" s="124">
        <v>0.44848388781142762</v>
      </c>
      <c r="L12" s="1"/>
      <c r="M12" s="1"/>
    </row>
    <row r="13" spans="1:18" x14ac:dyDescent="0.25">
      <c r="A13" s="22">
        <v>51416</v>
      </c>
      <c r="B13" s="22" t="s">
        <v>37</v>
      </c>
      <c r="C13" s="12">
        <v>84</v>
      </c>
      <c r="D13" s="13">
        <v>11258.079999999998</v>
      </c>
      <c r="E13" s="12">
        <v>88</v>
      </c>
      <c r="F13" s="13">
        <v>10157.209999999999</v>
      </c>
      <c r="G13" s="14">
        <f t="shared" si="0"/>
        <v>21415.289999999997</v>
      </c>
      <c r="H13" s="15">
        <f t="shared" si="1"/>
        <v>0.47429710267757291</v>
      </c>
      <c r="I13" s="16">
        <f t="shared" si="2"/>
        <v>0.52570289732242703</v>
      </c>
      <c r="J13" s="124">
        <v>0.5464519169721691</v>
      </c>
      <c r="K13" s="124">
        <v>0.45354808302783106</v>
      </c>
    </row>
    <row r="14" spans="1:18" x14ac:dyDescent="0.25">
      <c r="A14" s="22">
        <v>51418</v>
      </c>
      <c r="B14" s="22" t="s">
        <v>26</v>
      </c>
      <c r="C14" s="17">
        <v>47</v>
      </c>
      <c r="D14" s="18">
        <v>6578</v>
      </c>
      <c r="E14" s="17">
        <v>36</v>
      </c>
      <c r="F14" s="18">
        <v>4744.92</v>
      </c>
      <c r="G14" s="14">
        <f t="shared" si="0"/>
        <v>11322.92</v>
      </c>
      <c r="H14" s="15">
        <f t="shared" si="1"/>
        <v>0.41905444885241616</v>
      </c>
      <c r="I14" s="16">
        <f t="shared" si="2"/>
        <v>0.58094555114758384</v>
      </c>
      <c r="J14" s="124">
        <v>0.44337282583082188</v>
      </c>
      <c r="K14" s="124">
        <v>0.55662717416917828</v>
      </c>
    </row>
    <row r="15" spans="1:18" x14ac:dyDescent="0.25">
      <c r="A15" s="22">
        <v>51420</v>
      </c>
      <c r="B15" s="22" t="s">
        <v>109</v>
      </c>
      <c r="C15" s="17">
        <v>235</v>
      </c>
      <c r="D15" s="18">
        <v>30918.149999999994</v>
      </c>
      <c r="E15" s="17">
        <v>236</v>
      </c>
      <c r="F15" s="18">
        <v>16258.640000000001</v>
      </c>
      <c r="G15" s="14">
        <f t="shared" si="0"/>
        <v>47176.789999999994</v>
      </c>
      <c r="H15" s="15">
        <f t="shared" si="1"/>
        <v>0.34463218035818044</v>
      </c>
      <c r="I15" s="16">
        <f t="shared" si="2"/>
        <v>0.65536781964181956</v>
      </c>
      <c r="J15" s="124">
        <v>0.32892465291366391</v>
      </c>
      <c r="K15" s="124">
        <v>0.67107534708633609</v>
      </c>
    </row>
    <row r="16" spans="1:18" x14ac:dyDescent="0.25">
      <c r="A16" s="22">
        <v>51421</v>
      </c>
      <c r="B16" s="22" t="s">
        <v>29</v>
      </c>
      <c r="C16" s="17">
        <v>178</v>
      </c>
      <c r="D16" s="18">
        <v>26458.729999999996</v>
      </c>
      <c r="E16" s="17">
        <v>155</v>
      </c>
      <c r="F16" s="18">
        <v>17324.55</v>
      </c>
      <c r="G16" s="14">
        <f t="shared" si="0"/>
        <v>43783.28</v>
      </c>
      <c r="H16" s="15">
        <f t="shared" si="1"/>
        <v>0.39568871952946422</v>
      </c>
      <c r="I16" s="16">
        <f t="shared" si="2"/>
        <v>0.60431128047053573</v>
      </c>
      <c r="J16" s="124">
        <v>0.45091655440580897</v>
      </c>
      <c r="K16" s="124">
        <v>0.54908344559419109</v>
      </c>
    </row>
    <row r="17" spans="1:11" x14ac:dyDescent="0.25">
      <c r="A17" s="22">
        <v>51422</v>
      </c>
      <c r="B17" s="22" t="s">
        <v>105</v>
      </c>
      <c r="C17" s="12">
        <v>257</v>
      </c>
      <c r="D17" s="13">
        <v>32519.32</v>
      </c>
      <c r="E17" s="12">
        <v>358</v>
      </c>
      <c r="F17" s="13">
        <v>29011.159999999989</v>
      </c>
      <c r="G17" s="14">
        <f t="shared" si="0"/>
        <v>61530.479999999989</v>
      </c>
      <c r="H17" s="15">
        <f t="shared" si="1"/>
        <v>0.47149250257758424</v>
      </c>
      <c r="I17" s="16">
        <f t="shared" si="2"/>
        <v>0.52850749742241576</v>
      </c>
      <c r="J17" s="124">
        <v>0.41908146921990586</v>
      </c>
      <c r="K17" s="124">
        <v>0.58091853078009414</v>
      </c>
    </row>
    <row r="18" spans="1:11" x14ac:dyDescent="0.25">
      <c r="A18" s="22">
        <v>51423</v>
      </c>
      <c r="B18" s="22" t="s">
        <v>60</v>
      </c>
      <c r="C18" s="17">
        <v>76</v>
      </c>
      <c r="D18" s="18">
        <v>9255.9399999999987</v>
      </c>
      <c r="E18" s="17">
        <v>112</v>
      </c>
      <c r="F18" s="18">
        <v>7626.6</v>
      </c>
      <c r="G18" s="14">
        <f t="shared" si="0"/>
        <v>16882.54</v>
      </c>
      <c r="H18" s="15">
        <f t="shared" si="1"/>
        <v>0.45174482038840125</v>
      </c>
      <c r="I18" s="16">
        <f t="shared" si="2"/>
        <v>0.54825517961159864</v>
      </c>
      <c r="J18" s="124">
        <v>0.45361528211465885</v>
      </c>
      <c r="K18" s="124">
        <v>0.54638471788534115</v>
      </c>
    </row>
    <row r="19" spans="1:11" x14ac:dyDescent="0.25">
      <c r="A19" s="22">
        <v>51424</v>
      </c>
      <c r="B19" s="22" t="s">
        <v>106</v>
      </c>
      <c r="C19" s="17">
        <v>310</v>
      </c>
      <c r="D19" s="18">
        <v>45313.220000000016</v>
      </c>
      <c r="E19" s="17">
        <v>375</v>
      </c>
      <c r="F19" s="18">
        <v>33800.55000000001</v>
      </c>
      <c r="G19" s="14">
        <f t="shared" si="0"/>
        <v>79113.770000000019</v>
      </c>
      <c r="H19" s="15">
        <f t="shared" si="1"/>
        <v>0.42723978392130729</v>
      </c>
      <c r="I19" s="16">
        <f t="shared" si="2"/>
        <v>0.57276021607869276</v>
      </c>
      <c r="J19" s="124">
        <v>0.42946498067414152</v>
      </c>
      <c r="K19" s="124">
        <v>0.57053501932585848</v>
      </c>
    </row>
    <row r="20" spans="1:11" x14ac:dyDescent="0.25">
      <c r="A20" s="22">
        <v>51425</v>
      </c>
      <c r="B20" s="22" t="s">
        <v>50</v>
      </c>
      <c r="C20" s="17">
        <v>222</v>
      </c>
      <c r="D20" s="18">
        <v>32291.689999999995</v>
      </c>
      <c r="E20" s="17">
        <v>296</v>
      </c>
      <c r="F20" s="18">
        <v>32334.639999999992</v>
      </c>
      <c r="G20" s="14">
        <f t="shared" si="0"/>
        <v>64626.329999999987</v>
      </c>
      <c r="H20" s="15">
        <f t="shared" si="1"/>
        <v>0.5003322949020933</v>
      </c>
      <c r="I20" s="16">
        <f t="shared" si="2"/>
        <v>0.4996677050979067</v>
      </c>
      <c r="J20" s="124">
        <v>0.4845700073786709</v>
      </c>
      <c r="K20" s="124">
        <v>0.51542999262132916</v>
      </c>
    </row>
    <row r="21" spans="1:11" x14ac:dyDescent="0.25">
      <c r="A21" s="22">
        <v>51426</v>
      </c>
      <c r="B21" s="22" t="s">
        <v>38</v>
      </c>
      <c r="C21" s="12">
        <v>171</v>
      </c>
      <c r="D21" s="13">
        <v>25436.199999999993</v>
      </c>
      <c r="E21" s="12">
        <v>295</v>
      </c>
      <c r="F21" s="13">
        <v>19304.829999999998</v>
      </c>
      <c r="G21" s="14">
        <f t="shared" si="0"/>
        <v>44741.029999999992</v>
      </c>
      <c r="H21" s="15">
        <f t="shared" si="1"/>
        <v>0.43147933786951265</v>
      </c>
      <c r="I21" s="16">
        <f t="shared" si="2"/>
        <v>0.56852066213048735</v>
      </c>
      <c r="J21" s="124">
        <v>0.40810126803094837</v>
      </c>
      <c r="K21" s="124">
        <v>0.59189873196905163</v>
      </c>
    </row>
    <row r="22" spans="1:11" x14ac:dyDescent="0.25">
      <c r="A22" s="22">
        <v>51427</v>
      </c>
      <c r="B22" s="22" t="s">
        <v>66</v>
      </c>
      <c r="C22" s="12">
        <v>123</v>
      </c>
      <c r="D22" s="13">
        <v>17264.11</v>
      </c>
      <c r="E22" s="12">
        <v>140</v>
      </c>
      <c r="F22" s="13">
        <v>11713.140000000001</v>
      </c>
      <c r="G22" s="14">
        <f t="shared" si="0"/>
        <v>28977.25</v>
      </c>
      <c r="H22" s="15">
        <f t="shared" si="1"/>
        <v>0.4042184817399857</v>
      </c>
      <c r="I22" s="16">
        <f t="shared" si="2"/>
        <v>0.59578151826001435</v>
      </c>
      <c r="J22" s="124">
        <v>0.41108791423191782</v>
      </c>
      <c r="K22" s="124">
        <v>0.58891208576808218</v>
      </c>
    </row>
    <row r="23" spans="1:11" x14ac:dyDescent="0.25">
      <c r="A23" s="22">
        <v>51428</v>
      </c>
      <c r="B23" s="22" t="s">
        <v>48</v>
      </c>
      <c r="C23" s="12">
        <v>130</v>
      </c>
      <c r="D23" s="13">
        <v>16865.009999999998</v>
      </c>
      <c r="E23" s="12">
        <v>154</v>
      </c>
      <c r="F23" s="13">
        <v>7063.4199999999992</v>
      </c>
      <c r="G23" s="14">
        <f t="shared" si="0"/>
        <v>23928.429999999997</v>
      </c>
      <c r="H23" s="15">
        <f t="shared" si="1"/>
        <v>0.29518944619433873</v>
      </c>
      <c r="I23" s="16">
        <f t="shared" si="2"/>
        <v>0.70481055380566138</v>
      </c>
      <c r="J23" s="124">
        <v>0.31276211396447828</v>
      </c>
      <c r="K23" s="124">
        <v>0.68723788603552161</v>
      </c>
    </row>
    <row r="24" spans="1:11" x14ac:dyDescent="0.25">
      <c r="A24" s="22">
        <v>51429</v>
      </c>
      <c r="B24" s="22" t="s">
        <v>49</v>
      </c>
      <c r="C24" s="12">
        <v>102</v>
      </c>
      <c r="D24" s="13">
        <v>15227.119999999999</v>
      </c>
      <c r="E24" s="12">
        <v>108</v>
      </c>
      <c r="F24" s="13">
        <v>10443.06</v>
      </c>
      <c r="G24" s="14">
        <f t="shared" si="0"/>
        <v>25670.18</v>
      </c>
      <c r="H24" s="15">
        <f t="shared" si="1"/>
        <v>0.40681678118345876</v>
      </c>
      <c r="I24" s="16">
        <f t="shared" si="2"/>
        <v>0.59318321881654112</v>
      </c>
      <c r="J24" s="124">
        <v>0.46366461443538476</v>
      </c>
      <c r="K24" s="124">
        <v>0.53633538556461535</v>
      </c>
    </row>
    <row r="25" spans="1:11" x14ac:dyDescent="0.25">
      <c r="A25" s="22">
        <v>51430</v>
      </c>
      <c r="B25" s="22" t="s">
        <v>59</v>
      </c>
      <c r="C25" s="17">
        <v>96</v>
      </c>
      <c r="D25" s="18">
        <v>14767.799999999997</v>
      </c>
      <c r="E25" s="17">
        <v>164</v>
      </c>
      <c r="F25" s="18">
        <v>8631.8499999999985</v>
      </c>
      <c r="G25" s="14">
        <f t="shared" si="0"/>
        <v>23399.649999999994</v>
      </c>
      <c r="H25" s="15">
        <f t="shared" si="1"/>
        <v>0.36888799618797719</v>
      </c>
      <c r="I25" s="16">
        <f t="shared" si="2"/>
        <v>0.63111200381202293</v>
      </c>
      <c r="J25" s="124">
        <v>0.34882943053717247</v>
      </c>
      <c r="K25" s="124">
        <v>0.65117056946282759</v>
      </c>
    </row>
    <row r="26" spans="1:11" x14ac:dyDescent="0.25">
      <c r="A26" s="22">
        <v>51431</v>
      </c>
      <c r="B26" s="22" t="s">
        <v>58</v>
      </c>
      <c r="C26" s="12">
        <v>517</v>
      </c>
      <c r="D26" s="13">
        <v>61302.999999999971</v>
      </c>
      <c r="E26" s="12">
        <v>636</v>
      </c>
      <c r="F26" s="13">
        <v>32781.239999999991</v>
      </c>
      <c r="G26" s="14">
        <f t="shared" si="0"/>
        <v>94084.239999999962</v>
      </c>
      <c r="H26" s="15">
        <f t="shared" si="1"/>
        <v>0.34842434822240159</v>
      </c>
      <c r="I26" s="16">
        <f t="shared" si="2"/>
        <v>0.65157565177759846</v>
      </c>
      <c r="J26" s="124">
        <v>0.36982412861676794</v>
      </c>
      <c r="K26" s="124">
        <v>0.63017587138323217</v>
      </c>
    </row>
    <row r="27" spans="1:11" x14ac:dyDescent="0.25">
      <c r="A27" s="22">
        <v>51432</v>
      </c>
      <c r="B27" s="22" t="s">
        <v>51</v>
      </c>
      <c r="C27" s="17">
        <v>225</v>
      </c>
      <c r="D27" s="18">
        <v>32954.769999999997</v>
      </c>
      <c r="E27" s="17">
        <v>276</v>
      </c>
      <c r="F27" s="18">
        <v>27026.489999999991</v>
      </c>
      <c r="G27" s="14">
        <f t="shared" si="0"/>
        <v>59981.259999999987</v>
      </c>
      <c r="H27" s="15">
        <f t="shared" si="1"/>
        <v>0.45058223185041457</v>
      </c>
      <c r="I27" s="16">
        <f t="shared" si="2"/>
        <v>0.54941776814958543</v>
      </c>
      <c r="J27" s="124">
        <v>0.43369623133921964</v>
      </c>
      <c r="K27" s="124">
        <v>0.56630376866078036</v>
      </c>
    </row>
    <row r="28" spans="1:11" x14ac:dyDescent="0.25">
      <c r="A28" s="22">
        <v>51433</v>
      </c>
      <c r="B28" s="22" t="s">
        <v>40</v>
      </c>
      <c r="C28" s="17">
        <v>165</v>
      </c>
      <c r="D28" s="18">
        <v>23417.11</v>
      </c>
      <c r="E28" s="17">
        <v>314</v>
      </c>
      <c r="F28" s="18">
        <v>22325.3</v>
      </c>
      <c r="G28" s="14">
        <f t="shared" si="0"/>
        <v>45742.41</v>
      </c>
      <c r="H28" s="15">
        <f t="shared" si="1"/>
        <v>0.48806567034837028</v>
      </c>
      <c r="I28" s="16">
        <f t="shared" si="2"/>
        <v>0.51193432965162966</v>
      </c>
      <c r="J28" s="124">
        <v>0.50018066320400678</v>
      </c>
      <c r="K28" s="124">
        <v>0.49981933679599316</v>
      </c>
    </row>
    <row r="29" spans="1:11" x14ac:dyDescent="0.25">
      <c r="A29" s="22">
        <v>51434</v>
      </c>
      <c r="B29" s="22" t="s">
        <v>107</v>
      </c>
      <c r="C29" s="12">
        <v>217</v>
      </c>
      <c r="D29" s="13">
        <v>27954.049999999996</v>
      </c>
      <c r="E29" s="12">
        <v>208</v>
      </c>
      <c r="F29" s="13">
        <v>20124.120000000003</v>
      </c>
      <c r="G29" s="14">
        <f t="shared" si="0"/>
        <v>48078.17</v>
      </c>
      <c r="H29" s="15">
        <f t="shared" si="1"/>
        <v>0.41857083994669519</v>
      </c>
      <c r="I29" s="16">
        <f t="shared" si="2"/>
        <v>0.58142916005330481</v>
      </c>
      <c r="J29" s="124">
        <v>0.50080211239834838</v>
      </c>
      <c r="K29" s="124">
        <v>0.49919788760165174</v>
      </c>
    </row>
    <row r="30" spans="1:11" x14ac:dyDescent="0.25">
      <c r="A30" s="22">
        <v>51435</v>
      </c>
      <c r="B30" s="22" t="s">
        <v>41</v>
      </c>
      <c r="C30" s="17">
        <v>208</v>
      </c>
      <c r="D30" s="18">
        <v>26589.39</v>
      </c>
      <c r="E30" s="17">
        <v>91</v>
      </c>
      <c r="F30" s="18">
        <v>8731.68</v>
      </c>
      <c r="G30" s="14">
        <f t="shared" si="0"/>
        <v>35321.07</v>
      </c>
      <c r="H30" s="15">
        <f t="shared" si="1"/>
        <v>0.24720881898538183</v>
      </c>
      <c r="I30" s="16">
        <f t="shared" si="2"/>
        <v>0.75279118101461817</v>
      </c>
      <c r="J30" s="124">
        <v>0.26502565687997559</v>
      </c>
      <c r="K30" s="124">
        <v>0.7349743431200243</v>
      </c>
    </row>
    <row r="31" spans="1:11" x14ac:dyDescent="0.25">
      <c r="A31" s="22">
        <v>51436</v>
      </c>
      <c r="B31" s="22" t="s">
        <v>67</v>
      </c>
      <c r="C31" s="17">
        <v>225</v>
      </c>
      <c r="D31" s="18">
        <v>30935.309999999994</v>
      </c>
      <c r="E31" s="17">
        <v>275</v>
      </c>
      <c r="F31" s="18">
        <v>15084.33</v>
      </c>
      <c r="G31" s="14">
        <f t="shared" si="0"/>
        <v>46019.639999999992</v>
      </c>
      <c r="H31" s="15">
        <f t="shared" si="1"/>
        <v>0.32778026946755784</v>
      </c>
      <c r="I31" s="16">
        <f t="shared" si="2"/>
        <v>0.67221973053244222</v>
      </c>
      <c r="J31" s="124">
        <v>0.31629478545871786</v>
      </c>
      <c r="K31" s="124">
        <v>0.68370521454128208</v>
      </c>
    </row>
    <row r="32" spans="1:11" x14ac:dyDescent="0.25">
      <c r="A32" s="22">
        <v>51437</v>
      </c>
      <c r="B32" s="22" t="s">
        <v>0</v>
      </c>
      <c r="C32" s="12">
        <v>241</v>
      </c>
      <c r="D32" s="13">
        <v>34937.47</v>
      </c>
      <c r="E32" s="12">
        <v>246</v>
      </c>
      <c r="F32" s="13">
        <v>16845.829999999998</v>
      </c>
      <c r="G32" s="14">
        <f t="shared" si="0"/>
        <v>51783.3</v>
      </c>
      <c r="H32" s="15">
        <f t="shared" si="1"/>
        <v>0.32531395256771967</v>
      </c>
      <c r="I32" s="16">
        <f t="shared" si="2"/>
        <v>0.67468604743228022</v>
      </c>
      <c r="J32" s="124">
        <v>0.34336044436969143</v>
      </c>
      <c r="K32" s="124">
        <v>0.65663955563030851</v>
      </c>
    </row>
    <row r="33" spans="1:13" x14ac:dyDescent="0.25">
      <c r="A33" s="22">
        <v>51438</v>
      </c>
      <c r="B33" s="22" t="s">
        <v>52</v>
      </c>
      <c r="C33" s="17">
        <v>92</v>
      </c>
      <c r="D33" s="18">
        <v>13359.5</v>
      </c>
      <c r="E33" s="17">
        <v>141</v>
      </c>
      <c r="F33" s="18">
        <v>14120.2</v>
      </c>
      <c r="G33" s="14">
        <f t="shared" si="0"/>
        <v>27479.7</v>
      </c>
      <c r="H33" s="15">
        <f t="shared" si="1"/>
        <v>0.51384112635873025</v>
      </c>
      <c r="I33" s="16">
        <f t="shared" si="2"/>
        <v>0.48615887364126975</v>
      </c>
      <c r="J33" s="124">
        <v>0.54587360942588792</v>
      </c>
      <c r="K33" s="124">
        <v>0.45412639057411203</v>
      </c>
    </row>
    <row r="34" spans="1:13" x14ac:dyDescent="0.25">
      <c r="A34" s="22">
        <v>51439</v>
      </c>
      <c r="B34" s="22" t="s">
        <v>53</v>
      </c>
      <c r="C34" s="17">
        <v>53</v>
      </c>
      <c r="D34" s="18">
        <v>6266.0599999999995</v>
      </c>
      <c r="E34" s="17">
        <v>117</v>
      </c>
      <c r="F34" s="18">
        <v>11032.529999999999</v>
      </c>
      <c r="G34" s="14">
        <f t="shared" si="0"/>
        <v>17298.589999999997</v>
      </c>
      <c r="H34" s="15">
        <f t="shared" si="1"/>
        <v>0.63777047724698954</v>
      </c>
      <c r="I34" s="16">
        <f t="shared" si="2"/>
        <v>0.36222952275301057</v>
      </c>
      <c r="J34" s="124">
        <v>0.53517763028814591</v>
      </c>
      <c r="K34" s="124">
        <v>0.46482236971185398</v>
      </c>
    </row>
    <row r="35" spans="1:13" x14ac:dyDescent="0.25">
      <c r="A35" s="22">
        <v>51440</v>
      </c>
      <c r="B35" s="22" t="s">
        <v>68</v>
      </c>
      <c r="C35" s="12">
        <v>119</v>
      </c>
      <c r="D35" s="13">
        <v>14412.349999999997</v>
      </c>
      <c r="E35" s="12">
        <v>230</v>
      </c>
      <c r="F35" s="13">
        <v>15747.109999999997</v>
      </c>
      <c r="G35" s="14">
        <f t="shared" si="0"/>
        <v>30159.459999999992</v>
      </c>
      <c r="H35" s="15">
        <f t="shared" si="1"/>
        <v>0.52212838028267083</v>
      </c>
      <c r="I35" s="16">
        <f t="shared" si="2"/>
        <v>0.47787161971732917</v>
      </c>
      <c r="J35" s="124">
        <v>0.53815373404673761</v>
      </c>
      <c r="K35" s="124">
        <v>0.46184626595326228</v>
      </c>
    </row>
    <row r="36" spans="1:13" x14ac:dyDescent="0.25">
      <c r="A36" s="22">
        <v>51441</v>
      </c>
      <c r="B36" s="22" t="s">
        <v>54</v>
      </c>
      <c r="C36" s="12">
        <v>163</v>
      </c>
      <c r="D36" s="13">
        <v>19157.39</v>
      </c>
      <c r="E36" s="12">
        <v>243</v>
      </c>
      <c r="F36" s="13">
        <v>14819.97</v>
      </c>
      <c r="G36" s="14">
        <f t="shared" si="0"/>
        <v>33977.360000000001</v>
      </c>
      <c r="H36" s="15">
        <f t="shared" si="1"/>
        <v>0.43617190976579695</v>
      </c>
      <c r="I36" s="16">
        <f t="shared" si="2"/>
        <v>0.56382809023420299</v>
      </c>
      <c r="J36" s="124">
        <v>0.43266690972403055</v>
      </c>
      <c r="K36" s="124">
        <v>0.56733309027596945</v>
      </c>
    </row>
    <row r="37" spans="1:13" x14ac:dyDescent="0.25">
      <c r="A37" s="22">
        <v>51442</v>
      </c>
      <c r="B37" s="22" t="s">
        <v>55</v>
      </c>
      <c r="C37" s="17">
        <v>150</v>
      </c>
      <c r="D37" s="18">
        <v>18867.400000000001</v>
      </c>
      <c r="E37" s="17">
        <v>156</v>
      </c>
      <c r="F37" s="18">
        <v>12350.019999999999</v>
      </c>
      <c r="G37" s="14">
        <f t="shared" si="0"/>
        <v>31217.42</v>
      </c>
      <c r="H37" s="15">
        <f t="shared" si="1"/>
        <v>0.39561309038351022</v>
      </c>
      <c r="I37" s="16">
        <f t="shared" si="2"/>
        <v>0.60438690961648989</v>
      </c>
      <c r="J37" s="124">
        <v>0.36692165593896808</v>
      </c>
      <c r="K37" s="124">
        <v>0.63307834406103192</v>
      </c>
    </row>
    <row r="38" spans="1:13" x14ac:dyDescent="0.25">
      <c r="A38" s="22">
        <v>30508</v>
      </c>
      <c r="B38" s="22" t="s">
        <v>46</v>
      </c>
      <c r="C38" s="80" t="s">
        <v>27</v>
      </c>
      <c r="D38" s="80" t="s">
        <v>27</v>
      </c>
      <c r="E38" s="80" t="s">
        <v>27</v>
      </c>
      <c r="F38" s="80" t="s">
        <v>27</v>
      </c>
      <c r="G38" s="80" t="s">
        <v>27</v>
      </c>
      <c r="H38" s="80" t="s">
        <v>27</v>
      </c>
      <c r="I38" s="80" t="s">
        <v>27</v>
      </c>
      <c r="J38" s="80" t="s">
        <v>27</v>
      </c>
      <c r="K38" s="80" t="s">
        <v>27</v>
      </c>
      <c r="L38" s="80" t="s">
        <v>27</v>
      </c>
      <c r="M38" s="80" t="s">
        <v>27</v>
      </c>
    </row>
    <row r="39" spans="1:13" x14ac:dyDescent="0.25">
      <c r="A39" s="22">
        <v>30824</v>
      </c>
      <c r="B39" s="22" t="s">
        <v>62</v>
      </c>
      <c r="C39" s="80" t="s">
        <v>27</v>
      </c>
      <c r="D39" s="80" t="s">
        <v>27</v>
      </c>
      <c r="E39" s="80" t="s">
        <v>27</v>
      </c>
      <c r="F39" s="80" t="s">
        <v>27</v>
      </c>
      <c r="G39" s="80" t="s">
        <v>27</v>
      </c>
      <c r="H39" s="80" t="s">
        <v>27</v>
      </c>
      <c r="I39" s="80" t="s">
        <v>27</v>
      </c>
      <c r="J39" s="80" t="s">
        <v>27</v>
      </c>
      <c r="K39" s="80" t="s">
        <v>27</v>
      </c>
      <c r="L39" s="80" t="s">
        <v>27</v>
      </c>
      <c r="M39" s="80" t="s">
        <v>27</v>
      </c>
    </row>
    <row r="40" spans="1:13" x14ac:dyDescent="0.25">
      <c r="A40" s="22">
        <v>30509</v>
      </c>
      <c r="B40" s="22" t="s">
        <v>39</v>
      </c>
      <c r="C40" s="80" t="s">
        <v>27</v>
      </c>
      <c r="D40" s="80" t="s">
        <v>27</v>
      </c>
      <c r="E40" s="80" t="s">
        <v>27</v>
      </c>
      <c r="F40" s="80" t="s">
        <v>27</v>
      </c>
      <c r="G40" s="80" t="s">
        <v>27</v>
      </c>
      <c r="H40" s="80" t="s">
        <v>27</v>
      </c>
      <c r="I40" s="80" t="s">
        <v>27</v>
      </c>
      <c r="J40" s="80" t="s">
        <v>27</v>
      </c>
      <c r="K40" s="80" t="s">
        <v>27</v>
      </c>
      <c r="L40" s="80" t="s">
        <v>27</v>
      </c>
      <c r="M40" s="80" t="s">
        <v>27</v>
      </c>
    </row>
    <row r="41" spans="1:13" x14ac:dyDescent="0.25">
      <c r="A41" s="22">
        <v>1</v>
      </c>
      <c r="B41" s="22" t="s">
        <v>45</v>
      </c>
      <c r="C41" s="80" t="s">
        <v>27</v>
      </c>
      <c r="D41" s="80" t="s">
        <v>27</v>
      </c>
      <c r="E41" s="80" t="s">
        <v>27</v>
      </c>
      <c r="F41" s="80" t="s">
        <v>27</v>
      </c>
      <c r="G41" s="80" t="s">
        <v>27</v>
      </c>
      <c r="H41" s="80" t="s">
        <v>27</v>
      </c>
      <c r="I41" s="80" t="s">
        <v>27</v>
      </c>
      <c r="J41" s="80" t="s">
        <v>27</v>
      </c>
      <c r="K41" s="80" t="s">
        <v>27</v>
      </c>
      <c r="L41" s="80" t="s">
        <v>27</v>
      </c>
      <c r="M41" s="80" t="s">
        <v>27</v>
      </c>
    </row>
    <row r="42" spans="1:13" x14ac:dyDescent="0.25">
      <c r="A42" s="22">
        <v>2</v>
      </c>
      <c r="B42" s="22" t="s">
        <v>47</v>
      </c>
      <c r="C42" s="80" t="s">
        <v>27</v>
      </c>
      <c r="D42" s="80" t="s">
        <v>27</v>
      </c>
      <c r="E42" s="80" t="s">
        <v>27</v>
      </c>
      <c r="F42" s="80" t="s">
        <v>27</v>
      </c>
      <c r="G42" s="80" t="s">
        <v>27</v>
      </c>
      <c r="H42" s="80" t="s">
        <v>27</v>
      </c>
      <c r="I42" s="80" t="s">
        <v>27</v>
      </c>
      <c r="J42" s="80" t="s">
        <v>27</v>
      </c>
      <c r="K42" s="80" t="s">
        <v>27</v>
      </c>
      <c r="L42" s="80" t="s">
        <v>27</v>
      </c>
      <c r="M42" s="80" t="s">
        <v>27</v>
      </c>
    </row>
    <row r="43" spans="1:13" x14ac:dyDescent="0.25">
      <c r="A43" s="22">
        <v>3</v>
      </c>
      <c r="B43" s="22" t="s">
        <v>57</v>
      </c>
      <c r="C43" s="80" t="s">
        <v>27</v>
      </c>
      <c r="D43" s="80" t="s">
        <v>27</v>
      </c>
      <c r="E43" s="80" t="s">
        <v>27</v>
      </c>
      <c r="F43" s="80" t="s">
        <v>27</v>
      </c>
      <c r="G43" s="80" t="s">
        <v>27</v>
      </c>
      <c r="H43" s="80" t="s">
        <v>27</v>
      </c>
      <c r="I43" s="80" t="s">
        <v>27</v>
      </c>
      <c r="J43" s="80" t="s">
        <v>27</v>
      </c>
      <c r="K43" s="80" t="s">
        <v>27</v>
      </c>
      <c r="L43" s="80" t="s">
        <v>27</v>
      </c>
      <c r="M43" s="80" t="s">
        <v>27</v>
      </c>
    </row>
    <row r="44" spans="1:13" x14ac:dyDescent="0.25">
      <c r="A44" s="22">
        <v>4</v>
      </c>
      <c r="B44" s="22" t="s">
        <v>56</v>
      </c>
      <c r="C44" s="80" t="s">
        <v>27</v>
      </c>
      <c r="D44" s="80" t="s">
        <v>27</v>
      </c>
      <c r="E44" s="80" t="s">
        <v>27</v>
      </c>
      <c r="F44" s="80" t="s">
        <v>27</v>
      </c>
      <c r="G44" s="80" t="s">
        <v>27</v>
      </c>
      <c r="H44" s="80" t="s">
        <v>27</v>
      </c>
      <c r="I44" s="80" t="s">
        <v>27</v>
      </c>
      <c r="J44" s="80" t="s">
        <v>27</v>
      </c>
      <c r="K44" s="80" t="s">
        <v>27</v>
      </c>
      <c r="L44" s="80" t="s">
        <v>27</v>
      </c>
      <c r="M44" s="80" t="s">
        <v>27</v>
      </c>
    </row>
    <row r="45" spans="1:13" x14ac:dyDescent="0.25">
      <c r="A45" s="22">
        <v>5</v>
      </c>
      <c r="B45" s="22" t="s">
        <v>65</v>
      </c>
      <c r="C45" s="80" t="s">
        <v>27</v>
      </c>
      <c r="D45" s="80" t="s">
        <v>27</v>
      </c>
      <c r="E45" s="80" t="s">
        <v>27</v>
      </c>
      <c r="F45" s="80" t="s">
        <v>27</v>
      </c>
      <c r="G45" s="80" t="s">
        <v>27</v>
      </c>
      <c r="H45" s="80" t="s">
        <v>27</v>
      </c>
      <c r="I45" s="80" t="s">
        <v>27</v>
      </c>
      <c r="J45" s="80" t="s">
        <v>27</v>
      </c>
      <c r="K45" s="80" t="s">
        <v>27</v>
      </c>
      <c r="L45" s="80" t="s">
        <v>27</v>
      </c>
      <c r="M45" s="80" t="s">
        <v>27</v>
      </c>
    </row>
    <row r="46" spans="1:13" x14ac:dyDescent="0.25">
      <c r="A46" s="22">
        <v>6</v>
      </c>
      <c r="B46" s="22" t="s">
        <v>61</v>
      </c>
      <c r="C46" s="80" t="s">
        <v>27</v>
      </c>
      <c r="D46" s="80" t="s">
        <v>27</v>
      </c>
      <c r="E46" s="80" t="s">
        <v>27</v>
      </c>
      <c r="F46" s="80" t="s">
        <v>27</v>
      </c>
      <c r="G46" s="80" t="s">
        <v>27</v>
      </c>
      <c r="H46" s="80" t="s">
        <v>27</v>
      </c>
      <c r="I46" s="80" t="s">
        <v>27</v>
      </c>
      <c r="J46" s="80" t="s">
        <v>27</v>
      </c>
      <c r="K46" s="80" t="s">
        <v>27</v>
      </c>
      <c r="L46" s="80" t="s">
        <v>27</v>
      </c>
      <c r="M46" s="80" t="s">
        <v>27</v>
      </c>
    </row>
    <row r="47" spans="1:13" x14ac:dyDescent="0.25">
      <c r="A47" s="22">
        <v>7</v>
      </c>
      <c r="B47" s="22" t="s">
        <v>64</v>
      </c>
      <c r="C47" s="80" t="s">
        <v>27</v>
      </c>
      <c r="D47" s="80" t="s">
        <v>27</v>
      </c>
      <c r="E47" s="80" t="s">
        <v>27</v>
      </c>
      <c r="F47" s="80" t="s">
        <v>27</v>
      </c>
      <c r="G47" s="80" t="s">
        <v>27</v>
      </c>
      <c r="H47" s="80" t="s">
        <v>27</v>
      </c>
      <c r="I47" s="80" t="s">
        <v>27</v>
      </c>
      <c r="J47" s="80" t="s">
        <v>27</v>
      </c>
      <c r="K47" s="80" t="s">
        <v>27</v>
      </c>
      <c r="L47" s="80" t="s">
        <v>27</v>
      </c>
      <c r="M47" s="80" t="s">
        <v>27</v>
      </c>
    </row>
    <row r="48" spans="1:13" x14ac:dyDescent="0.25">
      <c r="A48" s="22">
        <v>8</v>
      </c>
      <c r="B48" s="22" t="s">
        <v>63</v>
      </c>
      <c r="C48" s="80" t="s">
        <v>27</v>
      </c>
      <c r="D48" s="80" t="s">
        <v>27</v>
      </c>
      <c r="E48" s="80" t="s">
        <v>27</v>
      </c>
      <c r="F48" s="80" t="s">
        <v>27</v>
      </c>
      <c r="G48" s="80" t="s">
        <v>27</v>
      </c>
      <c r="H48" s="80" t="s">
        <v>27</v>
      </c>
      <c r="I48" s="80" t="s">
        <v>27</v>
      </c>
      <c r="J48" s="80" t="s">
        <v>27</v>
      </c>
      <c r="K48" s="80" t="s">
        <v>27</v>
      </c>
      <c r="L48" s="80" t="s">
        <v>27</v>
      </c>
      <c r="M48" s="80" t="s">
        <v>27</v>
      </c>
    </row>
    <row r="49" spans="1:13" x14ac:dyDescent="0.25">
      <c r="A49" s="27">
        <v>60000</v>
      </c>
      <c r="B49" s="27" t="s">
        <v>111</v>
      </c>
      <c r="C49" s="80" t="s">
        <v>27</v>
      </c>
      <c r="D49" s="80" t="s">
        <v>27</v>
      </c>
      <c r="E49" s="80" t="s">
        <v>27</v>
      </c>
      <c r="F49" s="80" t="s">
        <v>27</v>
      </c>
      <c r="G49" s="80" t="s">
        <v>27</v>
      </c>
      <c r="H49" s="80" t="s">
        <v>27</v>
      </c>
      <c r="I49" s="80" t="s">
        <v>27</v>
      </c>
      <c r="J49" s="80" t="s">
        <v>27</v>
      </c>
      <c r="K49" s="80" t="s">
        <v>27</v>
      </c>
      <c r="L49" s="80" t="s">
        <v>27</v>
      </c>
      <c r="M49" s="80" t="s">
        <v>27</v>
      </c>
    </row>
    <row r="50" spans="1:13" x14ac:dyDescent="0.25">
      <c r="A50" s="22" t="s">
        <v>135</v>
      </c>
      <c r="B50" s="27" t="s">
        <v>136</v>
      </c>
      <c r="C50" s="76">
        <f>SUM(C4:C49)</f>
        <v>5411</v>
      </c>
      <c r="D50" s="76">
        <f>SUM(D4:D49)</f>
        <v>730995.66</v>
      </c>
      <c r="E50" s="76">
        <f>SUM(E4:E49)</f>
        <v>6619</v>
      </c>
      <c r="F50" s="76">
        <f>SUM(F4:F49)</f>
        <v>499614.57999999996</v>
      </c>
      <c r="G50" s="76">
        <f>SUM(G4:G49)</f>
        <v>1230610.2400000002</v>
      </c>
      <c r="H50" s="15">
        <f>F50/G50</f>
        <v>0.40598929194673355</v>
      </c>
      <c r="I50" s="16">
        <f>D50/G50</f>
        <v>0.59401070805326628</v>
      </c>
      <c r="J50" s="125">
        <v>0.40598929194673355</v>
      </c>
      <c r="K50" s="125">
        <v>0.59401070805326628</v>
      </c>
      <c r="L50" s="1"/>
      <c r="M50" s="1"/>
    </row>
    <row r="51" spans="1:13" x14ac:dyDescent="0.25">
      <c r="A51" s="22" t="s">
        <v>137</v>
      </c>
      <c r="B51" s="27" t="s">
        <v>138</v>
      </c>
      <c r="C51" s="80" t="s">
        <v>27</v>
      </c>
      <c r="D51" s="80" t="s">
        <v>27</v>
      </c>
      <c r="E51" s="80" t="s">
        <v>27</v>
      </c>
      <c r="F51" s="80" t="s">
        <v>27</v>
      </c>
      <c r="G51" s="80" t="s">
        <v>27</v>
      </c>
      <c r="H51" s="80" t="s">
        <v>27</v>
      </c>
      <c r="I51" s="80" t="s">
        <v>27</v>
      </c>
      <c r="J51" s="80" t="s">
        <v>27</v>
      </c>
      <c r="K51" s="80" t="s">
        <v>27</v>
      </c>
      <c r="L51" s="80" t="s">
        <v>27</v>
      </c>
      <c r="M51" s="80" t="s">
        <v>27</v>
      </c>
    </row>
    <row r="52" spans="1:13" x14ac:dyDescent="0.25">
      <c r="A52" s="27">
        <v>51105</v>
      </c>
      <c r="B52" s="27" t="s">
        <v>5</v>
      </c>
      <c r="C52" s="80" t="s">
        <v>27</v>
      </c>
      <c r="D52" s="80" t="s">
        <v>27</v>
      </c>
      <c r="E52" s="80" t="s">
        <v>27</v>
      </c>
      <c r="F52" s="80" t="s">
        <v>27</v>
      </c>
      <c r="G52" s="80" t="s">
        <v>27</v>
      </c>
      <c r="H52" s="80" t="s">
        <v>27</v>
      </c>
      <c r="I52" s="80" t="s">
        <v>27</v>
      </c>
      <c r="J52" s="80" t="s">
        <v>27</v>
      </c>
      <c r="K52" s="80" t="s">
        <v>27</v>
      </c>
      <c r="L52" s="80" t="s">
        <v>27</v>
      </c>
      <c r="M52" s="80" t="s">
        <v>27</v>
      </c>
    </row>
    <row r="53" spans="1:13" x14ac:dyDescent="0.25">
      <c r="C53" s="40"/>
      <c r="D53" s="40"/>
      <c r="E53" s="40"/>
      <c r="F53" s="40"/>
      <c r="G53" s="40"/>
      <c r="H53" s="40"/>
      <c r="I53" s="40"/>
    </row>
    <row r="54" spans="1:13" x14ac:dyDescent="0.25">
      <c r="C54" s="40"/>
      <c r="D54" s="40"/>
      <c r="E54" s="40"/>
      <c r="F54" s="40"/>
      <c r="G54" s="40"/>
      <c r="H54" s="40"/>
      <c r="I54" s="40"/>
    </row>
    <row r="55" spans="1:13" x14ac:dyDescent="0.25">
      <c r="C55" s="40"/>
      <c r="D55" s="40"/>
      <c r="E55" s="40"/>
      <c r="F55" s="40"/>
      <c r="G55" s="40"/>
      <c r="H55" s="40"/>
      <c r="I55" s="40"/>
    </row>
    <row r="56" spans="1:13" x14ac:dyDescent="0.25">
      <c r="C56" s="40"/>
      <c r="D56" s="40"/>
      <c r="E56" s="40"/>
      <c r="F56" s="40"/>
      <c r="G56" s="40"/>
      <c r="H56" s="40"/>
      <c r="I56" s="40"/>
    </row>
    <row r="57" spans="1:13" x14ac:dyDescent="0.25">
      <c r="C57" s="40"/>
      <c r="D57" s="40"/>
      <c r="E57" s="40"/>
      <c r="F57" s="40"/>
      <c r="G57" s="40"/>
      <c r="H57" s="40"/>
      <c r="I57" s="40"/>
    </row>
    <row r="58" spans="1:13" x14ac:dyDescent="0.25">
      <c r="C58" s="40"/>
      <c r="D58" s="40"/>
      <c r="E58" s="40"/>
      <c r="F58" s="40"/>
      <c r="G58" s="40"/>
      <c r="H58" s="40"/>
      <c r="I58" s="40"/>
    </row>
    <row r="59" spans="1:13" x14ac:dyDescent="0.25">
      <c r="C59" s="40"/>
      <c r="D59" s="40"/>
      <c r="E59" s="40"/>
      <c r="F59" s="40"/>
      <c r="G59" s="40"/>
      <c r="H59" s="40"/>
      <c r="I59" s="40"/>
    </row>
    <row r="60" spans="1:13" x14ac:dyDescent="0.25">
      <c r="C60" s="40"/>
      <c r="D60" s="40"/>
      <c r="E60" s="40"/>
      <c r="F60" s="40"/>
      <c r="G60" s="40"/>
      <c r="H60" s="40"/>
      <c r="I60" s="40"/>
    </row>
    <row r="61" spans="1:13" x14ac:dyDescent="0.25">
      <c r="C61" s="40"/>
      <c r="D61" s="40"/>
      <c r="E61" s="40"/>
      <c r="F61" s="40"/>
      <c r="G61" s="40"/>
      <c r="H61" s="40"/>
      <c r="I61" s="40"/>
    </row>
    <row r="62" spans="1:13" x14ac:dyDescent="0.25">
      <c r="C62" s="40"/>
      <c r="D62" s="40"/>
      <c r="E62" s="40"/>
      <c r="F62" s="40"/>
      <c r="G62" s="40"/>
      <c r="H62" s="40"/>
      <c r="I62" s="40"/>
    </row>
    <row r="63" spans="1:13" x14ac:dyDescent="0.25">
      <c r="C63" s="40"/>
      <c r="D63" s="40"/>
      <c r="E63" s="40"/>
      <c r="F63" s="40"/>
      <c r="G63" s="40"/>
      <c r="H63" s="40"/>
      <c r="I63" s="40"/>
    </row>
    <row r="64" spans="1:13" x14ac:dyDescent="0.25">
      <c r="C64" s="40"/>
      <c r="D64" s="40"/>
      <c r="E64" s="40"/>
      <c r="F64" s="40"/>
      <c r="G64" s="40"/>
      <c r="H64" s="40"/>
      <c r="I64" s="40"/>
    </row>
    <row r="65" spans="3:9" x14ac:dyDescent="0.25">
      <c r="C65" s="40"/>
      <c r="D65" s="40"/>
      <c r="E65" s="40"/>
      <c r="F65" s="40"/>
      <c r="G65" s="40"/>
      <c r="H65" s="40"/>
      <c r="I65" s="40"/>
    </row>
    <row r="66" spans="3:9" x14ac:dyDescent="0.25">
      <c r="C66" s="40"/>
      <c r="D66" s="40"/>
      <c r="E66" s="40"/>
      <c r="F66" s="40"/>
      <c r="G66" s="40"/>
      <c r="H66" s="40"/>
      <c r="I66" s="40"/>
    </row>
    <row r="67" spans="3:9" x14ac:dyDescent="0.25">
      <c r="C67" s="40"/>
      <c r="D67" s="40"/>
      <c r="E67" s="40"/>
      <c r="F67" s="40"/>
      <c r="G67" s="40"/>
      <c r="H67" s="40"/>
      <c r="I67" s="40"/>
    </row>
    <row r="68" spans="3:9" x14ac:dyDescent="0.25">
      <c r="C68" s="40"/>
      <c r="D68" s="40"/>
      <c r="E68" s="40"/>
      <c r="F68" s="40"/>
      <c r="G68" s="40"/>
      <c r="H68" s="40"/>
      <c r="I68" s="40"/>
    </row>
    <row r="69" spans="3:9" x14ac:dyDescent="0.25">
      <c r="C69" s="40"/>
      <c r="D69" s="40"/>
      <c r="E69" s="40"/>
      <c r="F69" s="40"/>
      <c r="G69" s="40"/>
      <c r="H69" s="40"/>
      <c r="I69" s="40"/>
    </row>
    <row r="70" spans="3:9" x14ac:dyDescent="0.25">
      <c r="C70" s="40"/>
      <c r="D70" s="40"/>
      <c r="E70" s="40"/>
      <c r="F70" s="40"/>
      <c r="G70" s="40"/>
      <c r="H70" s="40"/>
      <c r="I70" s="40"/>
    </row>
    <row r="71" spans="3:9" x14ac:dyDescent="0.25">
      <c r="C71" s="40"/>
      <c r="D71" s="40"/>
      <c r="E71" s="40"/>
      <c r="F71" s="40"/>
      <c r="G71" s="40"/>
      <c r="H71" s="40"/>
      <c r="I71" s="40"/>
    </row>
    <row r="72" spans="3:9" x14ac:dyDescent="0.25">
      <c r="C72" s="40"/>
      <c r="D72" s="40"/>
      <c r="E72" s="40"/>
      <c r="F72" s="40"/>
      <c r="G72" s="40"/>
      <c r="H72" s="40"/>
      <c r="I72" s="40"/>
    </row>
    <row r="73" spans="3:9" x14ac:dyDescent="0.25">
      <c r="C73" s="40"/>
      <c r="D73" s="40"/>
      <c r="E73" s="40"/>
      <c r="F73" s="40"/>
      <c r="G73" s="40"/>
      <c r="H73" s="40"/>
      <c r="I73" s="40"/>
    </row>
    <row r="74" spans="3:9" x14ac:dyDescent="0.25">
      <c r="C74" s="40"/>
      <c r="D74" s="40"/>
      <c r="E74" s="40"/>
      <c r="F74" s="40"/>
      <c r="G74" s="40"/>
      <c r="H74" s="40"/>
      <c r="I74" s="40"/>
    </row>
    <row r="75" spans="3:9" x14ac:dyDescent="0.25">
      <c r="C75" s="40"/>
      <c r="D75" s="40"/>
      <c r="E75" s="40"/>
      <c r="F75" s="40"/>
      <c r="G75" s="40"/>
      <c r="H75" s="40"/>
      <c r="I75" s="40"/>
    </row>
    <row r="76" spans="3:9" x14ac:dyDescent="0.25">
      <c r="C76" s="40"/>
      <c r="D76" s="40"/>
      <c r="E76" s="40"/>
      <c r="F76" s="40"/>
      <c r="G76" s="40"/>
      <c r="H76" s="40"/>
      <c r="I76" s="40"/>
    </row>
    <row r="77" spans="3:9" x14ac:dyDescent="0.25">
      <c r="C77" s="40"/>
      <c r="D77" s="40"/>
      <c r="E77" s="40"/>
      <c r="F77" s="40"/>
      <c r="G77" s="40"/>
      <c r="H77" s="40"/>
      <c r="I77" s="40"/>
    </row>
    <row r="78" spans="3:9" x14ac:dyDescent="0.25">
      <c r="C78" s="40"/>
      <c r="D78" s="40"/>
      <c r="E78" s="40"/>
      <c r="F78" s="40"/>
      <c r="G78" s="40"/>
      <c r="H78" s="40"/>
      <c r="I78" s="40"/>
    </row>
    <row r="79" spans="3:9" x14ac:dyDescent="0.25">
      <c r="C79" s="40"/>
      <c r="D79" s="40"/>
      <c r="E79" s="40"/>
      <c r="F79" s="40"/>
      <c r="G79" s="40"/>
      <c r="H79" s="40"/>
      <c r="I79" s="40"/>
    </row>
    <row r="80" spans="3:9" x14ac:dyDescent="0.25">
      <c r="C80" s="40"/>
      <c r="D80" s="40"/>
      <c r="E80" s="40"/>
      <c r="F80" s="40"/>
      <c r="G80" s="40"/>
      <c r="H80" s="40"/>
      <c r="I80" s="40"/>
    </row>
    <row r="81" spans="3:9" x14ac:dyDescent="0.25">
      <c r="C81" s="40"/>
      <c r="D81" s="40"/>
      <c r="E81" s="40"/>
      <c r="F81" s="40"/>
      <c r="G81" s="40"/>
      <c r="H81" s="40"/>
      <c r="I81" s="40"/>
    </row>
    <row r="82" spans="3:9" x14ac:dyDescent="0.25">
      <c r="C82" s="40"/>
      <c r="D82" s="40"/>
      <c r="E82" s="40"/>
      <c r="F82" s="40"/>
      <c r="G82" s="40"/>
      <c r="H82" s="40"/>
      <c r="I82" s="40"/>
    </row>
    <row r="83" spans="3:9" x14ac:dyDescent="0.25">
      <c r="C83" s="40"/>
      <c r="D83" s="40"/>
      <c r="E83" s="40"/>
      <c r="F83" s="40"/>
      <c r="G83" s="40"/>
      <c r="H83" s="40"/>
      <c r="I83" s="40"/>
    </row>
    <row r="84" spans="3:9" x14ac:dyDescent="0.25">
      <c r="C84" s="40"/>
      <c r="D84" s="40"/>
      <c r="E84" s="40"/>
      <c r="F84" s="40"/>
      <c r="G84" s="40"/>
      <c r="H84" s="40"/>
      <c r="I84" s="40"/>
    </row>
    <row r="85" spans="3:9" x14ac:dyDescent="0.25">
      <c r="C85" s="40"/>
      <c r="D85" s="40"/>
      <c r="E85" s="40"/>
      <c r="F85" s="40"/>
      <c r="G85" s="40"/>
      <c r="H85" s="40"/>
      <c r="I85" s="40"/>
    </row>
    <row r="86" spans="3:9" x14ac:dyDescent="0.25">
      <c r="C86" s="40"/>
      <c r="D86" s="40"/>
      <c r="E86" s="40"/>
      <c r="F86" s="40"/>
      <c r="G86" s="40"/>
      <c r="H86" s="40"/>
      <c r="I86" s="40"/>
    </row>
    <row r="87" spans="3:9" x14ac:dyDescent="0.25">
      <c r="C87" s="40"/>
      <c r="D87" s="40"/>
      <c r="E87" s="40"/>
      <c r="F87" s="40"/>
      <c r="G87" s="40"/>
      <c r="H87" s="40"/>
      <c r="I87" s="40"/>
    </row>
    <row r="88" spans="3:9" x14ac:dyDescent="0.25">
      <c r="C88" s="40"/>
      <c r="D88" s="40"/>
      <c r="E88" s="40"/>
      <c r="F88" s="40"/>
      <c r="G88" s="40"/>
      <c r="H88" s="40"/>
      <c r="I88" s="40"/>
    </row>
    <row r="89" spans="3:9" x14ac:dyDescent="0.25">
      <c r="C89" s="40"/>
      <c r="D89" s="40"/>
      <c r="E89" s="40"/>
      <c r="F89" s="40"/>
      <c r="G89" s="40"/>
      <c r="H89" s="40"/>
      <c r="I89" s="40"/>
    </row>
    <row r="90" spans="3:9" x14ac:dyDescent="0.25">
      <c r="C90" s="40"/>
      <c r="D90" s="40"/>
      <c r="E90" s="40"/>
      <c r="F90" s="40"/>
      <c r="G90" s="40"/>
      <c r="H90" s="40"/>
      <c r="I90" s="40"/>
    </row>
    <row r="91" spans="3:9" x14ac:dyDescent="0.25">
      <c r="C91" s="40"/>
      <c r="D91" s="40"/>
      <c r="E91" s="40"/>
      <c r="F91" s="40"/>
      <c r="G91" s="40"/>
      <c r="H91" s="40"/>
      <c r="I91" s="40"/>
    </row>
    <row r="92" spans="3:9" x14ac:dyDescent="0.25">
      <c r="C92" s="40"/>
      <c r="D92" s="40"/>
      <c r="E92" s="40"/>
      <c r="F92" s="40"/>
      <c r="G92" s="40"/>
      <c r="H92" s="40"/>
      <c r="I92" s="40"/>
    </row>
    <row r="93" spans="3:9" x14ac:dyDescent="0.25">
      <c r="C93" s="40"/>
      <c r="D93" s="40"/>
      <c r="E93" s="40"/>
      <c r="F93" s="40"/>
      <c r="G93" s="40"/>
      <c r="H93" s="40"/>
      <c r="I93" s="40"/>
    </row>
    <row r="94" spans="3:9" x14ac:dyDescent="0.25">
      <c r="C94" s="40"/>
      <c r="D94" s="40"/>
      <c r="E94" s="40"/>
      <c r="F94" s="40"/>
      <c r="G94" s="40"/>
      <c r="H94" s="40"/>
      <c r="I94" s="40"/>
    </row>
    <row r="95" spans="3:9" x14ac:dyDescent="0.25">
      <c r="C95" s="40"/>
      <c r="D95" s="40"/>
      <c r="E95" s="40"/>
      <c r="F95" s="40"/>
      <c r="G95" s="40"/>
      <c r="H95" s="40"/>
      <c r="I95" s="40"/>
    </row>
    <row r="96" spans="3:9" x14ac:dyDescent="0.25">
      <c r="C96" s="40"/>
      <c r="D96" s="40"/>
      <c r="E96" s="40"/>
      <c r="F96" s="40"/>
      <c r="G96" s="40"/>
      <c r="H96" s="40"/>
      <c r="I96" s="40"/>
    </row>
    <row r="97" spans="3:9" x14ac:dyDescent="0.25">
      <c r="C97" s="40"/>
      <c r="D97" s="40"/>
      <c r="E97" s="40"/>
      <c r="F97" s="40"/>
      <c r="G97" s="40"/>
      <c r="H97" s="40"/>
      <c r="I97" s="40"/>
    </row>
    <row r="98" spans="3:9" x14ac:dyDescent="0.25">
      <c r="C98" s="40"/>
      <c r="D98" s="40"/>
      <c r="E98" s="40"/>
      <c r="F98" s="40"/>
      <c r="G98" s="40"/>
      <c r="H98" s="40"/>
      <c r="I98" s="40"/>
    </row>
    <row r="99" spans="3:9" x14ac:dyDescent="0.25">
      <c r="C99" s="40"/>
      <c r="D99" s="40"/>
      <c r="E99" s="40"/>
      <c r="F99" s="40"/>
      <c r="G99" s="40"/>
      <c r="H99" s="40"/>
      <c r="I99" s="40"/>
    </row>
    <row r="100" spans="3:9" x14ac:dyDescent="0.25">
      <c r="C100" s="40"/>
      <c r="D100" s="40"/>
      <c r="E100" s="40"/>
      <c r="F100" s="40"/>
      <c r="G100" s="40"/>
      <c r="H100" s="40"/>
      <c r="I100" s="40"/>
    </row>
    <row r="101" spans="3:9" x14ac:dyDescent="0.25">
      <c r="C101" s="40"/>
      <c r="D101" s="40"/>
      <c r="E101" s="40"/>
      <c r="F101" s="40"/>
      <c r="G101" s="40"/>
      <c r="H101" s="40"/>
      <c r="I101" s="40"/>
    </row>
    <row r="102" spans="3:9" x14ac:dyDescent="0.25">
      <c r="C102" s="40"/>
      <c r="D102" s="40"/>
      <c r="E102" s="40"/>
      <c r="F102" s="40"/>
      <c r="G102" s="40"/>
      <c r="H102" s="40"/>
      <c r="I102" s="40"/>
    </row>
    <row r="103" spans="3:9" x14ac:dyDescent="0.25">
      <c r="C103" s="40"/>
      <c r="D103" s="40"/>
      <c r="E103" s="40"/>
      <c r="F103" s="40"/>
      <c r="G103" s="40"/>
      <c r="H103" s="40"/>
      <c r="I103" s="40"/>
    </row>
    <row r="104" spans="3:9" x14ac:dyDescent="0.25">
      <c r="C104" s="40"/>
      <c r="D104" s="40"/>
      <c r="E104" s="40"/>
      <c r="F104" s="40"/>
      <c r="G104" s="40"/>
      <c r="H104" s="40"/>
      <c r="I104" s="40"/>
    </row>
    <row r="105" spans="3:9" x14ac:dyDescent="0.25">
      <c r="C105" s="40"/>
      <c r="D105" s="40"/>
      <c r="E105" s="40"/>
      <c r="F105" s="40"/>
      <c r="G105" s="40"/>
      <c r="H105" s="40"/>
      <c r="I105" s="40"/>
    </row>
    <row r="106" spans="3:9" x14ac:dyDescent="0.25">
      <c r="C106" s="40"/>
      <c r="D106" s="40"/>
      <c r="E106" s="40"/>
      <c r="F106" s="40"/>
      <c r="G106" s="40"/>
      <c r="H106" s="40"/>
      <c r="I106" s="40"/>
    </row>
    <row r="107" spans="3:9" x14ac:dyDescent="0.25">
      <c r="C107" s="40"/>
      <c r="D107" s="40"/>
      <c r="E107" s="40"/>
      <c r="F107" s="40"/>
      <c r="G107" s="40"/>
      <c r="H107" s="40"/>
      <c r="I107" s="40"/>
    </row>
    <row r="108" spans="3:9" x14ac:dyDescent="0.25">
      <c r="C108" s="40"/>
      <c r="D108" s="40"/>
      <c r="E108" s="40"/>
      <c r="F108" s="40"/>
      <c r="G108" s="40"/>
      <c r="H108" s="40"/>
      <c r="I108" s="40"/>
    </row>
    <row r="109" spans="3:9" x14ac:dyDescent="0.25">
      <c r="C109" s="40"/>
      <c r="D109" s="40"/>
      <c r="E109" s="40"/>
      <c r="F109" s="40"/>
      <c r="G109" s="40"/>
      <c r="H109" s="40"/>
      <c r="I109" s="40"/>
    </row>
    <row r="110" spans="3:9" x14ac:dyDescent="0.25">
      <c r="C110" s="40"/>
      <c r="D110" s="40"/>
      <c r="E110" s="40"/>
      <c r="F110" s="40"/>
      <c r="G110" s="40"/>
      <c r="H110" s="40"/>
      <c r="I110" s="40"/>
    </row>
    <row r="111" spans="3:9" x14ac:dyDescent="0.25">
      <c r="C111" s="40"/>
      <c r="D111" s="40"/>
      <c r="E111" s="40"/>
      <c r="F111" s="40"/>
      <c r="G111" s="40"/>
      <c r="H111" s="40"/>
      <c r="I111" s="40"/>
    </row>
    <row r="112" spans="3:9" x14ac:dyDescent="0.25">
      <c r="C112" s="40"/>
      <c r="D112" s="40"/>
      <c r="E112" s="40"/>
      <c r="F112" s="40"/>
      <c r="G112" s="40"/>
      <c r="H112" s="40"/>
      <c r="I112" s="40"/>
    </row>
    <row r="113" spans="3:9" x14ac:dyDescent="0.25">
      <c r="C113" s="40"/>
      <c r="D113" s="40"/>
      <c r="E113" s="40"/>
      <c r="F113" s="40"/>
      <c r="G113" s="40"/>
      <c r="H113" s="40"/>
      <c r="I113" s="40"/>
    </row>
    <row r="114" spans="3:9" x14ac:dyDescent="0.25">
      <c r="C114" s="40"/>
      <c r="D114" s="40"/>
      <c r="E114" s="40"/>
      <c r="F114" s="40"/>
      <c r="G114" s="40"/>
      <c r="H114" s="40"/>
      <c r="I114" s="40"/>
    </row>
    <row r="115" spans="3:9" x14ac:dyDescent="0.25">
      <c r="C115" s="40"/>
      <c r="D115" s="40"/>
      <c r="E115" s="40"/>
      <c r="F115" s="40"/>
      <c r="G115" s="40"/>
      <c r="H115" s="40"/>
      <c r="I115" s="40"/>
    </row>
    <row r="116" spans="3:9" x14ac:dyDescent="0.25">
      <c r="C116" s="40"/>
      <c r="D116" s="40"/>
      <c r="E116" s="40"/>
      <c r="F116" s="40"/>
      <c r="G116" s="40"/>
      <c r="H116" s="40"/>
      <c r="I116" s="40"/>
    </row>
    <row r="117" spans="3:9" x14ac:dyDescent="0.25">
      <c r="C117" s="40"/>
      <c r="D117" s="40"/>
      <c r="E117" s="40"/>
      <c r="F117" s="40"/>
      <c r="G117" s="40"/>
      <c r="H117" s="40"/>
      <c r="I117" s="40"/>
    </row>
    <row r="118" spans="3:9" x14ac:dyDescent="0.25">
      <c r="C118" s="40"/>
      <c r="D118" s="40"/>
      <c r="E118" s="40"/>
      <c r="F118" s="40"/>
      <c r="G118" s="40"/>
      <c r="H118" s="40"/>
      <c r="I118" s="40"/>
    </row>
    <row r="119" spans="3:9" x14ac:dyDescent="0.25">
      <c r="C119" s="40"/>
      <c r="D119" s="40"/>
      <c r="E119" s="40"/>
      <c r="F119" s="40"/>
      <c r="G119" s="40"/>
      <c r="H119" s="40"/>
      <c r="I119" s="40"/>
    </row>
    <row r="120" spans="3:9" x14ac:dyDescent="0.25">
      <c r="C120" s="40"/>
      <c r="D120" s="40"/>
      <c r="E120" s="40"/>
      <c r="F120" s="40"/>
      <c r="G120" s="40"/>
      <c r="H120" s="40"/>
      <c r="I120" s="40"/>
    </row>
    <row r="121" spans="3:9" x14ac:dyDescent="0.25">
      <c r="C121" s="40"/>
      <c r="D121" s="40"/>
      <c r="E121" s="40"/>
      <c r="F121" s="40"/>
      <c r="G121" s="40"/>
      <c r="H121" s="40"/>
      <c r="I121" s="40"/>
    </row>
    <row r="122" spans="3:9" x14ac:dyDescent="0.25">
      <c r="C122" s="40"/>
      <c r="D122" s="40"/>
      <c r="E122" s="40"/>
      <c r="F122" s="40"/>
      <c r="G122" s="40"/>
      <c r="H122" s="40"/>
      <c r="I122" s="40"/>
    </row>
    <row r="123" spans="3:9" x14ac:dyDescent="0.25">
      <c r="C123" s="40"/>
      <c r="D123" s="40"/>
      <c r="E123" s="40"/>
      <c r="F123" s="40"/>
      <c r="G123" s="40"/>
      <c r="H123" s="40"/>
      <c r="I123" s="40"/>
    </row>
    <row r="124" spans="3:9" x14ac:dyDescent="0.25">
      <c r="C124" s="40"/>
      <c r="D124" s="40"/>
      <c r="E124" s="40"/>
      <c r="F124" s="40"/>
      <c r="G124" s="40"/>
      <c r="H124" s="40"/>
      <c r="I124" s="40"/>
    </row>
    <row r="125" spans="3:9" x14ac:dyDescent="0.25">
      <c r="C125" s="40"/>
      <c r="D125" s="40"/>
      <c r="E125" s="40"/>
      <c r="F125" s="40"/>
      <c r="G125" s="40"/>
      <c r="H125" s="40"/>
      <c r="I125" s="40"/>
    </row>
    <row r="126" spans="3:9" x14ac:dyDescent="0.25">
      <c r="C126" s="40"/>
      <c r="D126" s="40"/>
      <c r="E126" s="40"/>
      <c r="F126" s="40"/>
      <c r="G126" s="40"/>
      <c r="H126" s="40"/>
      <c r="I126" s="40"/>
    </row>
  </sheetData>
  <sortState ref="A5:I37">
    <sortCondition ref="A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C1" sqref="C1:F1"/>
    </sheetView>
  </sheetViews>
  <sheetFormatPr defaultRowHeight="15" x14ac:dyDescent="0.25"/>
  <cols>
    <col min="2" max="2" width="47" customWidth="1"/>
    <col min="7" max="7" width="16.42578125" customWidth="1"/>
  </cols>
  <sheetData>
    <row r="1" spans="1:8" ht="26.25" customHeight="1" x14ac:dyDescent="0.25">
      <c r="A1" s="3" t="s">
        <v>42</v>
      </c>
      <c r="B1" s="120" t="s">
        <v>9</v>
      </c>
      <c r="C1" s="122" t="s">
        <v>10</v>
      </c>
      <c r="D1" s="122" t="s">
        <v>11</v>
      </c>
      <c r="G1" s="22" t="s">
        <v>163</v>
      </c>
    </row>
    <row r="2" spans="1:8" s="1" customFormat="1" ht="15" customHeight="1" x14ac:dyDescent="0.25">
      <c r="A2" s="3"/>
      <c r="B2" s="120"/>
      <c r="C2" s="3" t="s">
        <v>44</v>
      </c>
      <c r="D2" s="3" t="s">
        <v>44</v>
      </c>
      <c r="E2" s="1" t="s">
        <v>110</v>
      </c>
      <c r="F2" s="1" t="s">
        <v>110</v>
      </c>
      <c r="G2" s="40" t="s">
        <v>162</v>
      </c>
    </row>
    <row r="3" spans="1:8" s="1" customFormat="1" ht="15" customHeight="1" x14ac:dyDescent="0.25">
      <c r="A3" s="3"/>
      <c r="B3" s="120"/>
      <c r="C3" s="3"/>
      <c r="D3" s="3"/>
      <c r="G3" s="40"/>
    </row>
    <row r="4" spans="1:8" ht="15" customHeight="1" x14ac:dyDescent="0.25">
      <c r="A4" s="22">
        <v>51401</v>
      </c>
      <c r="B4" s="121" t="s">
        <v>28</v>
      </c>
      <c r="C4" s="136">
        <v>4.4385038765418952E-2</v>
      </c>
      <c r="D4" s="136">
        <v>2.9765672442655468E-2</v>
      </c>
      <c r="E4" s="123">
        <v>2.5047941558283625E-2</v>
      </c>
      <c r="F4" s="123">
        <v>1.2616199548253172E-2</v>
      </c>
      <c r="G4" s="40"/>
    </row>
    <row r="5" spans="1:8" ht="15" customHeight="1" x14ac:dyDescent="0.25">
      <c r="A5" s="22">
        <v>51421</v>
      </c>
      <c r="B5" s="22" t="s">
        <v>29</v>
      </c>
      <c r="C5" s="136">
        <v>3.2280526828833443E-2</v>
      </c>
      <c r="D5" s="136">
        <v>9.0405578759857174E-3</v>
      </c>
      <c r="E5" s="123">
        <v>2.2909363428836326E-2</v>
      </c>
      <c r="F5" s="123">
        <v>1.3172534730953275E-2</v>
      </c>
      <c r="G5" s="22"/>
    </row>
    <row r="6" spans="1:8" ht="15" customHeight="1" x14ac:dyDescent="0.25">
      <c r="A6" s="22">
        <v>51402</v>
      </c>
      <c r="B6" s="22" t="s">
        <v>30</v>
      </c>
      <c r="C6" s="136">
        <v>1.7646093237032288E-2</v>
      </c>
      <c r="D6" s="136">
        <v>0</v>
      </c>
      <c r="E6" s="123">
        <v>2.1013713363807654E-2</v>
      </c>
      <c r="F6" s="123">
        <v>0</v>
      </c>
    </row>
    <row r="7" spans="1:8" ht="15" customHeight="1" x14ac:dyDescent="0.25">
      <c r="A7" s="22">
        <v>51404</v>
      </c>
      <c r="B7" s="22" t="s">
        <v>31</v>
      </c>
      <c r="C7" s="136">
        <v>3.5319371473049449E-2</v>
      </c>
      <c r="D7" s="136">
        <v>2.4182720373613638E-2</v>
      </c>
      <c r="E7" s="123">
        <v>2.9199811821058998E-2</v>
      </c>
      <c r="F7" s="123">
        <v>1.8580294433514864E-2</v>
      </c>
    </row>
    <row r="8" spans="1:8" ht="15" customHeight="1" x14ac:dyDescent="0.25">
      <c r="A8" s="22">
        <v>51406</v>
      </c>
      <c r="B8" s="22" t="s">
        <v>32</v>
      </c>
      <c r="C8" s="136">
        <v>2.7700018239347979E-2</v>
      </c>
      <c r="D8" s="136">
        <v>0</v>
      </c>
      <c r="E8" s="123">
        <v>2.2315076904644324E-2</v>
      </c>
      <c r="F8" s="123">
        <v>1.1269862664929433E-2</v>
      </c>
    </row>
    <row r="9" spans="1:8" ht="15" customHeight="1" x14ac:dyDescent="0.25">
      <c r="A9" s="22">
        <v>51407</v>
      </c>
      <c r="B9" s="22" t="s">
        <v>33</v>
      </c>
      <c r="C9" s="136">
        <v>2.6776900296150059E-2</v>
      </c>
      <c r="D9" s="136">
        <v>4.1259917370480015E-2</v>
      </c>
      <c r="E9" s="123">
        <v>2.2454541458483183E-2</v>
      </c>
      <c r="F9" s="123">
        <v>3.2176295623379467E-2</v>
      </c>
    </row>
    <row r="10" spans="1:8" ht="15" customHeight="1" x14ac:dyDescent="0.25">
      <c r="A10" s="22">
        <v>51422</v>
      </c>
      <c r="B10" s="22" t="s">
        <v>105</v>
      </c>
      <c r="C10" s="136">
        <v>4.7126610653941789E-2</v>
      </c>
      <c r="D10" s="136">
        <v>5.1113051195167417E-2</v>
      </c>
      <c r="E10" s="123">
        <v>3.1486072448020097E-2</v>
      </c>
      <c r="F10" s="123">
        <v>7.4589884148984584E-2</v>
      </c>
    </row>
    <row r="11" spans="1:8" ht="15" customHeight="1" x14ac:dyDescent="0.25">
      <c r="A11" s="22">
        <v>51432</v>
      </c>
      <c r="B11" s="22" t="s">
        <v>51</v>
      </c>
      <c r="C11" s="136">
        <v>3.7035607777275562E-2</v>
      </c>
      <c r="D11" s="136">
        <v>2.5947925092151995E-2</v>
      </c>
      <c r="E11" s="123">
        <v>3.7288295430098241E-2</v>
      </c>
      <c r="F11" s="123">
        <v>6.1553831237529742E-2</v>
      </c>
    </row>
    <row r="12" spans="1:8" ht="15" customHeight="1" x14ac:dyDescent="0.25">
      <c r="A12" s="22">
        <v>51428</v>
      </c>
      <c r="B12" s="22" t="s">
        <v>48</v>
      </c>
      <c r="C12" s="136">
        <v>3.9759799207149935E-2</v>
      </c>
      <c r="D12" s="136">
        <v>5.7415183004543124E-2</v>
      </c>
      <c r="E12" s="123">
        <v>2.585269180909262E-2</v>
      </c>
      <c r="F12" s="123">
        <v>0.12032304689246232</v>
      </c>
    </row>
    <row r="13" spans="1:8" ht="15" customHeight="1" x14ac:dyDescent="0.25">
      <c r="A13" s="22">
        <v>51438</v>
      </c>
      <c r="B13" s="22" t="s">
        <v>52</v>
      </c>
      <c r="C13" s="136">
        <v>4.4430298366127975E-2</v>
      </c>
      <c r="D13" s="136">
        <v>3.7687686261096498E-3</v>
      </c>
      <c r="E13" s="123">
        <v>4.1157027845483335E-2</v>
      </c>
      <c r="F13" s="123">
        <v>3.9810916611271036E-2</v>
      </c>
    </row>
    <row r="14" spans="1:8" ht="15" customHeight="1" x14ac:dyDescent="0.25">
      <c r="A14" s="22">
        <v>51405</v>
      </c>
      <c r="B14" s="22" t="s">
        <v>34</v>
      </c>
      <c r="C14" s="136">
        <v>6.0898891674503811E-2</v>
      </c>
      <c r="D14" s="136">
        <v>4.4422429732734886E-2</v>
      </c>
      <c r="E14" s="123">
        <v>5.736502051808956E-2</v>
      </c>
      <c r="F14" s="123">
        <v>4.3595064912386038E-2</v>
      </c>
    </row>
    <row r="15" spans="1:8" ht="15" customHeight="1" x14ac:dyDescent="0.25">
      <c r="A15" s="22">
        <v>30824</v>
      </c>
      <c r="B15" s="22" t="s">
        <v>62</v>
      </c>
      <c r="C15" s="40" t="s">
        <v>108</v>
      </c>
      <c r="D15" s="40" t="s">
        <v>108</v>
      </c>
      <c r="E15" s="40" t="s">
        <v>108</v>
      </c>
      <c r="F15" s="40" t="s">
        <v>108</v>
      </c>
    </row>
    <row r="16" spans="1:8" ht="15" customHeight="1" x14ac:dyDescent="0.25">
      <c r="A16" s="22">
        <v>51409</v>
      </c>
      <c r="B16" s="22" t="s">
        <v>35</v>
      </c>
      <c r="C16" s="136">
        <v>3.7589956400693417E-2</v>
      </c>
      <c r="D16" s="136">
        <v>1.0203813626096557E-2</v>
      </c>
      <c r="E16" s="123">
        <v>2.6436963840974263E-2</v>
      </c>
      <c r="F16" s="123">
        <v>0</v>
      </c>
      <c r="H16" s="1"/>
    </row>
    <row r="17" spans="1:8" ht="15" customHeight="1" x14ac:dyDescent="0.25">
      <c r="A17" s="22">
        <v>51423</v>
      </c>
      <c r="B17" s="22" t="s">
        <v>60</v>
      </c>
      <c r="C17" s="136">
        <v>4.6844285508035828E-2</v>
      </c>
      <c r="D17" s="136">
        <v>0.13193696345079842</v>
      </c>
      <c r="E17" s="123">
        <v>1.862466028671168E-2</v>
      </c>
      <c r="F17" s="123">
        <v>3.1813907958629227E-2</v>
      </c>
      <c r="H17" s="1"/>
    </row>
    <row r="18" spans="1:8" ht="15" customHeight="1" x14ac:dyDescent="0.25">
      <c r="A18" s="22">
        <v>51410</v>
      </c>
      <c r="B18" s="22" t="s">
        <v>36</v>
      </c>
      <c r="C18" s="137">
        <v>3.6879020971434161E-2</v>
      </c>
      <c r="D18" s="136">
        <v>2.127521074501211E-2</v>
      </c>
      <c r="E18" s="123">
        <v>2.5164651528556063E-2</v>
      </c>
      <c r="F18" s="123">
        <v>2.6914381205150956E-2</v>
      </c>
      <c r="H18" s="1"/>
    </row>
    <row r="19" spans="1:8" ht="15" customHeight="1" x14ac:dyDescent="0.25">
      <c r="A19" s="22">
        <v>51424</v>
      </c>
      <c r="B19" s="22" t="s">
        <v>106</v>
      </c>
      <c r="C19" s="136">
        <v>3.1535818019415317E-2</v>
      </c>
      <c r="D19" s="136">
        <v>6.4088118188754803E-2</v>
      </c>
      <c r="E19" s="123">
        <v>2.3944267304519869E-2</v>
      </c>
      <c r="F19" s="123">
        <v>3.5962529843138712E-2</v>
      </c>
      <c r="H19" s="1"/>
    </row>
    <row r="20" spans="1:8" ht="15" customHeight="1" x14ac:dyDescent="0.25">
      <c r="A20" s="22">
        <v>51416</v>
      </c>
      <c r="B20" s="22" t="s">
        <v>37</v>
      </c>
      <c r="C20" s="136">
        <v>3.8274217516124295E-2</v>
      </c>
      <c r="D20" s="136">
        <v>4.5513603510382611E-2</v>
      </c>
      <c r="E20" s="123">
        <v>3.1565941005003616E-2</v>
      </c>
      <c r="F20" s="123">
        <v>4.0044509069063795E-2</v>
      </c>
      <c r="H20" s="1"/>
    </row>
    <row r="21" spans="1:8" ht="15" customHeight="1" x14ac:dyDescent="0.25">
      <c r="A21" s="22">
        <v>51420</v>
      </c>
      <c r="B21" s="22" t="s">
        <v>109</v>
      </c>
      <c r="C21" s="136">
        <v>4.0824133052461915E-2</v>
      </c>
      <c r="D21" s="136">
        <v>1.748150187193297E-2</v>
      </c>
      <c r="E21" s="123">
        <v>2.9992294580521835E-2</v>
      </c>
      <c r="F21" s="123">
        <v>3.2958647582132919E-2</v>
      </c>
      <c r="H21" s="1"/>
    </row>
    <row r="22" spans="1:8" ht="15" customHeight="1" x14ac:dyDescent="0.25">
      <c r="A22" s="22">
        <v>51425</v>
      </c>
      <c r="B22" s="22" t="s">
        <v>50</v>
      </c>
      <c r="C22" s="136">
        <v>4.7486767521302604E-2</v>
      </c>
      <c r="D22" s="136">
        <v>7.9335882406566957E-2</v>
      </c>
      <c r="E22" s="123">
        <v>3.9678312458800116E-2</v>
      </c>
      <c r="F22" s="123">
        <v>6.1070533948582417E-2</v>
      </c>
      <c r="H22" s="1"/>
    </row>
    <row r="23" spans="1:8" ht="15" customHeight="1" x14ac:dyDescent="0.25">
      <c r="A23" s="22">
        <v>51427</v>
      </c>
      <c r="B23" s="22" t="s">
        <v>66</v>
      </c>
      <c r="C23" s="136">
        <v>2.9678564068216288E-2</v>
      </c>
      <c r="D23" s="136">
        <v>7.3966974084189091E-2</v>
      </c>
      <c r="E23" s="123">
        <v>2.4475794246645581E-2</v>
      </c>
      <c r="F23" s="123">
        <v>1.9941481248479428E-2</v>
      </c>
      <c r="H23" s="1"/>
    </row>
    <row r="24" spans="1:8" ht="15" customHeight="1" x14ac:dyDescent="0.25">
      <c r="A24" s="22">
        <v>51429</v>
      </c>
      <c r="B24" s="22" t="s">
        <v>49</v>
      </c>
      <c r="C24" s="136">
        <v>3.7384642173080386E-2</v>
      </c>
      <c r="D24" s="136">
        <v>7.4266063033257904E-2</v>
      </c>
      <c r="E24" s="123">
        <v>3.730118844337376E-2</v>
      </c>
      <c r="F24" s="123">
        <v>4.4608030701930257E-2</v>
      </c>
      <c r="H24" s="1"/>
    </row>
    <row r="25" spans="1:8" ht="15" customHeight="1" x14ac:dyDescent="0.25">
      <c r="A25" s="22">
        <v>51430</v>
      </c>
      <c r="B25" s="22" t="s">
        <v>59</v>
      </c>
      <c r="C25" s="136">
        <v>4.6007955519416957E-2</v>
      </c>
      <c r="D25" s="136">
        <v>2.9543839600319782E-2</v>
      </c>
      <c r="E25" s="123">
        <v>2.0968795694241697E-2</v>
      </c>
      <c r="F25" s="123">
        <v>4.2116479482314027E-2</v>
      </c>
      <c r="H25" s="1"/>
    </row>
    <row r="26" spans="1:8" ht="15" customHeight="1" x14ac:dyDescent="0.25">
      <c r="A26" s="22">
        <v>51431</v>
      </c>
      <c r="B26" s="22" t="s">
        <v>58</v>
      </c>
      <c r="C26" s="136">
        <v>4.9214469989795784E-2</v>
      </c>
      <c r="D26" s="136">
        <v>7.0069205692418271E-2</v>
      </c>
      <c r="E26" s="123">
        <v>3.4256277145187537E-2</v>
      </c>
      <c r="F26" s="123">
        <v>6.4094959692765324E-2</v>
      </c>
      <c r="H26" s="1"/>
    </row>
    <row r="27" spans="1:8" ht="15" customHeight="1" x14ac:dyDescent="0.25">
      <c r="A27" s="22">
        <v>51436</v>
      </c>
      <c r="B27" s="22" t="s">
        <v>67</v>
      </c>
      <c r="C27" s="136">
        <v>3.1418312339242714E-2</v>
      </c>
      <c r="D27" s="136">
        <v>4.5631710366822627E-2</v>
      </c>
      <c r="E27" s="123">
        <v>3.0386175030830669E-2</v>
      </c>
      <c r="F27" s="123">
        <v>3.0753268387428097E-2</v>
      </c>
      <c r="H27" s="1"/>
    </row>
    <row r="28" spans="1:8" ht="15" customHeight="1" x14ac:dyDescent="0.25">
      <c r="A28" s="22">
        <v>51434</v>
      </c>
      <c r="B28" s="22" t="s">
        <v>107</v>
      </c>
      <c r="C28" s="136">
        <v>4.4779357825022348E-2</v>
      </c>
      <c r="D28" s="136">
        <v>6.8191915469577018E-3</v>
      </c>
      <c r="E28" s="123">
        <v>4.4583319883726463E-2</v>
      </c>
      <c r="F28" s="123">
        <v>2.9706923177549641E-2</v>
      </c>
      <c r="H28" s="1"/>
    </row>
    <row r="29" spans="1:8" ht="15" customHeight="1" x14ac:dyDescent="0.25">
      <c r="A29" s="22">
        <v>51439</v>
      </c>
      <c r="B29" s="22" t="s">
        <v>53</v>
      </c>
      <c r="C29" s="136">
        <v>3.2897421448419416E-2</v>
      </c>
      <c r="D29" s="136">
        <v>1.154227308940411E-2</v>
      </c>
      <c r="E29" s="123">
        <v>2.9289089669674469E-2</v>
      </c>
      <c r="F29" s="123">
        <v>2.5406985476770866E-2</v>
      </c>
      <c r="H29" s="1"/>
    </row>
    <row r="30" spans="1:8" ht="15" customHeight="1" x14ac:dyDescent="0.25">
      <c r="A30" s="22">
        <v>51440</v>
      </c>
      <c r="B30" s="22" t="s">
        <v>68</v>
      </c>
      <c r="C30" s="136">
        <v>4.7668844694267708E-2</v>
      </c>
      <c r="D30" s="136">
        <v>2.995976831112504E-2</v>
      </c>
      <c r="E30" s="123">
        <v>2.9988015549057074E-2</v>
      </c>
      <c r="F30" s="123">
        <v>7.0815813329373381E-2</v>
      </c>
      <c r="H30" s="1"/>
    </row>
    <row r="31" spans="1:8" ht="15" customHeight="1" x14ac:dyDescent="0.25">
      <c r="A31" s="22">
        <v>51441</v>
      </c>
      <c r="B31" s="22" t="s">
        <v>54</v>
      </c>
      <c r="C31" s="136">
        <v>4.3712123277091237E-2</v>
      </c>
      <c r="D31" s="136">
        <v>2.3067889624844181E-2</v>
      </c>
      <c r="E31" s="123">
        <v>3.0159728643573594E-2</v>
      </c>
      <c r="F31" s="123">
        <v>1.7324311828721801E-2</v>
      </c>
      <c r="H31" s="1"/>
    </row>
    <row r="32" spans="1:8" ht="15" customHeight="1" x14ac:dyDescent="0.25">
      <c r="A32" s="22">
        <v>51442</v>
      </c>
      <c r="B32" s="22" t="s">
        <v>55</v>
      </c>
      <c r="C32" s="136">
        <v>3.4782992042674085E-2</v>
      </c>
      <c r="D32" s="136">
        <v>5.3954416205611769E-2</v>
      </c>
      <c r="E32" s="123">
        <v>2.5720447200322929E-2</v>
      </c>
      <c r="F32" s="123">
        <v>5.5946794148759992E-2</v>
      </c>
      <c r="H32" s="1"/>
    </row>
    <row r="33" spans="1:8" ht="15" customHeight="1" x14ac:dyDescent="0.25">
      <c r="A33" s="27">
        <v>51105</v>
      </c>
      <c r="B33" s="27" t="s">
        <v>5</v>
      </c>
      <c r="C33" s="40">
        <v>4.0300000000000002E-2</v>
      </c>
      <c r="D33" s="40">
        <v>5.16E-2</v>
      </c>
      <c r="E33" s="40">
        <v>2.2800000000000001E-2</v>
      </c>
      <c r="F33" s="40">
        <v>5.11E-2</v>
      </c>
      <c r="H33" s="1"/>
    </row>
    <row r="34" spans="1:8" ht="15" customHeight="1" x14ac:dyDescent="0.25">
      <c r="A34" s="22">
        <v>30508</v>
      </c>
      <c r="B34" s="22" t="s">
        <v>46</v>
      </c>
      <c r="C34" s="80" t="s">
        <v>27</v>
      </c>
      <c r="D34" s="80" t="s">
        <v>27</v>
      </c>
      <c r="E34" s="80" t="s">
        <v>27</v>
      </c>
      <c r="F34" s="80" t="s">
        <v>27</v>
      </c>
      <c r="H34" s="1"/>
    </row>
    <row r="35" spans="1:8" ht="15" customHeight="1" x14ac:dyDescent="0.25">
      <c r="A35" s="22">
        <v>51426</v>
      </c>
      <c r="B35" s="22" t="s">
        <v>38</v>
      </c>
      <c r="C35" s="136">
        <v>3.6654512306290174E-2</v>
      </c>
      <c r="D35" s="136">
        <v>7.235205104831384E-2</v>
      </c>
      <c r="E35" s="123">
        <v>4.2430892842019362E-2</v>
      </c>
      <c r="F35" s="123">
        <v>1.4143630947339791E-2</v>
      </c>
      <c r="H35" s="1"/>
    </row>
    <row r="36" spans="1:8" ht="15" customHeight="1" x14ac:dyDescent="0.25">
      <c r="A36" s="22">
        <v>30509</v>
      </c>
      <c r="B36" s="22" t="s">
        <v>39</v>
      </c>
      <c r="C36" s="80" t="s">
        <v>27</v>
      </c>
      <c r="D36" s="80" t="s">
        <v>27</v>
      </c>
      <c r="E36" s="80" t="s">
        <v>27</v>
      </c>
      <c r="F36" s="80" t="s">
        <v>27</v>
      </c>
      <c r="H36" s="1"/>
    </row>
    <row r="37" spans="1:8" ht="15" customHeight="1" x14ac:dyDescent="0.25">
      <c r="A37" s="27">
        <v>60000</v>
      </c>
      <c r="B37" s="27" t="s">
        <v>111</v>
      </c>
      <c r="C37" s="80" t="s">
        <v>27</v>
      </c>
      <c r="D37" s="80" t="s">
        <v>27</v>
      </c>
      <c r="E37" s="80" t="s">
        <v>27</v>
      </c>
      <c r="F37" s="80" t="s">
        <v>27</v>
      </c>
      <c r="H37" s="1"/>
    </row>
    <row r="38" spans="1:8" ht="15" customHeight="1" x14ac:dyDescent="0.25">
      <c r="A38" s="22" t="s">
        <v>135</v>
      </c>
      <c r="B38" s="27" t="s">
        <v>136</v>
      </c>
      <c r="C38" s="135">
        <v>4.0399999999999998E-2</v>
      </c>
      <c r="D38" s="135">
        <v>4.5199999999999997E-2</v>
      </c>
      <c r="E38" s="135">
        <v>2.9399999999999999E-2</v>
      </c>
      <c r="F38" s="135">
        <v>4.2299999999999997E-2</v>
      </c>
      <c r="H38" s="1"/>
    </row>
    <row r="39" spans="1:8" ht="15" customHeight="1" x14ac:dyDescent="0.25">
      <c r="A39" s="22">
        <v>51433</v>
      </c>
      <c r="B39" s="22" t="s">
        <v>40</v>
      </c>
      <c r="C39" s="136">
        <v>4.8072249634612131E-2</v>
      </c>
      <c r="D39" s="136">
        <v>4.2912174822544114E-2</v>
      </c>
      <c r="E39" s="123">
        <v>4.4290856273135247E-2</v>
      </c>
      <c r="F39" s="123">
        <v>2.8992815457697402E-2</v>
      </c>
      <c r="H39" s="1"/>
    </row>
    <row r="40" spans="1:8" ht="15" customHeight="1" x14ac:dyDescent="0.25">
      <c r="A40" s="22">
        <v>51435</v>
      </c>
      <c r="B40" s="22" t="s">
        <v>41</v>
      </c>
      <c r="C40" s="136">
        <v>4.7522929646418979E-2</v>
      </c>
      <c r="D40" s="136">
        <v>5.7283617934364359E-2</v>
      </c>
      <c r="E40" s="123">
        <v>2.8264510068210392E-2</v>
      </c>
      <c r="F40" s="123">
        <v>3.7520756837608464E-2</v>
      </c>
      <c r="H40" s="1"/>
    </row>
    <row r="41" spans="1:8" ht="15" customHeight="1" x14ac:dyDescent="0.25">
      <c r="A41" s="22">
        <v>51437</v>
      </c>
      <c r="B41" s="22" t="s">
        <v>0</v>
      </c>
      <c r="C41" s="136">
        <v>4.4801226329202866E-2</v>
      </c>
      <c r="D41" s="136">
        <v>4.0282385828381416E-2</v>
      </c>
      <c r="E41" s="123">
        <v>2.2964383753120741E-2</v>
      </c>
      <c r="F41" s="123">
        <v>3.5161967920916408E-2</v>
      </c>
      <c r="H41" s="1"/>
    </row>
    <row r="42" spans="1:8" ht="15" customHeight="1" x14ac:dyDescent="0.25">
      <c r="A42" s="22">
        <v>1</v>
      </c>
      <c r="B42" s="22" t="s">
        <v>45</v>
      </c>
      <c r="C42" s="80" t="s">
        <v>27</v>
      </c>
      <c r="D42" s="80" t="s">
        <v>27</v>
      </c>
      <c r="E42" s="80" t="s">
        <v>27</v>
      </c>
      <c r="F42" s="80" t="s">
        <v>27</v>
      </c>
      <c r="H42" s="1"/>
    </row>
    <row r="43" spans="1:8" ht="15" customHeight="1" x14ac:dyDescent="0.25">
      <c r="A43" s="22">
        <v>2</v>
      </c>
      <c r="B43" s="22" t="s">
        <v>47</v>
      </c>
      <c r="C43" s="80" t="s">
        <v>27</v>
      </c>
      <c r="D43" s="80" t="s">
        <v>27</v>
      </c>
      <c r="E43" s="80" t="s">
        <v>27</v>
      </c>
      <c r="F43" s="80" t="s">
        <v>27</v>
      </c>
      <c r="H43" s="1"/>
    </row>
    <row r="44" spans="1:8" ht="15" customHeight="1" x14ac:dyDescent="0.25">
      <c r="A44" s="22" t="s">
        <v>137</v>
      </c>
      <c r="B44" s="27" t="s">
        <v>138</v>
      </c>
      <c r="C44" s="80" t="s">
        <v>27</v>
      </c>
      <c r="D44" s="80" t="s">
        <v>27</v>
      </c>
      <c r="E44" s="80" t="s">
        <v>27</v>
      </c>
      <c r="F44" s="80" t="s">
        <v>27</v>
      </c>
      <c r="H44" s="1"/>
    </row>
    <row r="45" spans="1:8" ht="15" customHeight="1" x14ac:dyDescent="0.25">
      <c r="A45" s="22">
        <v>3</v>
      </c>
      <c r="B45" s="22" t="s">
        <v>57</v>
      </c>
      <c r="C45" s="80" t="s">
        <v>27</v>
      </c>
      <c r="D45" s="80" t="s">
        <v>27</v>
      </c>
      <c r="E45" s="80" t="s">
        <v>27</v>
      </c>
      <c r="F45" s="80" t="s">
        <v>27</v>
      </c>
      <c r="H45" s="1"/>
    </row>
    <row r="46" spans="1:8" ht="15" customHeight="1" x14ac:dyDescent="0.25">
      <c r="A46" s="22">
        <v>4</v>
      </c>
      <c r="B46" s="22" t="s">
        <v>56</v>
      </c>
      <c r="C46" s="80" t="s">
        <v>27</v>
      </c>
      <c r="D46" s="80" t="s">
        <v>27</v>
      </c>
      <c r="E46" s="80" t="s">
        <v>27</v>
      </c>
      <c r="F46" s="80" t="s">
        <v>27</v>
      </c>
      <c r="H46" s="1"/>
    </row>
    <row r="47" spans="1:8" ht="15" customHeight="1" x14ac:dyDescent="0.25">
      <c r="A47" s="22">
        <v>5</v>
      </c>
      <c r="B47" s="22" t="s">
        <v>65</v>
      </c>
      <c r="C47" s="80" t="s">
        <v>27</v>
      </c>
      <c r="D47" s="80" t="s">
        <v>27</v>
      </c>
      <c r="E47" s="80" t="s">
        <v>27</v>
      </c>
      <c r="F47" s="80" t="s">
        <v>27</v>
      </c>
      <c r="H47" s="1"/>
    </row>
    <row r="48" spans="1:8" ht="15" customHeight="1" x14ac:dyDescent="0.25">
      <c r="A48" s="22">
        <v>6</v>
      </c>
      <c r="B48" s="22" t="s">
        <v>61</v>
      </c>
      <c r="C48" s="80" t="s">
        <v>27</v>
      </c>
      <c r="D48" s="80" t="s">
        <v>27</v>
      </c>
      <c r="E48" s="80" t="s">
        <v>27</v>
      </c>
      <c r="F48" s="80" t="s">
        <v>27</v>
      </c>
    </row>
    <row r="49" spans="1:6" ht="15" customHeight="1" x14ac:dyDescent="0.25">
      <c r="A49" s="22">
        <v>7</v>
      </c>
      <c r="B49" s="22" t="s">
        <v>64</v>
      </c>
      <c r="C49" s="80" t="s">
        <v>27</v>
      </c>
      <c r="D49" s="80" t="s">
        <v>27</v>
      </c>
      <c r="E49" s="80" t="s">
        <v>27</v>
      </c>
      <c r="F49" s="80" t="s">
        <v>27</v>
      </c>
    </row>
    <row r="50" spans="1:6" ht="15" customHeight="1" x14ac:dyDescent="0.25">
      <c r="A50" s="22">
        <v>8</v>
      </c>
      <c r="B50" s="22" t="s">
        <v>63</v>
      </c>
      <c r="C50" s="80" t="s">
        <v>27</v>
      </c>
      <c r="D50" s="80" t="s">
        <v>27</v>
      </c>
      <c r="E50" s="80" t="s">
        <v>27</v>
      </c>
      <c r="F50" s="80" t="s">
        <v>27</v>
      </c>
    </row>
    <row r="51" spans="1:6" ht="15" customHeight="1" x14ac:dyDescent="0.25">
      <c r="A51" s="22">
        <v>51418</v>
      </c>
      <c r="B51" s="22" t="s">
        <v>26</v>
      </c>
      <c r="C51" s="136">
        <v>2.8469750889679592E-2</v>
      </c>
      <c r="D51" s="136">
        <v>0.16132360417476554</v>
      </c>
      <c r="E51" s="123">
        <v>2.5224096821899671E-2</v>
      </c>
      <c r="F51" s="123">
        <v>2.802342075876019E-2</v>
      </c>
    </row>
    <row r="52" spans="1:6" ht="15" customHeight="1" x14ac:dyDescent="0.25">
      <c r="A52" s="22">
        <v>51411</v>
      </c>
      <c r="B52" s="22" t="s">
        <v>1</v>
      </c>
      <c r="C52" s="136">
        <v>2.7697073480460983E-2</v>
      </c>
      <c r="D52" s="136">
        <v>3.3671329344082464E-2</v>
      </c>
      <c r="E52" s="123">
        <v>2.862684251357648E-2</v>
      </c>
      <c r="F52" s="123">
        <v>6.9239720713731731E-2</v>
      </c>
    </row>
    <row r="53" spans="1:6" x14ac:dyDescent="0.25">
      <c r="A53" s="1"/>
      <c r="B53" s="1"/>
      <c r="C53" s="3"/>
      <c r="D53" s="3"/>
    </row>
    <row r="55" spans="1:6" x14ac:dyDescent="0.25">
      <c r="B55" s="1"/>
      <c r="C55" s="1"/>
      <c r="D55" s="1"/>
      <c r="E55" s="1"/>
    </row>
    <row r="56" spans="1:6" x14ac:dyDescent="0.25">
      <c r="B56" s="79"/>
      <c r="C56" s="78" t="s">
        <v>44</v>
      </c>
      <c r="D56" s="78" t="s">
        <v>44</v>
      </c>
      <c r="E56" s="1"/>
    </row>
    <row r="57" spans="1:6" ht="22.5" x14ac:dyDescent="0.25">
      <c r="B57" s="79"/>
      <c r="C57" s="77" t="s">
        <v>10</v>
      </c>
      <c r="D57" s="77" t="s">
        <v>11</v>
      </c>
      <c r="E57" s="1"/>
    </row>
    <row r="58" spans="1:6" x14ac:dyDescent="0.25">
      <c r="B58" s="4" t="s">
        <v>12</v>
      </c>
      <c r="C58" s="40">
        <v>8.2797274058976633E-3</v>
      </c>
      <c r="D58" s="40">
        <v>7.8975861410100767E-3</v>
      </c>
      <c r="E58" s="123">
        <v>1.0096153846153951E-2</v>
      </c>
      <c r="F58" s="123">
        <v>0</v>
      </c>
    </row>
    <row r="59" spans="1:6" x14ac:dyDescent="0.25">
      <c r="B59" s="4" t="s">
        <v>13</v>
      </c>
      <c r="C59" s="40">
        <v>6.6797938426071138E-2</v>
      </c>
      <c r="D59" s="40">
        <v>2.5184557115478616E-2</v>
      </c>
      <c r="E59" s="123">
        <v>1.2846696345250874E-2</v>
      </c>
      <c r="F59" s="123">
        <v>0</v>
      </c>
    </row>
    <row r="60" spans="1:6" x14ac:dyDescent="0.25">
      <c r="B60" s="4" t="s">
        <v>14</v>
      </c>
      <c r="C60" s="40">
        <v>0</v>
      </c>
      <c r="D60" s="40">
        <v>2.4253896075228463E-2</v>
      </c>
      <c r="E60" s="123">
        <v>9.114728250788337E-3</v>
      </c>
      <c r="F60" s="123">
        <v>0</v>
      </c>
    </row>
    <row r="61" spans="1:6" x14ac:dyDescent="0.25">
      <c r="B61" s="4" t="s">
        <v>15</v>
      </c>
      <c r="C61" s="40">
        <v>4.3254754236656458E-2</v>
      </c>
      <c r="D61" s="40">
        <v>4.3820506747418157E-2</v>
      </c>
      <c r="E61" s="123">
        <v>2.5429891204417947E-2</v>
      </c>
      <c r="F61" s="123">
        <v>7.0673360926695697E-2</v>
      </c>
    </row>
    <row r="62" spans="1:6" x14ac:dyDescent="0.25">
      <c r="B62" s="4" t="s">
        <v>16</v>
      </c>
      <c r="C62" s="40">
        <v>5.8292966408092971E-2</v>
      </c>
      <c r="D62" s="40">
        <v>4.0686918173757837E-2</v>
      </c>
      <c r="E62" s="123">
        <v>2.2893929881410206E-2</v>
      </c>
      <c r="F62" s="123">
        <v>4.6648395783903188E-2</v>
      </c>
    </row>
  </sheetData>
  <sortState ref="A4:F52">
    <sortCondition ref="B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6" workbookViewId="0">
      <selection activeCell="C1" sqref="C1:F1"/>
    </sheetView>
  </sheetViews>
  <sheetFormatPr defaultRowHeight="15" x14ac:dyDescent="0.25"/>
  <cols>
    <col min="1" max="1" width="9.28515625" style="1" customWidth="1"/>
    <col min="2" max="2" width="51.85546875" style="1" bestFit="1" customWidth="1"/>
    <col min="3" max="3" width="15.7109375" style="1" bestFit="1" customWidth="1"/>
  </cols>
  <sheetData>
    <row r="1" spans="1:3" x14ac:dyDescent="0.25">
      <c r="A1" s="26" t="s">
        <v>23</v>
      </c>
      <c r="B1" s="26" t="s">
        <v>74</v>
      </c>
      <c r="C1" s="1" t="s">
        <v>150</v>
      </c>
    </row>
    <row r="2" spans="1:3" x14ac:dyDescent="0.25">
      <c r="A2" s="22">
        <v>51401</v>
      </c>
      <c r="B2" s="22" t="s">
        <v>28</v>
      </c>
      <c r="C2" s="39">
        <v>4.3</v>
      </c>
    </row>
    <row r="3" spans="1:3" x14ac:dyDescent="0.25">
      <c r="A3" s="22">
        <v>51421</v>
      </c>
      <c r="B3" s="22" t="s">
        <v>29</v>
      </c>
      <c r="C3" s="39">
        <v>4.3</v>
      </c>
    </row>
    <row r="4" spans="1:3" x14ac:dyDescent="0.25">
      <c r="A4" s="22">
        <v>51402</v>
      </c>
      <c r="B4" s="22" t="s">
        <v>30</v>
      </c>
      <c r="C4" s="39">
        <v>4.4000000000000004</v>
      </c>
    </row>
    <row r="5" spans="1:3" x14ac:dyDescent="0.25">
      <c r="A5" s="22">
        <v>51404</v>
      </c>
      <c r="B5" s="22" t="s">
        <v>31</v>
      </c>
      <c r="C5" s="39">
        <v>4.3</v>
      </c>
    </row>
    <row r="6" spans="1:3" x14ac:dyDescent="0.25">
      <c r="A6" s="22">
        <v>51406</v>
      </c>
      <c r="B6" s="22" t="s">
        <v>32</v>
      </c>
      <c r="C6" s="39">
        <v>3.9</v>
      </c>
    </row>
    <row r="7" spans="1:3" x14ac:dyDescent="0.25">
      <c r="A7" s="22">
        <v>51407</v>
      </c>
      <c r="B7" s="22" t="s">
        <v>33</v>
      </c>
      <c r="C7" s="39">
        <v>4.3</v>
      </c>
    </row>
    <row r="8" spans="1:3" x14ac:dyDescent="0.25">
      <c r="A8" s="22">
        <v>51422</v>
      </c>
      <c r="B8" s="22" t="s">
        <v>105</v>
      </c>
      <c r="C8" s="39">
        <v>3.7</v>
      </c>
    </row>
    <row r="9" spans="1:3" x14ac:dyDescent="0.25">
      <c r="A9" s="22">
        <v>51432</v>
      </c>
      <c r="B9" s="22" t="s">
        <v>51</v>
      </c>
      <c r="C9" s="39">
        <v>3.8</v>
      </c>
    </row>
    <row r="10" spans="1:3" x14ac:dyDescent="0.25">
      <c r="A10" s="22">
        <v>51428</v>
      </c>
      <c r="B10" s="22" t="s">
        <v>48</v>
      </c>
      <c r="C10" s="39">
        <v>3.8</v>
      </c>
    </row>
    <row r="11" spans="1:3" x14ac:dyDescent="0.25">
      <c r="A11" s="22">
        <v>51438</v>
      </c>
      <c r="B11" s="22" t="s">
        <v>52</v>
      </c>
      <c r="C11" s="39">
        <v>3.3</v>
      </c>
    </row>
    <row r="12" spans="1:3" x14ac:dyDescent="0.25">
      <c r="A12" s="22">
        <v>51405</v>
      </c>
      <c r="B12" s="22" t="s">
        <v>34</v>
      </c>
      <c r="C12" s="39">
        <v>3.5</v>
      </c>
    </row>
    <row r="13" spans="1:3" x14ac:dyDescent="0.25">
      <c r="A13" s="22">
        <v>30824</v>
      </c>
      <c r="B13" s="22" t="s">
        <v>62</v>
      </c>
      <c r="C13" s="39">
        <v>4.2</v>
      </c>
    </row>
    <row r="14" spans="1:3" x14ac:dyDescent="0.25">
      <c r="A14" s="22">
        <v>51409</v>
      </c>
      <c r="B14" s="22" t="s">
        <v>35</v>
      </c>
      <c r="C14" s="39">
        <v>4.0999999999999996</v>
      </c>
    </row>
    <row r="15" spans="1:3" x14ac:dyDescent="0.25">
      <c r="A15" s="22">
        <v>51423</v>
      </c>
      <c r="B15" s="22" t="s">
        <v>60</v>
      </c>
      <c r="C15" s="39">
        <v>4.3</v>
      </c>
    </row>
    <row r="16" spans="1:3" x14ac:dyDescent="0.25">
      <c r="A16" s="22">
        <v>51410</v>
      </c>
      <c r="B16" s="22" t="s">
        <v>36</v>
      </c>
      <c r="C16" s="39">
        <v>4</v>
      </c>
    </row>
    <row r="17" spans="1:5" x14ac:dyDescent="0.25">
      <c r="A17" s="22">
        <v>51424</v>
      </c>
      <c r="B17" s="22" t="s">
        <v>106</v>
      </c>
      <c r="C17" s="39">
        <v>4.3</v>
      </c>
    </row>
    <row r="18" spans="1:5" x14ac:dyDescent="0.25">
      <c r="A18" s="22">
        <v>51416</v>
      </c>
      <c r="B18" s="22" t="s">
        <v>37</v>
      </c>
      <c r="C18" s="39">
        <v>4.0999999999999996</v>
      </c>
    </row>
    <row r="19" spans="1:5" x14ac:dyDescent="0.25">
      <c r="A19" s="22">
        <v>51420</v>
      </c>
      <c r="B19" s="22" t="s">
        <v>109</v>
      </c>
      <c r="C19" s="39">
        <v>3.8</v>
      </c>
    </row>
    <row r="20" spans="1:5" x14ac:dyDescent="0.25">
      <c r="A20" s="22">
        <v>51425</v>
      </c>
      <c r="B20" s="22" t="s">
        <v>50</v>
      </c>
      <c r="C20" s="39">
        <v>3.9</v>
      </c>
    </row>
    <row r="21" spans="1:5" x14ac:dyDescent="0.25">
      <c r="A21" s="22">
        <v>51427</v>
      </c>
      <c r="B21" s="22" t="s">
        <v>66</v>
      </c>
      <c r="C21" s="39">
        <v>4.3</v>
      </c>
    </row>
    <row r="22" spans="1:5" x14ac:dyDescent="0.25">
      <c r="A22" s="22">
        <v>51429</v>
      </c>
      <c r="B22" s="22" t="s">
        <v>49</v>
      </c>
      <c r="C22" s="39">
        <v>3.9</v>
      </c>
    </row>
    <row r="23" spans="1:5" x14ac:dyDescent="0.25">
      <c r="A23" s="22">
        <v>51430</v>
      </c>
      <c r="B23" s="22" t="s">
        <v>59</v>
      </c>
      <c r="C23" s="39">
        <v>3.3</v>
      </c>
    </row>
    <row r="24" spans="1:5" x14ac:dyDescent="0.25">
      <c r="A24" s="22">
        <v>51431</v>
      </c>
      <c r="B24" s="22" t="s">
        <v>58</v>
      </c>
      <c r="C24" s="39">
        <v>3.9</v>
      </c>
    </row>
    <row r="25" spans="1:5" x14ac:dyDescent="0.25">
      <c r="A25" s="22">
        <v>51436</v>
      </c>
      <c r="B25" s="22" t="s">
        <v>67</v>
      </c>
      <c r="C25" s="39">
        <v>3.9</v>
      </c>
    </row>
    <row r="26" spans="1:5" x14ac:dyDescent="0.25">
      <c r="A26" s="22">
        <v>51434</v>
      </c>
      <c r="B26" s="22" t="s">
        <v>107</v>
      </c>
      <c r="C26" s="39">
        <v>4.0999999999999996</v>
      </c>
    </row>
    <row r="27" spans="1:5" x14ac:dyDescent="0.25">
      <c r="A27" s="22">
        <v>51439</v>
      </c>
      <c r="B27" s="22" t="s">
        <v>53</v>
      </c>
      <c r="C27" s="39">
        <v>4.3</v>
      </c>
    </row>
    <row r="28" spans="1:5" x14ac:dyDescent="0.25">
      <c r="A28" s="22">
        <v>51440</v>
      </c>
      <c r="B28" s="22" t="s">
        <v>68</v>
      </c>
      <c r="C28" s="39">
        <v>3.7</v>
      </c>
    </row>
    <row r="29" spans="1:5" x14ac:dyDescent="0.25">
      <c r="A29" s="22">
        <v>51441</v>
      </c>
      <c r="B29" s="22" t="s">
        <v>54</v>
      </c>
      <c r="C29" s="39">
        <v>3.8</v>
      </c>
    </row>
    <row r="30" spans="1:5" x14ac:dyDescent="0.25">
      <c r="A30" s="22">
        <v>51442</v>
      </c>
      <c r="B30" s="22" t="s">
        <v>55</v>
      </c>
      <c r="C30" s="39">
        <v>3.8</v>
      </c>
    </row>
    <row r="31" spans="1:5" x14ac:dyDescent="0.25">
      <c r="A31" s="27">
        <v>51105</v>
      </c>
      <c r="B31" s="27" t="s">
        <v>5</v>
      </c>
      <c r="C31" s="39">
        <v>3.9</v>
      </c>
    </row>
    <row r="32" spans="1:5" x14ac:dyDescent="0.25">
      <c r="A32" s="22">
        <v>30508</v>
      </c>
      <c r="B32" s="22" t="s">
        <v>46</v>
      </c>
      <c r="C32" s="39">
        <v>4.2</v>
      </c>
      <c r="E32" t="s">
        <v>169</v>
      </c>
    </row>
    <row r="33" spans="1:3" x14ac:dyDescent="0.25">
      <c r="A33" s="22">
        <v>51426</v>
      </c>
      <c r="B33" s="22" t="s">
        <v>38</v>
      </c>
      <c r="C33" s="39">
        <v>4</v>
      </c>
    </row>
    <row r="34" spans="1:3" x14ac:dyDescent="0.25">
      <c r="A34" s="22">
        <v>30509</v>
      </c>
      <c r="B34" s="22" t="s">
        <v>39</v>
      </c>
      <c r="C34" s="39">
        <v>4.2</v>
      </c>
    </row>
    <row r="35" spans="1:3" x14ac:dyDescent="0.25">
      <c r="A35" s="27">
        <v>60000</v>
      </c>
      <c r="B35" s="27" t="s">
        <v>111</v>
      </c>
      <c r="C35" s="118" t="s">
        <v>27</v>
      </c>
    </row>
    <row r="36" spans="1:3" x14ac:dyDescent="0.25">
      <c r="A36" s="22" t="s">
        <v>135</v>
      </c>
      <c r="B36" s="27" t="s">
        <v>136</v>
      </c>
      <c r="C36" s="39">
        <v>4</v>
      </c>
    </row>
    <row r="37" spans="1:3" x14ac:dyDescent="0.25">
      <c r="A37" s="22">
        <v>51433</v>
      </c>
      <c r="B37" s="22" t="s">
        <v>40</v>
      </c>
      <c r="C37" s="39">
        <v>4.0999999999999996</v>
      </c>
    </row>
    <row r="38" spans="1:3" x14ac:dyDescent="0.25">
      <c r="A38" s="22">
        <v>51435</v>
      </c>
      <c r="B38" s="22" t="s">
        <v>41</v>
      </c>
      <c r="C38" s="39">
        <v>3.8</v>
      </c>
    </row>
    <row r="39" spans="1:3" x14ac:dyDescent="0.25">
      <c r="A39" s="22">
        <v>51437</v>
      </c>
      <c r="B39" s="22" t="s">
        <v>0</v>
      </c>
      <c r="C39" s="39">
        <v>4.5</v>
      </c>
    </row>
    <row r="40" spans="1:3" x14ac:dyDescent="0.25">
      <c r="A40" s="22">
        <v>1</v>
      </c>
      <c r="B40" s="22" t="s">
        <v>45</v>
      </c>
      <c r="C40" s="118" t="s">
        <v>27</v>
      </c>
    </row>
    <row r="41" spans="1:3" x14ac:dyDescent="0.25">
      <c r="A41" s="22">
        <v>2</v>
      </c>
      <c r="B41" s="22" t="s">
        <v>47</v>
      </c>
      <c r="C41" s="118" t="s">
        <v>27</v>
      </c>
    </row>
    <row r="42" spans="1:3" x14ac:dyDescent="0.25">
      <c r="A42" s="22" t="s">
        <v>137</v>
      </c>
      <c r="B42" s="27" t="s">
        <v>138</v>
      </c>
      <c r="C42" s="118" t="s">
        <v>27</v>
      </c>
    </row>
    <row r="43" spans="1:3" x14ac:dyDescent="0.25">
      <c r="A43" s="22">
        <v>3</v>
      </c>
      <c r="B43" s="22" t="s">
        <v>57</v>
      </c>
      <c r="C43" s="118" t="s">
        <v>27</v>
      </c>
    </row>
    <row r="44" spans="1:3" x14ac:dyDescent="0.25">
      <c r="A44" s="22">
        <v>4</v>
      </c>
      <c r="B44" s="22" t="s">
        <v>56</v>
      </c>
      <c r="C44" s="118" t="s">
        <v>27</v>
      </c>
    </row>
    <row r="45" spans="1:3" x14ac:dyDescent="0.25">
      <c r="A45" s="22">
        <v>5</v>
      </c>
      <c r="B45" s="22" t="s">
        <v>65</v>
      </c>
      <c r="C45" s="118" t="s">
        <v>27</v>
      </c>
    </row>
    <row r="46" spans="1:3" x14ac:dyDescent="0.25">
      <c r="A46" s="22">
        <v>6</v>
      </c>
      <c r="B46" s="22" t="s">
        <v>61</v>
      </c>
      <c r="C46" s="118" t="s">
        <v>27</v>
      </c>
    </row>
    <row r="47" spans="1:3" x14ac:dyDescent="0.25">
      <c r="A47" s="22">
        <v>7</v>
      </c>
      <c r="B47" s="22" t="s">
        <v>64</v>
      </c>
      <c r="C47" s="118" t="s">
        <v>27</v>
      </c>
    </row>
    <row r="48" spans="1:3" x14ac:dyDescent="0.25">
      <c r="A48" s="22">
        <v>8</v>
      </c>
      <c r="B48" s="22" t="s">
        <v>63</v>
      </c>
      <c r="C48" s="118" t="s">
        <v>27</v>
      </c>
    </row>
    <row r="49" spans="1:3" x14ac:dyDescent="0.25">
      <c r="A49" s="22">
        <v>51418</v>
      </c>
      <c r="B49" s="22" t="s">
        <v>26</v>
      </c>
      <c r="C49" s="39">
        <v>4.3</v>
      </c>
    </row>
    <row r="50" spans="1:3" x14ac:dyDescent="0.25">
      <c r="A50" s="22">
        <v>51411</v>
      </c>
      <c r="B50" s="22" t="s">
        <v>1</v>
      </c>
      <c r="C50" s="118" t="s">
        <v>204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1" sqref="C1:F1"/>
    </sheetView>
  </sheetViews>
  <sheetFormatPr defaultRowHeight="15" x14ac:dyDescent="0.25"/>
  <cols>
    <col min="1" max="1" width="9.28515625" customWidth="1"/>
    <col min="2" max="2" width="51.85546875" bestFit="1" customWidth="1"/>
    <col min="3" max="3" width="15.7109375" bestFit="1" customWidth="1"/>
    <col min="4" max="4" width="37.42578125" bestFit="1" customWidth="1"/>
    <col min="5" max="5" width="45.7109375" style="1" bestFit="1" customWidth="1"/>
    <col min="6" max="6" width="20.7109375" style="1" bestFit="1" customWidth="1"/>
    <col min="7" max="7" width="26.7109375" style="1" bestFit="1" customWidth="1"/>
    <col min="8" max="8" width="23.42578125" style="1" bestFit="1" customWidth="1"/>
    <col min="9" max="9" width="15.7109375" bestFit="1" customWidth="1"/>
    <col min="10" max="10" width="16.42578125" bestFit="1" customWidth="1"/>
  </cols>
  <sheetData>
    <row r="1" spans="1:11" x14ac:dyDescent="0.25">
      <c r="A1" s="26" t="s">
        <v>23</v>
      </c>
      <c r="B1" s="26" t="s">
        <v>74</v>
      </c>
      <c r="C1" s="60" t="s">
        <v>91</v>
      </c>
      <c r="D1" s="60" t="s">
        <v>151</v>
      </c>
      <c r="E1" s="60" t="s">
        <v>152</v>
      </c>
      <c r="F1" s="60" t="s">
        <v>153</v>
      </c>
      <c r="G1" s="60" t="s">
        <v>154</v>
      </c>
      <c r="H1" s="60" t="s">
        <v>155</v>
      </c>
      <c r="I1" s="39"/>
      <c r="J1" s="1"/>
    </row>
    <row r="2" spans="1:11" x14ac:dyDescent="0.25">
      <c r="A2" s="22">
        <v>51401</v>
      </c>
      <c r="B2" s="22" t="s">
        <v>28</v>
      </c>
      <c r="C2" s="39" t="s">
        <v>181</v>
      </c>
      <c r="D2" s="39">
        <v>72.900000000000006</v>
      </c>
      <c r="E2" s="39">
        <v>57.5</v>
      </c>
      <c r="F2" s="39">
        <v>54.8</v>
      </c>
      <c r="G2" s="39">
        <v>42.6</v>
      </c>
      <c r="H2" s="118" t="s">
        <v>27</v>
      </c>
    </row>
    <row r="3" spans="1:11" x14ac:dyDescent="0.25">
      <c r="A3" s="22">
        <v>51421</v>
      </c>
      <c r="B3" s="22" t="s">
        <v>29</v>
      </c>
      <c r="C3" s="39" t="s">
        <v>183</v>
      </c>
      <c r="D3" s="39">
        <v>79.2</v>
      </c>
      <c r="E3" s="39">
        <v>92.5</v>
      </c>
      <c r="F3" s="39">
        <v>98.8</v>
      </c>
      <c r="G3" s="39">
        <v>83.3</v>
      </c>
      <c r="H3" s="118" t="s">
        <v>27</v>
      </c>
      <c r="K3" s="2"/>
    </row>
    <row r="4" spans="1:11" x14ac:dyDescent="0.25">
      <c r="A4" s="22">
        <v>51402</v>
      </c>
      <c r="B4" s="22" t="s">
        <v>30</v>
      </c>
      <c r="C4" s="160" t="s">
        <v>219</v>
      </c>
      <c r="D4" s="160">
        <v>60.4</v>
      </c>
      <c r="E4" s="160">
        <v>72.5</v>
      </c>
      <c r="F4" s="160">
        <v>75</v>
      </c>
      <c r="G4" s="160">
        <v>61.1</v>
      </c>
      <c r="H4" s="118" t="s">
        <v>27</v>
      </c>
    </row>
    <row r="5" spans="1:11" x14ac:dyDescent="0.25">
      <c r="A5" s="22">
        <v>51404</v>
      </c>
      <c r="B5" s="22" t="s">
        <v>31</v>
      </c>
      <c r="C5" s="160" t="s">
        <v>233</v>
      </c>
      <c r="D5" s="160">
        <v>70.8</v>
      </c>
      <c r="E5" s="160">
        <v>90</v>
      </c>
      <c r="F5" s="160">
        <v>67.900000000000006</v>
      </c>
      <c r="G5" s="160">
        <v>68.5</v>
      </c>
      <c r="H5" s="118" t="s">
        <v>27</v>
      </c>
      <c r="I5" s="2" t="s">
        <v>232</v>
      </c>
    </row>
    <row r="6" spans="1:11" x14ac:dyDescent="0.25">
      <c r="A6" s="22">
        <v>51406</v>
      </c>
      <c r="B6" s="22" t="s">
        <v>32</v>
      </c>
      <c r="C6" s="161" t="s">
        <v>220</v>
      </c>
      <c r="D6" s="161">
        <v>52.1</v>
      </c>
      <c r="E6" s="161">
        <v>90</v>
      </c>
      <c r="F6" s="161">
        <v>56</v>
      </c>
      <c r="G6" s="161">
        <v>64.8</v>
      </c>
      <c r="H6" s="118" t="s">
        <v>27</v>
      </c>
    </row>
    <row r="7" spans="1:11" x14ac:dyDescent="0.25">
      <c r="A7" s="22">
        <v>51407</v>
      </c>
      <c r="B7" s="22" t="s">
        <v>33</v>
      </c>
      <c r="C7" s="160" t="s">
        <v>221</v>
      </c>
      <c r="D7" s="160">
        <v>60.4</v>
      </c>
      <c r="E7" s="160">
        <v>92.5</v>
      </c>
      <c r="F7" s="160">
        <v>65.5</v>
      </c>
      <c r="G7" s="160">
        <v>62</v>
      </c>
      <c r="H7" s="118" t="s">
        <v>27</v>
      </c>
    </row>
    <row r="8" spans="1:11" x14ac:dyDescent="0.25">
      <c r="A8" s="22">
        <v>51422</v>
      </c>
      <c r="B8" s="22" t="s">
        <v>105</v>
      </c>
      <c r="C8" s="39" t="s">
        <v>184</v>
      </c>
      <c r="D8" s="39">
        <v>47.9</v>
      </c>
      <c r="E8" s="39">
        <v>45</v>
      </c>
      <c r="F8" s="39">
        <v>65.5</v>
      </c>
      <c r="G8" s="39">
        <v>53.7</v>
      </c>
      <c r="H8" s="118" t="s">
        <v>27</v>
      </c>
    </row>
    <row r="9" spans="1:11" x14ac:dyDescent="0.25">
      <c r="A9" s="22">
        <v>51432</v>
      </c>
      <c r="B9" s="22" t="s">
        <v>51</v>
      </c>
      <c r="C9" s="39" t="s">
        <v>185</v>
      </c>
      <c r="D9" s="39">
        <v>37.5</v>
      </c>
      <c r="E9" s="39">
        <v>80</v>
      </c>
      <c r="F9" s="39">
        <v>48.8</v>
      </c>
      <c r="G9" s="39">
        <v>43.5</v>
      </c>
      <c r="H9" s="118" t="s">
        <v>27</v>
      </c>
    </row>
    <row r="10" spans="1:11" x14ac:dyDescent="0.25">
      <c r="A10" s="22">
        <v>51428</v>
      </c>
      <c r="B10" s="22" t="s">
        <v>48</v>
      </c>
      <c r="C10" s="2" t="s">
        <v>213</v>
      </c>
      <c r="D10" s="158">
        <v>64.599999999999994</v>
      </c>
      <c r="E10" s="158">
        <v>80</v>
      </c>
      <c r="F10" s="158">
        <v>61.9</v>
      </c>
      <c r="G10" s="158">
        <v>54.6</v>
      </c>
      <c r="H10" s="118" t="s">
        <v>27</v>
      </c>
    </row>
    <row r="11" spans="1:11" x14ac:dyDescent="0.25">
      <c r="A11" s="22">
        <v>51438</v>
      </c>
      <c r="B11" s="22" t="s">
        <v>52</v>
      </c>
      <c r="C11" s="39" t="s">
        <v>186</v>
      </c>
      <c r="D11" s="39">
        <v>72.900000000000006</v>
      </c>
      <c r="E11" s="39">
        <v>60</v>
      </c>
      <c r="F11" s="39">
        <v>40.5</v>
      </c>
      <c r="G11" s="39">
        <v>38.9</v>
      </c>
      <c r="H11" s="118" t="s">
        <v>27</v>
      </c>
    </row>
    <row r="12" spans="1:11" x14ac:dyDescent="0.25">
      <c r="A12" s="22">
        <v>51405</v>
      </c>
      <c r="B12" s="22" t="s">
        <v>34</v>
      </c>
      <c r="C12" s="2" t="s">
        <v>213</v>
      </c>
      <c r="D12" s="158">
        <v>77.099999999999994</v>
      </c>
      <c r="E12" s="158">
        <v>77.5</v>
      </c>
      <c r="F12" s="158">
        <v>66.7</v>
      </c>
      <c r="G12" s="158">
        <v>58.3</v>
      </c>
      <c r="H12" s="118" t="s">
        <v>27</v>
      </c>
    </row>
    <row r="13" spans="1:11" x14ac:dyDescent="0.25">
      <c r="A13" s="22">
        <v>30824</v>
      </c>
      <c r="B13" s="22" t="s">
        <v>62</v>
      </c>
      <c r="C13" s="39" t="s">
        <v>195</v>
      </c>
      <c r="D13" s="39">
        <v>79.2</v>
      </c>
      <c r="E13" s="39">
        <v>72.5</v>
      </c>
      <c r="F13" s="39">
        <v>84.5</v>
      </c>
      <c r="G13" s="39">
        <v>56.5</v>
      </c>
      <c r="H13" s="118" t="s">
        <v>27</v>
      </c>
      <c r="I13" s="39"/>
      <c r="J13" s="39"/>
      <c r="K13" s="39"/>
    </row>
    <row r="14" spans="1:11" x14ac:dyDescent="0.25">
      <c r="A14" s="22">
        <v>51409</v>
      </c>
      <c r="B14" s="22" t="s">
        <v>35</v>
      </c>
      <c r="C14" s="160" t="s">
        <v>226</v>
      </c>
      <c r="D14" s="160">
        <v>75</v>
      </c>
      <c r="E14" s="160">
        <v>82.5</v>
      </c>
      <c r="F14" s="160">
        <v>75</v>
      </c>
      <c r="G14" s="160">
        <v>66.7</v>
      </c>
      <c r="H14" s="118" t="s">
        <v>27</v>
      </c>
    </row>
    <row r="15" spans="1:11" x14ac:dyDescent="0.25">
      <c r="A15" s="22">
        <v>51423</v>
      </c>
      <c r="B15" s="22" t="s">
        <v>60</v>
      </c>
      <c r="C15" s="161" t="s">
        <v>227</v>
      </c>
      <c r="D15" s="161">
        <v>47.9</v>
      </c>
      <c r="E15" s="161">
        <v>90</v>
      </c>
      <c r="F15" s="161">
        <v>51.2</v>
      </c>
      <c r="G15" s="161">
        <v>43.5</v>
      </c>
      <c r="H15" s="118" t="s">
        <v>27</v>
      </c>
    </row>
    <row r="16" spans="1:11" x14ac:dyDescent="0.25">
      <c r="A16" s="22">
        <v>51410</v>
      </c>
      <c r="B16" s="96" t="s">
        <v>36</v>
      </c>
      <c r="C16" s="39" t="s">
        <v>187</v>
      </c>
      <c r="D16" s="39">
        <v>52.1</v>
      </c>
      <c r="E16" s="39">
        <v>82.5</v>
      </c>
      <c r="F16" s="39">
        <v>76.2</v>
      </c>
      <c r="G16" s="39">
        <v>63</v>
      </c>
      <c r="H16" s="118" t="s">
        <v>27</v>
      </c>
    </row>
    <row r="17" spans="1:8" x14ac:dyDescent="0.25">
      <c r="A17" s="22">
        <v>51424</v>
      </c>
      <c r="B17" s="22" t="s">
        <v>106</v>
      </c>
      <c r="C17" s="160" t="s">
        <v>228</v>
      </c>
      <c r="D17" s="160">
        <v>66.7</v>
      </c>
      <c r="E17" s="160">
        <v>90</v>
      </c>
      <c r="F17" s="160">
        <v>73.8</v>
      </c>
      <c r="G17" s="160">
        <v>65.7</v>
      </c>
      <c r="H17" s="118" t="s">
        <v>27</v>
      </c>
    </row>
    <row r="18" spans="1:8" x14ac:dyDescent="0.25">
      <c r="A18" s="22">
        <v>51416</v>
      </c>
      <c r="B18" s="22" t="s">
        <v>37</v>
      </c>
      <c r="C18" s="39" t="s">
        <v>186</v>
      </c>
      <c r="D18" s="39">
        <v>70.8</v>
      </c>
      <c r="E18" s="39">
        <v>80</v>
      </c>
      <c r="F18" s="39">
        <v>59.5</v>
      </c>
      <c r="G18" s="39">
        <v>60.2</v>
      </c>
      <c r="H18" s="118" t="s">
        <v>27</v>
      </c>
    </row>
    <row r="19" spans="1:8" x14ac:dyDescent="0.25">
      <c r="A19" s="22">
        <v>51420</v>
      </c>
      <c r="B19" s="22" t="s">
        <v>109</v>
      </c>
      <c r="C19" s="39" t="s">
        <v>212</v>
      </c>
      <c r="D19" s="158">
        <v>58.3</v>
      </c>
      <c r="E19" s="158">
        <v>67.5</v>
      </c>
      <c r="F19" s="158">
        <v>51.2</v>
      </c>
      <c r="G19" s="158">
        <v>46.3</v>
      </c>
      <c r="H19" s="118" t="s">
        <v>27</v>
      </c>
    </row>
    <row r="20" spans="1:8" x14ac:dyDescent="0.25">
      <c r="A20" s="22">
        <v>51425</v>
      </c>
      <c r="B20" s="22" t="s">
        <v>50</v>
      </c>
      <c r="C20" s="39" t="s">
        <v>189</v>
      </c>
      <c r="D20" s="39">
        <v>62.5</v>
      </c>
      <c r="E20" s="39">
        <v>72.5</v>
      </c>
      <c r="F20" s="39">
        <v>64.3</v>
      </c>
      <c r="G20" s="39">
        <v>56.5</v>
      </c>
      <c r="H20" s="118" t="s">
        <v>27</v>
      </c>
    </row>
    <row r="21" spans="1:8" x14ac:dyDescent="0.25">
      <c r="A21" s="22">
        <v>51427</v>
      </c>
      <c r="B21" s="22" t="s">
        <v>66</v>
      </c>
      <c r="C21" s="116" t="s">
        <v>190</v>
      </c>
      <c r="D21" s="39">
        <v>50</v>
      </c>
      <c r="E21" s="39">
        <v>82.5</v>
      </c>
      <c r="F21" s="39">
        <v>63.1</v>
      </c>
      <c r="G21" s="39">
        <v>70.400000000000006</v>
      </c>
      <c r="H21" s="118" t="s">
        <v>27</v>
      </c>
    </row>
    <row r="22" spans="1:8" x14ac:dyDescent="0.25">
      <c r="A22" s="22">
        <v>51429</v>
      </c>
      <c r="B22" s="22" t="s">
        <v>49</v>
      </c>
      <c r="C22" s="2" t="s">
        <v>214</v>
      </c>
      <c r="D22" s="158">
        <v>77.099999999999994</v>
      </c>
      <c r="E22" s="158">
        <v>85</v>
      </c>
      <c r="F22" s="158">
        <v>59.5</v>
      </c>
      <c r="G22" s="158">
        <v>68.5</v>
      </c>
      <c r="H22" s="118" t="s">
        <v>27</v>
      </c>
    </row>
    <row r="23" spans="1:8" x14ac:dyDescent="0.25">
      <c r="A23" s="22">
        <v>51430</v>
      </c>
      <c r="B23" s="22" t="s">
        <v>59</v>
      </c>
      <c r="C23" s="161" t="s">
        <v>223</v>
      </c>
      <c r="D23" s="161">
        <v>47.9</v>
      </c>
      <c r="E23" s="161">
        <v>92.5</v>
      </c>
      <c r="F23" s="161">
        <v>56</v>
      </c>
      <c r="G23" s="161">
        <v>51.9</v>
      </c>
      <c r="H23" s="118" t="s">
        <v>27</v>
      </c>
    </row>
    <row r="24" spans="1:8" x14ac:dyDescent="0.25">
      <c r="A24" s="22">
        <v>51431</v>
      </c>
      <c r="B24" s="22" t="s">
        <v>58</v>
      </c>
      <c r="C24" s="116" t="s">
        <v>191</v>
      </c>
      <c r="D24" s="39">
        <v>77.099999999999994</v>
      </c>
      <c r="E24" s="39">
        <v>72.5</v>
      </c>
      <c r="F24" s="39">
        <v>65.5</v>
      </c>
      <c r="G24" s="39">
        <v>66.7</v>
      </c>
      <c r="H24" s="118" t="s">
        <v>27</v>
      </c>
    </row>
    <row r="25" spans="1:8" x14ac:dyDescent="0.25">
      <c r="A25" s="22">
        <v>51436</v>
      </c>
      <c r="B25" s="22" t="s">
        <v>67</v>
      </c>
      <c r="C25" s="2" t="s">
        <v>215</v>
      </c>
      <c r="D25" s="158">
        <v>47.9</v>
      </c>
      <c r="E25" s="158">
        <v>85</v>
      </c>
      <c r="F25" s="158">
        <v>57.1</v>
      </c>
      <c r="G25" s="158">
        <v>47.2</v>
      </c>
      <c r="H25" s="118" t="s">
        <v>27</v>
      </c>
    </row>
    <row r="26" spans="1:8" x14ac:dyDescent="0.25">
      <c r="A26" s="22">
        <v>51434</v>
      </c>
      <c r="B26" s="22" t="s">
        <v>107</v>
      </c>
      <c r="C26" s="2" t="s">
        <v>216</v>
      </c>
      <c r="D26" s="158">
        <v>39.6</v>
      </c>
      <c r="E26" s="158">
        <v>77.5</v>
      </c>
      <c r="F26" s="158">
        <v>73.8</v>
      </c>
      <c r="G26" s="158">
        <v>64.8</v>
      </c>
      <c r="H26" s="118" t="s">
        <v>27</v>
      </c>
    </row>
    <row r="27" spans="1:8" x14ac:dyDescent="0.25">
      <c r="A27" s="22">
        <v>51439</v>
      </c>
      <c r="B27" s="22" t="s">
        <v>53</v>
      </c>
      <c r="C27" s="160" t="s">
        <v>229</v>
      </c>
      <c r="D27" s="160">
        <v>68.8</v>
      </c>
      <c r="E27" s="160">
        <v>80</v>
      </c>
      <c r="F27" s="160">
        <v>73.8</v>
      </c>
      <c r="G27" s="160">
        <v>65.7</v>
      </c>
      <c r="H27" s="118" t="s">
        <v>27</v>
      </c>
    </row>
    <row r="28" spans="1:8" x14ac:dyDescent="0.25">
      <c r="A28" s="22">
        <v>51440</v>
      </c>
      <c r="B28" s="22" t="s">
        <v>68</v>
      </c>
      <c r="C28" s="39" t="s">
        <v>188</v>
      </c>
      <c r="D28" s="39">
        <v>66.7</v>
      </c>
      <c r="E28" s="39">
        <v>72.5</v>
      </c>
      <c r="F28" s="39">
        <v>53.6</v>
      </c>
      <c r="G28" s="39">
        <v>56.5</v>
      </c>
      <c r="H28" s="118" t="s">
        <v>27</v>
      </c>
    </row>
    <row r="29" spans="1:8" x14ac:dyDescent="0.25">
      <c r="A29" s="22">
        <v>51441</v>
      </c>
      <c r="B29" s="22" t="s">
        <v>54</v>
      </c>
      <c r="C29" s="116" t="s">
        <v>192</v>
      </c>
      <c r="D29" s="39">
        <v>68.8</v>
      </c>
      <c r="E29" s="39">
        <v>97.5</v>
      </c>
      <c r="F29" s="39">
        <v>66.7</v>
      </c>
      <c r="G29" s="39">
        <v>63</v>
      </c>
      <c r="H29" s="118" t="s">
        <v>27</v>
      </c>
    </row>
    <row r="30" spans="1:8" x14ac:dyDescent="0.25">
      <c r="A30" s="22">
        <v>51442</v>
      </c>
      <c r="B30" s="22" t="s">
        <v>55</v>
      </c>
      <c r="C30" s="116" t="s">
        <v>193</v>
      </c>
      <c r="D30" s="39">
        <v>60.4</v>
      </c>
      <c r="E30" s="39">
        <v>67.5</v>
      </c>
      <c r="F30" s="39">
        <v>64.3</v>
      </c>
      <c r="G30" s="39">
        <v>51.9</v>
      </c>
      <c r="H30" s="118" t="s">
        <v>27</v>
      </c>
    </row>
    <row r="31" spans="1:8" x14ac:dyDescent="0.25">
      <c r="A31" s="27">
        <v>51105</v>
      </c>
      <c r="B31" s="27" t="s">
        <v>5</v>
      </c>
      <c r="C31" s="2" t="s">
        <v>218</v>
      </c>
      <c r="D31" s="117">
        <v>51.719576719576708</v>
      </c>
      <c r="E31" s="117">
        <v>46.737213403880091</v>
      </c>
      <c r="F31" s="117">
        <v>62.266778056251717</v>
      </c>
      <c r="G31" s="117">
        <v>49.500962000962019</v>
      </c>
      <c r="H31" s="118" t="s">
        <v>27</v>
      </c>
    </row>
    <row r="32" spans="1:8" x14ac:dyDescent="0.25">
      <c r="A32" s="22">
        <v>30508</v>
      </c>
      <c r="B32" s="22" t="s">
        <v>46</v>
      </c>
      <c r="C32" s="2" t="s">
        <v>217</v>
      </c>
      <c r="D32" s="158">
        <v>47.9</v>
      </c>
      <c r="E32" s="158">
        <v>77.5</v>
      </c>
      <c r="F32" s="158">
        <v>69</v>
      </c>
      <c r="G32" s="158">
        <v>53.7</v>
      </c>
      <c r="H32" s="118" t="s">
        <v>27</v>
      </c>
    </row>
    <row r="33" spans="1:8" x14ac:dyDescent="0.25">
      <c r="A33" s="22">
        <v>51426</v>
      </c>
      <c r="B33" s="22" t="s">
        <v>38</v>
      </c>
      <c r="C33" s="116" t="s">
        <v>194</v>
      </c>
      <c r="D33" s="39">
        <v>58.3</v>
      </c>
      <c r="E33" s="39">
        <v>90</v>
      </c>
      <c r="F33" s="39">
        <v>58.3</v>
      </c>
      <c r="G33" s="39">
        <v>51.9</v>
      </c>
      <c r="H33" s="118" t="s">
        <v>27</v>
      </c>
    </row>
    <row r="34" spans="1:8" ht="15.75" thickBot="1" x14ac:dyDescent="0.3">
      <c r="A34" s="22">
        <v>30509</v>
      </c>
      <c r="B34" s="22" t="s">
        <v>39</v>
      </c>
      <c r="C34" s="162" t="s">
        <v>230</v>
      </c>
      <c r="D34" s="162">
        <v>54.2</v>
      </c>
      <c r="E34" s="162">
        <v>80</v>
      </c>
      <c r="F34" s="162">
        <v>59.5</v>
      </c>
      <c r="G34" s="162">
        <v>49.1</v>
      </c>
      <c r="H34" s="118" t="s">
        <v>27</v>
      </c>
    </row>
    <row r="35" spans="1:8" x14ac:dyDescent="0.25">
      <c r="A35" s="27">
        <v>60000</v>
      </c>
      <c r="B35" s="27" t="s">
        <v>111</v>
      </c>
      <c r="C35" s="39">
        <v>2023</v>
      </c>
      <c r="D35" s="117">
        <v>60.637382102599489</v>
      </c>
      <c r="E35" s="117">
        <v>77.211678552258263</v>
      </c>
      <c r="F35" s="117">
        <v>64.244929957744603</v>
      </c>
      <c r="G35" s="117">
        <v>56.652194826107888</v>
      </c>
      <c r="H35" s="118" t="s">
        <v>27</v>
      </c>
    </row>
    <row r="36" spans="1:8" x14ac:dyDescent="0.25">
      <c r="A36" s="22" t="s">
        <v>135</v>
      </c>
      <c r="B36" s="27" t="s">
        <v>136</v>
      </c>
      <c r="C36" s="39">
        <v>2023</v>
      </c>
      <c r="D36" s="163">
        <v>61.726830966304654</v>
      </c>
      <c r="E36" s="163">
        <v>78.269400352733683</v>
      </c>
      <c r="F36" s="163">
        <v>63.954388896217147</v>
      </c>
      <c r="G36" s="163">
        <v>56.810551631604291</v>
      </c>
      <c r="H36" s="118" t="s">
        <v>27</v>
      </c>
    </row>
    <row r="37" spans="1:8" x14ac:dyDescent="0.25">
      <c r="A37" s="22">
        <v>51433</v>
      </c>
      <c r="B37" s="22" t="s">
        <v>40</v>
      </c>
      <c r="C37" s="160" t="s">
        <v>224</v>
      </c>
      <c r="D37" s="160">
        <v>68.8</v>
      </c>
      <c r="E37" s="160">
        <v>75</v>
      </c>
      <c r="F37" s="160">
        <v>70.2</v>
      </c>
      <c r="G37" s="160">
        <v>51.9</v>
      </c>
      <c r="H37" s="118" t="s">
        <v>27</v>
      </c>
    </row>
    <row r="38" spans="1:8" x14ac:dyDescent="0.25">
      <c r="A38" s="22">
        <v>51435</v>
      </c>
      <c r="B38" s="22" t="s">
        <v>41</v>
      </c>
      <c r="C38" s="161" t="s">
        <v>231</v>
      </c>
      <c r="D38" s="161">
        <v>70.8</v>
      </c>
      <c r="E38" s="161">
        <v>70</v>
      </c>
      <c r="F38" s="161">
        <v>61.9</v>
      </c>
      <c r="G38" s="161">
        <v>48.1</v>
      </c>
      <c r="H38" s="118" t="s">
        <v>27</v>
      </c>
    </row>
    <row r="39" spans="1:8" ht="15.75" thickBot="1" x14ac:dyDescent="0.3">
      <c r="A39" s="22">
        <v>51437</v>
      </c>
      <c r="B39" s="22" t="s">
        <v>0</v>
      </c>
      <c r="C39" s="162" t="s">
        <v>225</v>
      </c>
      <c r="D39" s="162">
        <v>52.1</v>
      </c>
      <c r="E39" s="162">
        <v>87.5</v>
      </c>
      <c r="F39" s="162">
        <v>66.7</v>
      </c>
      <c r="G39" s="162">
        <v>54.6</v>
      </c>
      <c r="H39" s="118" t="s">
        <v>27</v>
      </c>
    </row>
    <row r="40" spans="1:8" x14ac:dyDescent="0.25">
      <c r="A40" s="22">
        <v>1</v>
      </c>
      <c r="B40" s="22" t="s">
        <v>45</v>
      </c>
      <c r="C40" s="22" t="s">
        <v>196</v>
      </c>
      <c r="D40" s="39">
        <v>60.4</v>
      </c>
      <c r="E40" s="39">
        <v>67.5</v>
      </c>
      <c r="F40" s="39">
        <v>67.900000000000006</v>
      </c>
      <c r="G40" s="39">
        <v>53.7</v>
      </c>
      <c r="H40" s="118" t="s">
        <v>27</v>
      </c>
    </row>
    <row r="41" spans="1:8" x14ac:dyDescent="0.25">
      <c r="A41" s="22">
        <v>2</v>
      </c>
      <c r="B41" s="22" t="s">
        <v>47</v>
      </c>
      <c r="C41" s="96" t="s">
        <v>197</v>
      </c>
      <c r="D41" s="39">
        <v>58.3</v>
      </c>
      <c r="E41" s="39">
        <v>62.5</v>
      </c>
      <c r="F41" s="39">
        <v>63.1</v>
      </c>
      <c r="G41" s="39">
        <v>52.8</v>
      </c>
      <c r="H41" s="118" t="s">
        <v>27</v>
      </c>
    </row>
    <row r="42" spans="1:8" x14ac:dyDescent="0.25">
      <c r="A42" s="22" t="s">
        <v>137</v>
      </c>
      <c r="B42" s="27" t="s">
        <v>138</v>
      </c>
      <c r="C42" s="39">
        <v>2023</v>
      </c>
      <c r="D42" s="117">
        <v>55.462500000000006</v>
      </c>
      <c r="E42" s="117">
        <v>72.1875</v>
      </c>
      <c r="F42" s="117">
        <v>65.625</v>
      </c>
      <c r="G42" s="117">
        <v>55.9</v>
      </c>
      <c r="H42" s="118" t="s">
        <v>27</v>
      </c>
    </row>
    <row r="43" spans="1:8" x14ac:dyDescent="0.25">
      <c r="A43" s="22">
        <v>3</v>
      </c>
      <c r="B43" s="22" t="s">
        <v>57</v>
      </c>
      <c r="C43" s="96" t="s">
        <v>198</v>
      </c>
      <c r="D43" s="96">
        <v>72.900000000000006</v>
      </c>
      <c r="E43" s="39">
        <v>90</v>
      </c>
      <c r="F43" s="39">
        <v>82.1</v>
      </c>
      <c r="G43" s="39">
        <v>67.599999999999994</v>
      </c>
      <c r="H43" s="118" t="s">
        <v>27</v>
      </c>
    </row>
    <row r="44" spans="1:8" x14ac:dyDescent="0.25">
      <c r="A44" s="22">
        <v>4</v>
      </c>
      <c r="B44" s="22" t="s">
        <v>56</v>
      </c>
      <c r="C44" s="22" t="s">
        <v>199</v>
      </c>
      <c r="D44" s="96">
        <v>41.7</v>
      </c>
      <c r="E44" s="39">
        <v>60</v>
      </c>
      <c r="F44" s="39">
        <v>57.1</v>
      </c>
      <c r="G44" s="39">
        <v>48.1</v>
      </c>
      <c r="H44" s="118" t="s">
        <v>27</v>
      </c>
    </row>
    <row r="45" spans="1:8" x14ac:dyDescent="0.25">
      <c r="A45" s="22">
        <v>5</v>
      </c>
      <c r="B45" s="22" t="s">
        <v>65</v>
      </c>
      <c r="C45" s="22" t="s">
        <v>200</v>
      </c>
      <c r="D45" s="96">
        <v>50</v>
      </c>
      <c r="E45" s="39">
        <v>75</v>
      </c>
      <c r="F45" s="39">
        <v>77.400000000000006</v>
      </c>
      <c r="G45" s="39">
        <v>68.5</v>
      </c>
      <c r="H45" s="118" t="s">
        <v>27</v>
      </c>
    </row>
    <row r="46" spans="1:8" x14ac:dyDescent="0.25">
      <c r="A46" s="22">
        <v>6</v>
      </c>
      <c r="B46" s="22" t="s">
        <v>61</v>
      </c>
      <c r="C46" s="96" t="s">
        <v>201</v>
      </c>
      <c r="D46" s="96">
        <v>50</v>
      </c>
      <c r="E46" s="39">
        <v>62.5</v>
      </c>
      <c r="F46" s="39">
        <v>63.1</v>
      </c>
      <c r="G46" s="39">
        <v>47.2</v>
      </c>
      <c r="H46" s="118" t="s">
        <v>27</v>
      </c>
    </row>
    <row r="47" spans="1:8" x14ac:dyDescent="0.25">
      <c r="A47" s="22">
        <v>7</v>
      </c>
      <c r="B47" s="22" t="s">
        <v>64</v>
      </c>
      <c r="C47" s="22" t="s">
        <v>202</v>
      </c>
      <c r="D47" s="96">
        <v>52.1</v>
      </c>
      <c r="E47" s="39">
        <v>80</v>
      </c>
      <c r="F47" s="39">
        <v>51.2</v>
      </c>
      <c r="G47" s="39">
        <v>46.3</v>
      </c>
      <c r="H47" s="118" t="s">
        <v>27</v>
      </c>
    </row>
    <row r="48" spans="1:8" ht="15.75" thickBot="1" x14ac:dyDescent="0.3">
      <c r="A48" s="22">
        <v>8</v>
      </c>
      <c r="B48" s="22" t="s">
        <v>63</v>
      </c>
      <c r="C48" s="22" t="s">
        <v>203</v>
      </c>
      <c r="D48" s="159">
        <v>58.3</v>
      </c>
      <c r="E48" s="159">
        <v>80</v>
      </c>
      <c r="F48" s="159">
        <v>63.1</v>
      </c>
      <c r="G48" s="159">
        <v>63</v>
      </c>
      <c r="H48" s="118" t="s">
        <v>27</v>
      </c>
    </row>
    <row r="49" spans="1:8" x14ac:dyDescent="0.25">
      <c r="A49" s="22">
        <v>51418</v>
      </c>
      <c r="B49" s="22" t="s">
        <v>26</v>
      </c>
      <c r="C49" s="161" t="s">
        <v>222</v>
      </c>
      <c r="D49" s="161">
        <v>62.5</v>
      </c>
      <c r="E49" s="161">
        <v>87.5</v>
      </c>
      <c r="F49" s="161">
        <v>65.5</v>
      </c>
      <c r="G49" s="161">
        <v>57.4</v>
      </c>
      <c r="H49" s="118" t="s">
        <v>27</v>
      </c>
    </row>
    <row r="50" spans="1:8" x14ac:dyDescent="0.25">
      <c r="A50" s="22">
        <v>51411</v>
      </c>
      <c r="B50" s="22" t="s">
        <v>1</v>
      </c>
      <c r="C50" s="39" t="s">
        <v>182</v>
      </c>
      <c r="D50" s="39">
        <v>66.7</v>
      </c>
      <c r="E50" s="39">
        <v>72.5</v>
      </c>
      <c r="F50" s="39">
        <v>46.4</v>
      </c>
      <c r="G50" s="39">
        <v>46.3</v>
      </c>
      <c r="H50" s="118" t="s">
        <v>27</v>
      </c>
    </row>
    <row r="53" spans="1:8" x14ac:dyDescent="0.25">
      <c r="D53">
        <f>38+8</f>
        <v>46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pane xSplit="2" ySplit="2" topLeftCell="D30" activePane="bottomRight" state="frozen"/>
      <selection activeCell="C1" sqref="C1:F1"/>
      <selection pane="topRight" activeCell="C1" sqref="C1:F1"/>
      <selection pane="bottomLeft" activeCell="C1" sqref="C1:F1"/>
      <selection pane="bottomRight" activeCell="C1" sqref="C1:F1"/>
    </sheetView>
  </sheetViews>
  <sheetFormatPr defaultRowHeight="15" x14ac:dyDescent="0.25"/>
  <cols>
    <col min="1" max="1" width="9.140625" style="1"/>
    <col min="2" max="2" width="51.85546875" bestFit="1" customWidth="1"/>
    <col min="3" max="3" width="15.5703125" bestFit="1" customWidth="1"/>
    <col min="4" max="4" width="19.28515625" bestFit="1" customWidth="1"/>
    <col min="5" max="5" width="23.42578125" bestFit="1" customWidth="1"/>
    <col min="6" max="6" width="23.42578125" style="1" customWidth="1"/>
    <col min="7" max="7" width="15.5703125" bestFit="1" customWidth="1"/>
    <col min="8" max="8" width="28.5703125" customWidth="1"/>
    <col min="9" max="9" width="23.42578125" bestFit="1" customWidth="1"/>
    <col min="10" max="10" width="18.140625" customWidth="1"/>
    <col min="11" max="11" width="18.140625" style="150" customWidth="1"/>
  </cols>
  <sheetData>
    <row r="1" spans="1:11" s="1" customFormat="1" x14ac:dyDescent="0.25">
      <c r="C1" s="1">
        <v>2021</v>
      </c>
      <c r="D1" s="1">
        <v>2021</v>
      </c>
      <c r="E1" s="1">
        <v>2021</v>
      </c>
      <c r="F1" s="1">
        <v>2021</v>
      </c>
      <c r="G1" s="1">
        <v>2023</v>
      </c>
      <c r="H1" s="1">
        <v>2023</v>
      </c>
      <c r="I1" s="1">
        <v>2023</v>
      </c>
      <c r="J1" s="1">
        <v>2023</v>
      </c>
      <c r="K1" s="150">
        <v>2023</v>
      </c>
    </row>
    <row r="2" spans="1:11" ht="75.75" customHeight="1" thickBot="1" x14ac:dyDescent="0.3">
      <c r="B2" s="24" t="s">
        <v>24</v>
      </c>
      <c r="C2" s="1" t="s">
        <v>7</v>
      </c>
      <c r="D2" s="1" t="s">
        <v>8</v>
      </c>
      <c r="E2" s="25" t="s">
        <v>142</v>
      </c>
      <c r="F2" s="25" t="s">
        <v>146</v>
      </c>
      <c r="G2" s="1" t="s">
        <v>7</v>
      </c>
      <c r="H2" s="1" t="s">
        <v>8</v>
      </c>
      <c r="I2" s="25" t="s">
        <v>142</v>
      </c>
      <c r="J2" s="25" t="s">
        <v>146</v>
      </c>
      <c r="K2" s="151" t="s">
        <v>211</v>
      </c>
    </row>
    <row r="3" spans="1:11" ht="23.25" customHeight="1" thickBot="1" x14ac:dyDescent="0.3">
      <c r="A3" s="27">
        <v>51105</v>
      </c>
      <c r="B3" s="27" t="s">
        <v>5</v>
      </c>
      <c r="C3" s="119" t="s">
        <v>27</v>
      </c>
      <c r="D3" s="41">
        <v>557</v>
      </c>
      <c r="E3" s="41">
        <v>540</v>
      </c>
      <c r="F3" s="41">
        <v>519</v>
      </c>
      <c r="G3" s="142" t="s">
        <v>27</v>
      </c>
      <c r="H3" s="142">
        <v>562</v>
      </c>
      <c r="I3" s="142">
        <v>560</v>
      </c>
      <c r="J3" s="143">
        <v>545</v>
      </c>
      <c r="K3" s="152" t="s">
        <v>27</v>
      </c>
    </row>
    <row r="4" spans="1:11" ht="15.75" thickBot="1" x14ac:dyDescent="0.3">
      <c r="A4" s="22">
        <v>51411</v>
      </c>
      <c r="B4" s="22" t="s">
        <v>1</v>
      </c>
      <c r="C4" s="41">
        <v>564</v>
      </c>
      <c r="D4" s="41">
        <v>548</v>
      </c>
      <c r="E4" s="119" t="s">
        <v>27</v>
      </c>
      <c r="F4" s="119" t="s">
        <v>27</v>
      </c>
      <c r="G4" s="142">
        <v>510</v>
      </c>
      <c r="H4" s="142">
        <v>585</v>
      </c>
      <c r="I4" s="142" t="s">
        <v>27</v>
      </c>
      <c r="J4" s="143" t="s">
        <v>27</v>
      </c>
      <c r="K4" s="153">
        <v>533</v>
      </c>
    </row>
    <row r="5" spans="1:11" ht="15.75" thickBot="1" x14ac:dyDescent="0.3">
      <c r="A5" s="22">
        <v>51430</v>
      </c>
      <c r="B5" s="22" t="s">
        <v>59</v>
      </c>
      <c r="C5" s="41">
        <v>551</v>
      </c>
      <c r="D5" s="41">
        <v>510</v>
      </c>
      <c r="E5" s="41">
        <v>475</v>
      </c>
      <c r="F5" s="41">
        <v>480</v>
      </c>
      <c r="G5" s="142">
        <v>526</v>
      </c>
      <c r="H5" s="142">
        <v>482</v>
      </c>
      <c r="I5" s="142">
        <v>419</v>
      </c>
      <c r="J5" s="143">
        <v>452</v>
      </c>
      <c r="K5" s="153">
        <v>526</v>
      </c>
    </row>
    <row r="6" spans="1:11" ht="15.75" thickBot="1" x14ac:dyDescent="0.3">
      <c r="A6" s="22">
        <v>51439</v>
      </c>
      <c r="B6" s="22" t="s">
        <v>53</v>
      </c>
      <c r="C6" s="41">
        <v>509</v>
      </c>
      <c r="D6" s="41">
        <v>473</v>
      </c>
      <c r="E6" s="41">
        <v>519</v>
      </c>
      <c r="F6" s="41">
        <v>500</v>
      </c>
      <c r="G6" s="142">
        <v>553</v>
      </c>
      <c r="H6" s="142">
        <v>532</v>
      </c>
      <c r="I6" s="142">
        <v>574</v>
      </c>
      <c r="J6" s="143">
        <v>515</v>
      </c>
      <c r="K6" s="153">
        <v>522</v>
      </c>
    </row>
    <row r="7" spans="1:11" ht="15.75" thickBot="1" x14ac:dyDescent="0.3">
      <c r="A7" s="22">
        <v>51428</v>
      </c>
      <c r="B7" s="22" t="s">
        <v>48</v>
      </c>
      <c r="C7" s="41">
        <v>490</v>
      </c>
      <c r="D7" s="41">
        <v>418</v>
      </c>
      <c r="E7" s="41">
        <v>528</v>
      </c>
      <c r="F7" s="41">
        <v>447</v>
      </c>
      <c r="G7" s="142">
        <v>496</v>
      </c>
      <c r="H7" s="142">
        <v>521</v>
      </c>
      <c r="I7" s="142">
        <v>489</v>
      </c>
      <c r="J7" s="143">
        <v>459</v>
      </c>
      <c r="K7" s="153">
        <v>520</v>
      </c>
    </row>
    <row r="8" spans="1:11" ht="15.75" thickBot="1" x14ac:dyDescent="0.3">
      <c r="A8" s="22">
        <v>51407</v>
      </c>
      <c r="B8" s="22" t="s">
        <v>33</v>
      </c>
      <c r="C8" s="41">
        <v>531</v>
      </c>
      <c r="D8" s="41">
        <v>494</v>
      </c>
      <c r="E8" s="41">
        <v>476</v>
      </c>
      <c r="F8" s="41">
        <v>484</v>
      </c>
      <c r="G8" s="142">
        <v>542</v>
      </c>
      <c r="H8" s="142">
        <v>549</v>
      </c>
      <c r="I8" s="142">
        <v>548</v>
      </c>
      <c r="J8" s="143">
        <v>485</v>
      </c>
      <c r="K8" s="153">
        <v>518</v>
      </c>
    </row>
    <row r="9" spans="1:11" ht="15.75" thickBot="1" x14ac:dyDescent="0.3">
      <c r="A9" s="22">
        <v>51420</v>
      </c>
      <c r="B9" s="22" t="s">
        <v>109</v>
      </c>
      <c r="C9" s="41">
        <v>481</v>
      </c>
      <c r="D9" s="41">
        <v>544</v>
      </c>
      <c r="E9" s="41">
        <v>505</v>
      </c>
      <c r="F9" s="41">
        <v>498</v>
      </c>
      <c r="G9" s="142">
        <v>517</v>
      </c>
      <c r="H9" s="142">
        <v>518</v>
      </c>
      <c r="I9" s="142">
        <v>491</v>
      </c>
      <c r="J9" s="143">
        <v>513</v>
      </c>
      <c r="K9" s="153">
        <v>514</v>
      </c>
    </row>
    <row r="10" spans="1:11" ht="15.75" thickBot="1" x14ac:dyDescent="0.3">
      <c r="A10" s="22">
        <v>51406</v>
      </c>
      <c r="B10" s="22" t="s">
        <v>32</v>
      </c>
      <c r="C10" s="41">
        <v>499</v>
      </c>
      <c r="D10" s="41">
        <v>510</v>
      </c>
      <c r="E10" s="41">
        <v>479</v>
      </c>
      <c r="F10" s="41">
        <v>457</v>
      </c>
      <c r="G10" s="142">
        <v>514</v>
      </c>
      <c r="H10" s="142">
        <v>540</v>
      </c>
      <c r="I10" s="142">
        <v>538</v>
      </c>
      <c r="J10" s="143">
        <v>508</v>
      </c>
      <c r="K10" s="153">
        <v>513</v>
      </c>
    </row>
    <row r="11" spans="1:11" ht="15.75" thickBot="1" x14ac:dyDescent="0.3">
      <c r="A11" s="22">
        <v>51441</v>
      </c>
      <c r="B11" s="22" t="s">
        <v>54</v>
      </c>
      <c r="C11" s="42">
        <v>503</v>
      </c>
      <c r="D11" s="42">
        <v>561</v>
      </c>
      <c r="E11" s="41">
        <v>504</v>
      </c>
      <c r="F11" s="41">
        <v>512</v>
      </c>
      <c r="G11" s="142">
        <v>529</v>
      </c>
      <c r="H11" s="142">
        <v>538</v>
      </c>
      <c r="I11" s="142">
        <v>476</v>
      </c>
      <c r="J11" s="143">
        <v>406</v>
      </c>
      <c r="K11" s="153">
        <v>509</v>
      </c>
    </row>
    <row r="12" spans="1:11" ht="15.75" thickBot="1" x14ac:dyDescent="0.3">
      <c r="A12" s="22">
        <v>51423</v>
      </c>
      <c r="B12" s="22" t="s">
        <v>60</v>
      </c>
      <c r="C12" s="41">
        <v>430</v>
      </c>
      <c r="D12" s="41">
        <v>491</v>
      </c>
      <c r="E12" s="119" t="s">
        <v>27</v>
      </c>
      <c r="F12" s="119" t="s">
        <v>27</v>
      </c>
      <c r="G12" s="142">
        <v>534</v>
      </c>
      <c r="H12" s="142">
        <v>460</v>
      </c>
      <c r="I12" s="142">
        <v>538</v>
      </c>
      <c r="J12" s="143">
        <v>479</v>
      </c>
      <c r="K12" s="153">
        <v>507</v>
      </c>
    </row>
    <row r="13" spans="1:11" s="1" customFormat="1" ht="15.75" thickBot="1" x14ac:dyDescent="0.3">
      <c r="A13" s="22">
        <v>51418</v>
      </c>
      <c r="B13" s="22" t="s">
        <v>26</v>
      </c>
      <c r="C13" s="41">
        <v>472</v>
      </c>
      <c r="D13" s="41">
        <v>546</v>
      </c>
      <c r="E13" s="119" t="s">
        <v>27</v>
      </c>
      <c r="F13" s="119" t="s">
        <v>27</v>
      </c>
      <c r="G13" s="142">
        <v>432</v>
      </c>
      <c r="H13" s="142">
        <v>550</v>
      </c>
      <c r="I13" s="142">
        <v>519</v>
      </c>
      <c r="J13" s="143">
        <v>507</v>
      </c>
      <c r="K13" s="153">
        <v>507</v>
      </c>
    </row>
    <row r="14" spans="1:11" s="1" customFormat="1" ht="15.75" thickBot="1" x14ac:dyDescent="0.3">
      <c r="A14" s="22">
        <v>51422</v>
      </c>
      <c r="B14" s="22" t="s">
        <v>105</v>
      </c>
      <c r="C14" s="42">
        <v>512</v>
      </c>
      <c r="D14" s="42">
        <v>531</v>
      </c>
      <c r="E14" s="41">
        <v>543</v>
      </c>
      <c r="F14" s="41">
        <v>527</v>
      </c>
      <c r="G14" s="142">
        <v>511</v>
      </c>
      <c r="H14" s="142">
        <v>456</v>
      </c>
      <c r="I14" s="142">
        <v>479</v>
      </c>
      <c r="J14" s="143">
        <v>507</v>
      </c>
      <c r="K14" s="153">
        <v>506</v>
      </c>
    </row>
    <row r="15" spans="1:11" ht="15.75" thickBot="1" x14ac:dyDescent="0.3">
      <c r="A15" s="22">
        <v>51427</v>
      </c>
      <c r="B15" s="22" t="s">
        <v>66</v>
      </c>
      <c r="C15" s="42">
        <v>538</v>
      </c>
      <c r="D15" s="42">
        <v>519</v>
      </c>
      <c r="E15" s="41">
        <v>543</v>
      </c>
      <c r="F15" s="41">
        <v>515</v>
      </c>
      <c r="G15" s="142">
        <v>535</v>
      </c>
      <c r="H15" s="142">
        <v>531</v>
      </c>
      <c r="I15" s="142">
        <v>563</v>
      </c>
      <c r="J15" s="143">
        <v>491</v>
      </c>
      <c r="K15" s="153">
        <v>506</v>
      </c>
    </row>
    <row r="16" spans="1:11" ht="15.75" thickBot="1" x14ac:dyDescent="0.3">
      <c r="A16" s="22">
        <v>51424</v>
      </c>
      <c r="B16" s="22" t="s">
        <v>106</v>
      </c>
      <c r="C16" s="41">
        <v>520</v>
      </c>
      <c r="D16" s="41">
        <v>513</v>
      </c>
      <c r="E16" s="43">
        <v>565</v>
      </c>
      <c r="F16" s="43">
        <v>531</v>
      </c>
      <c r="G16" s="142">
        <v>525</v>
      </c>
      <c r="H16" s="142">
        <v>532</v>
      </c>
      <c r="I16" s="142">
        <v>549</v>
      </c>
      <c r="J16" s="143">
        <v>515</v>
      </c>
      <c r="K16" s="153">
        <v>500</v>
      </c>
    </row>
    <row r="17" spans="1:11" ht="15.75" thickBot="1" x14ac:dyDescent="0.3">
      <c r="A17" s="22">
        <v>51416</v>
      </c>
      <c r="B17" s="22" t="s">
        <v>37</v>
      </c>
      <c r="C17" s="41">
        <v>520</v>
      </c>
      <c r="D17" s="41">
        <v>540</v>
      </c>
      <c r="E17" s="41">
        <v>427</v>
      </c>
      <c r="F17" s="41">
        <v>471</v>
      </c>
      <c r="G17" s="142">
        <v>547</v>
      </c>
      <c r="H17" s="142">
        <v>535</v>
      </c>
      <c r="I17" s="142">
        <v>480</v>
      </c>
      <c r="J17" s="143">
        <v>488</v>
      </c>
      <c r="K17" s="153">
        <v>500</v>
      </c>
    </row>
    <row r="18" spans="1:11" ht="15.75" thickBot="1" x14ac:dyDescent="0.3">
      <c r="A18" s="22">
        <v>51429</v>
      </c>
      <c r="B18" s="22" t="s">
        <v>49</v>
      </c>
      <c r="C18" s="128">
        <v>538</v>
      </c>
      <c r="D18" s="128">
        <v>504</v>
      </c>
      <c r="E18" s="41">
        <v>496</v>
      </c>
      <c r="F18" s="41">
        <v>489</v>
      </c>
      <c r="G18" s="142">
        <v>552</v>
      </c>
      <c r="H18" s="142">
        <v>516</v>
      </c>
      <c r="I18" s="142">
        <v>504</v>
      </c>
      <c r="J18" s="143">
        <v>503</v>
      </c>
      <c r="K18" s="153">
        <v>499</v>
      </c>
    </row>
    <row r="19" spans="1:11" ht="15.75" thickBot="1" x14ac:dyDescent="0.3">
      <c r="A19" s="22">
        <v>51437</v>
      </c>
      <c r="B19" s="22" t="s">
        <v>0</v>
      </c>
      <c r="C19" s="41">
        <v>513</v>
      </c>
      <c r="D19" s="41">
        <v>548</v>
      </c>
      <c r="E19" s="41">
        <v>546</v>
      </c>
      <c r="F19" s="41">
        <v>462</v>
      </c>
      <c r="G19" s="142">
        <v>538</v>
      </c>
      <c r="H19" s="142">
        <v>554</v>
      </c>
      <c r="I19" s="142">
        <v>574</v>
      </c>
      <c r="J19" s="143">
        <v>493</v>
      </c>
      <c r="K19" s="153">
        <v>497</v>
      </c>
    </row>
    <row r="20" spans="1:11" ht="15.75" thickBot="1" x14ac:dyDescent="0.3">
      <c r="A20" s="22">
        <v>51438</v>
      </c>
      <c r="B20" s="22" t="s">
        <v>52</v>
      </c>
      <c r="C20" s="41">
        <v>553</v>
      </c>
      <c r="D20" s="41">
        <v>529</v>
      </c>
      <c r="E20" s="41">
        <v>473</v>
      </c>
      <c r="F20" s="41">
        <v>443</v>
      </c>
      <c r="G20" s="142">
        <v>532</v>
      </c>
      <c r="H20" s="142">
        <v>518</v>
      </c>
      <c r="I20" s="142">
        <v>465</v>
      </c>
      <c r="J20" s="143">
        <v>453</v>
      </c>
      <c r="K20" s="153">
        <v>496</v>
      </c>
    </row>
    <row r="21" spans="1:11" ht="15.75" thickBot="1" x14ac:dyDescent="0.3">
      <c r="A21" s="22">
        <v>30824</v>
      </c>
      <c r="B21" s="22" t="s">
        <v>62</v>
      </c>
      <c r="C21" s="41">
        <v>482</v>
      </c>
      <c r="D21" s="41">
        <v>572</v>
      </c>
      <c r="E21" s="41">
        <v>550</v>
      </c>
      <c r="F21" s="41">
        <v>432</v>
      </c>
      <c r="G21" s="142">
        <v>553</v>
      </c>
      <c r="H21" s="142">
        <v>616</v>
      </c>
      <c r="I21" s="142">
        <v>538</v>
      </c>
      <c r="J21" s="143">
        <v>447</v>
      </c>
      <c r="K21" s="153">
        <v>492</v>
      </c>
    </row>
    <row r="22" spans="1:11" ht="15.75" thickBot="1" x14ac:dyDescent="0.3">
      <c r="A22" s="22">
        <v>51431</v>
      </c>
      <c r="B22" s="22" t="s">
        <v>58</v>
      </c>
      <c r="C22" s="41">
        <v>520</v>
      </c>
      <c r="D22" s="41">
        <v>558</v>
      </c>
      <c r="E22" s="41">
        <v>493</v>
      </c>
      <c r="F22" s="41">
        <v>500</v>
      </c>
      <c r="G22" s="142">
        <v>524</v>
      </c>
      <c r="H22" s="142">
        <v>529</v>
      </c>
      <c r="I22" s="142">
        <v>516</v>
      </c>
      <c r="J22" s="143">
        <v>503</v>
      </c>
      <c r="K22" s="153">
        <v>492</v>
      </c>
    </row>
    <row r="23" spans="1:11" ht="15.75" thickBot="1" x14ac:dyDescent="0.3">
      <c r="A23" s="22" t="s">
        <v>135</v>
      </c>
      <c r="B23" s="27" t="s">
        <v>136</v>
      </c>
      <c r="C23" s="41">
        <v>518</v>
      </c>
      <c r="D23" s="41">
        <v>529</v>
      </c>
      <c r="E23" s="41">
        <v>520</v>
      </c>
      <c r="F23" s="41">
        <v>503</v>
      </c>
      <c r="G23" s="142">
        <v>522</v>
      </c>
      <c r="H23" s="142">
        <v>528</v>
      </c>
      <c r="I23" s="142">
        <v>524</v>
      </c>
      <c r="J23" s="143">
        <v>504</v>
      </c>
      <c r="K23" s="153">
        <v>491</v>
      </c>
    </row>
    <row r="24" spans="1:11" ht="15.75" thickBot="1" x14ac:dyDescent="0.3">
      <c r="A24" s="22">
        <v>51442</v>
      </c>
      <c r="B24" s="22" t="s">
        <v>55</v>
      </c>
      <c r="C24" s="43">
        <v>515</v>
      </c>
      <c r="D24" s="43">
        <v>577</v>
      </c>
      <c r="E24" s="41">
        <v>559</v>
      </c>
      <c r="F24" s="41">
        <v>505</v>
      </c>
      <c r="G24" s="142">
        <v>546</v>
      </c>
      <c r="H24" s="142">
        <v>540</v>
      </c>
      <c r="I24" s="142">
        <v>514</v>
      </c>
      <c r="J24" s="143">
        <v>500</v>
      </c>
      <c r="K24" s="153">
        <v>489</v>
      </c>
    </row>
    <row r="25" spans="1:11" ht="15.75" thickBot="1" x14ac:dyDescent="0.3">
      <c r="A25" s="22">
        <v>51404</v>
      </c>
      <c r="B25" s="22" t="s">
        <v>31</v>
      </c>
      <c r="C25" s="41">
        <v>531</v>
      </c>
      <c r="D25" s="41">
        <v>553</v>
      </c>
      <c r="E25" s="41">
        <v>560</v>
      </c>
      <c r="F25" s="41">
        <v>523</v>
      </c>
      <c r="G25" s="142">
        <v>510</v>
      </c>
      <c r="H25" s="142">
        <v>540</v>
      </c>
      <c r="I25" s="142">
        <v>563</v>
      </c>
      <c r="J25" s="143">
        <v>500</v>
      </c>
      <c r="K25" s="153">
        <v>488</v>
      </c>
    </row>
    <row r="26" spans="1:11" ht="15.75" thickBot="1" x14ac:dyDescent="0.3">
      <c r="A26" s="22">
        <v>51440</v>
      </c>
      <c r="B26" s="22" t="s">
        <v>68</v>
      </c>
      <c r="C26" s="41">
        <v>545</v>
      </c>
      <c r="D26" s="41">
        <v>522</v>
      </c>
      <c r="E26" s="41">
        <v>524</v>
      </c>
      <c r="F26" s="41">
        <v>528</v>
      </c>
      <c r="G26" s="142">
        <v>549</v>
      </c>
      <c r="H26" s="142">
        <v>476</v>
      </c>
      <c r="I26" s="142">
        <v>528</v>
      </c>
      <c r="J26" s="143">
        <v>497</v>
      </c>
      <c r="K26" s="154">
        <v>488</v>
      </c>
    </row>
    <row r="27" spans="1:11" ht="15.75" thickBot="1" x14ac:dyDescent="0.3">
      <c r="A27" s="22">
        <v>51402</v>
      </c>
      <c r="B27" s="22" t="s">
        <v>30</v>
      </c>
      <c r="C27" s="41">
        <v>539</v>
      </c>
      <c r="D27" s="41">
        <v>563</v>
      </c>
      <c r="E27" s="41">
        <v>541</v>
      </c>
      <c r="F27" s="41">
        <v>526</v>
      </c>
      <c r="G27" s="142">
        <v>560</v>
      </c>
      <c r="H27" s="142">
        <v>601</v>
      </c>
      <c r="I27" s="142">
        <v>550</v>
      </c>
      <c r="J27" s="143">
        <v>535</v>
      </c>
      <c r="K27" s="153">
        <v>487</v>
      </c>
    </row>
    <row r="28" spans="1:11" ht="15.75" thickBot="1" x14ac:dyDescent="0.3">
      <c r="A28" s="22">
        <v>51421</v>
      </c>
      <c r="B28" s="22" t="s">
        <v>29</v>
      </c>
      <c r="C28" s="41">
        <v>537</v>
      </c>
      <c r="D28" s="41">
        <v>567</v>
      </c>
      <c r="E28" s="41">
        <v>602</v>
      </c>
      <c r="F28" s="41">
        <v>556</v>
      </c>
      <c r="G28" s="142">
        <v>536</v>
      </c>
      <c r="H28" s="142">
        <v>564</v>
      </c>
      <c r="I28" s="142">
        <v>552</v>
      </c>
      <c r="J28" s="143">
        <v>507</v>
      </c>
      <c r="K28" s="153">
        <v>486</v>
      </c>
    </row>
    <row r="29" spans="1:11" ht="15.75" thickBot="1" x14ac:dyDescent="0.3">
      <c r="A29" s="22">
        <v>51425</v>
      </c>
      <c r="B29" s="22" t="s">
        <v>50</v>
      </c>
      <c r="C29" s="43">
        <v>504</v>
      </c>
      <c r="D29" s="43">
        <v>478</v>
      </c>
      <c r="E29" s="41">
        <v>514</v>
      </c>
      <c r="F29" s="41">
        <v>528</v>
      </c>
      <c r="G29" s="142">
        <v>490</v>
      </c>
      <c r="H29" s="142">
        <v>497</v>
      </c>
      <c r="I29" s="142">
        <v>508</v>
      </c>
      <c r="J29" s="143">
        <v>494</v>
      </c>
      <c r="K29" s="153">
        <v>486</v>
      </c>
    </row>
    <row r="30" spans="1:11" ht="15.75" thickBot="1" x14ac:dyDescent="0.3">
      <c r="A30" s="22">
        <v>51436</v>
      </c>
      <c r="B30" s="22" t="s">
        <v>67</v>
      </c>
      <c r="C30" s="127">
        <v>510</v>
      </c>
      <c r="D30" s="127">
        <v>534</v>
      </c>
      <c r="E30" s="41">
        <v>484</v>
      </c>
      <c r="F30" s="41">
        <v>482</v>
      </c>
      <c r="G30" s="144">
        <v>479</v>
      </c>
      <c r="H30" s="144">
        <v>533</v>
      </c>
      <c r="I30" s="144">
        <v>511</v>
      </c>
      <c r="J30" s="145">
        <v>531</v>
      </c>
      <c r="K30" s="153">
        <v>486</v>
      </c>
    </row>
    <row r="31" spans="1:11" ht="15.75" thickBot="1" x14ac:dyDescent="0.3">
      <c r="A31" s="22">
        <v>51426</v>
      </c>
      <c r="B31" s="22" t="s">
        <v>38</v>
      </c>
      <c r="C31" s="41">
        <v>517</v>
      </c>
      <c r="D31" s="41">
        <v>463</v>
      </c>
      <c r="E31" s="41">
        <v>527</v>
      </c>
      <c r="F31" s="41">
        <v>519</v>
      </c>
      <c r="G31" s="142">
        <v>509</v>
      </c>
      <c r="H31" s="142">
        <v>463</v>
      </c>
      <c r="I31" s="142">
        <v>541</v>
      </c>
      <c r="J31" s="143">
        <v>536</v>
      </c>
      <c r="K31" s="153">
        <v>483</v>
      </c>
    </row>
    <row r="32" spans="1:11" ht="15.75" thickBot="1" x14ac:dyDescent="0.3">
      <c r="A32" s="22">
        <v>51405</v>
      </c>
      <c r="B32" s="22" t="s">
        <v>34</v>
      </c>
      <c r="C32" s="127">
        <v>507</v>
      </c>
      <c r="D32" s="127">
        <v>470</v>
      </c>
      <c r="E32" s="41">
        <v>489</v>
      </c>
      <c r="F32" s="41">
        <v>494</v>
      </c>
      <c r="G32" s="142">
        <v>518</v>
      </c>
      <c r="H32" s="142">
        <v>481</v>
      </c>
      <c r="I32" s="142">
        <v>465</v>
      </c>
      <c r="J32" s="143">
        <v>455</v>
      </c>
      <c r="K32" s="155">
        <v>477</v>
      </c>
    </row>
    <row r="33" spans="1:11" ht="15.75" thickBot="1" x14ac:dyDescent="0.3">
      <c r="A33" s="22">
        <v>51434</v>
      </c>
      <c r="B33" s="22" t="s">
        <v>107</v>
      </c>
      <c r="C33" s="41">
        <v>505</v>
      </c>
      <c r="D33" s="41">
        <v>542</v>
      </c>
      <c r="E33" s="43">
        <v>533</v>
      </c>
      <c r="F33" s="43">
        <v>492</v>
      </c>
      <c r="G33" s="142">
        <v>520</v>
      </c>
      <c r="H33" s="142">
        <v>543</v>
      </c>
      <c r="I33" s="142">
        <v>536</v>
      </c>
      <c r="J33" s="143">
        <v>485</v>
      </c>
      <c r="K33" s="153">
        <v>475</v>
      </c>
    </row>
    <row r="34" spans="1:11" ht="15.75" thickBot="1" x14ac:dyDescent="0.3">
      <c r="A34" s="22">
        <v>51433</v>
      </c>
      <c r="B34" s="22" t="s">
        <v>40</v>
      </c>
      <c r="C34" s="41">
        <v>521</v>
      </c>
      <c r="D34" s="41">
        <v>530</v>
      </c>
      <c r="E34" s="41">
        <v>456</v>
      </c>
      <c r="F34" s="41">
        <v>486</v>
      </c>
      <c r="G34" s="142">
        <v>542</v>
      </c>
      <c r="H34" s="142">
        <v>504</v>
      </c>
      <c r="I34" s="142">
        <v>521</v>
      </c>
      <c r="J34" s="143">
        <v>543</v>
      </c>
      <c r="K34" s="153">
        <v>475</v>
      </c>
    </row>
    <row r="35" spans="1:11" ht="15.75" thickBot="1" x14ac:dyDescent="0.3">
      <c r="A35" s="22">
        <v>51409</v>
      </c>
      <c r="B35" s="22" t="s">
        <v>35</v>
      </c>
      <c r="C35" s="41">
        <v>507</v>
      </c>
      <c r="D35" s="41">
        <v>534</v>
      </c>
      <c r="E35" s="41">
        <v>534</v>
      </c>
      <c r="F35" s="41">
        <v>517</v>
      </c>
      <c r="G35" s="142">
        <v>534</v>
      </c>
      <c r="H35" s="142">
        <v>538</v>
      </c>
      <c r="I35" s="142">
        <v>572</v>
      </c>
      <c r="J35" s="143">
        <v>555</v>
      </c>
      <c r="K35" s="153">
        <v>474</v>
      </c>
    </row>
    <row r="36" spans="1:11" ht="15.75" thickBot="1" x14ac:dyDescent="0.3">
      <c r="A36" s="22">
        <v>51401</v>
      </c>
      <c r="B36" s="22" t="s">
        <v>28</v>
      </c>
      <c r="C36" s="41">
        <v>513</v>
      </c>
      <c r="D36" s="41">
        <v>539</v>
      </c>
      <c r="E36" s="43">
        <v>529</v>
      </c>
      <c r="F36" s="43">
        <v>503</v>
      </c>
      <c r="G36" s="147">
        <v>513</v>
      </c>
      <c r="H36" s="147">
        <v>549</v>
      </c>
      <c r="I36" s="148">
        <v>534</v>
      </c>
      <c r="J36" s="148">
        <v>500</v>
      </c>
      <c r="K36" s="154">
        <v>472</v>
      </c>
    </row>
    <row r="37" spans="1:11" ht="15.75" thickBot="1" x14ac:dyDescent="0.3">
      <c r="A37" s="22">
        <v>51435</v>
      </c>
      <c r="B37" s="22" t="s">
        <v>41</v>
      </c>
      <c r="C37" s="41">
        <v>548</v>
      </c>
      <c r="D37" s="41">
        <v>516</v>
      </c>
      <c r="E37" s="41">
        <v>514</v>
      </c>
      <c r="F37" s="41">
        <v>480</v>
      </c>
      <c r="G37" s="142">
        <v>557</v>
      </c>
      <c r="H37" s="142">
        <v>544</v>
      </c>
      <c r="I37" s="142">
        <v>496</v>
      </c>
      <c r="J37" s="143">
        <v>456</v>
      </c>
      <c r="K37" s="153">
        <v>471</v>
      </c>
    </row>
    <row r="38" spans="1:11" ht="15.75" thickBot="1" x14ac:dyDescent="0.3">
      <c r="A38" s="22">
        <v>30509</v>
      </c>
      <c r="B38" s="22" t="s">
        <v>39</v>
      </c>
      <c r="C38" s="43">
        <v>522</v>
      </c>
      <c r="D38" s="43">
        <v>507</v>
      </c>
      <c r="E38" s="41">
        <v>507</v>
      </c>
      <c r="F38" s="41">
        <v>481</v>
      </c>
      <c r="G38" s="142">
        <v>483</v>
      </c>
      <c r="H38" s="142">
        <v>524</v>
      </c>
      <c r="I38" s="142">
        <v>497</v>
      </c>
      <c r="J38" s="143">
        <v>477</v>
      </c>
      <c r="K38" s="153">
        <v>470</v>
      </c>
    </row>
    <row r="39" spans="1:11" ht="15.75" thickBot="1" x14ac:dyDescent="0.3">
      <c r="A39" s="22">
        <v>30508</v>
      </c>
      <c r="B39" s="22" t="s">
        <v>46</v>
      </c>
      <c r="C39" s="43">
        <v>516</v>
      </c>
      <c r="D39" s="43">
        <v>498</v>
      </c>
      <c r="E39" s="119" t="s">
        <v>27</v>
      </c>
      <c r="F39" s="119" t="s">
        <v>27</v>
      </c>
      <c r="G39" s="142">
        <v>487</v>
      </c>
      <c r="H39" s="142">
        <v>536</v>
      </c>
      <c r="I39" s="142" t="s">
        <v>27</v>
      </c>
      <c r="J39" s="143" t="s">
        <v>27</v>
      </c>
      <c r="K39" s="153">
        <v>468</v>
      </c>
    </row>
    <row r="40" spans="1:11" ht="15.75" thickBot="1" x14ac:dyDescent="0.3">
      <c r="A40" s="22">
        <v>51410</v>
      </c>
      <c r="B40" s="22" t="s">
        <v>36</v>
      </c>
      <c r="C40" s="43">
        <v>551</v>
      </c>
      <c r="D40" s="43">
        <v>545</v>
      </c>
      <c r="E40" s="41">
        <v>526</v>
      </c>
      <c r="F40" s="41">
        <v>552</v>
      </c>
      <c r="G40" s="142">
        <v>562</v>
      </c>
      <c r="H40" s="142">
        <v>583</v>
      </c>
      <c r="I40" s="142">
        <v>531</v>
      </c>
      <c r="J40" s="143">
        <v>511</v>
      </c>
      <c r="K40" s="153">
        <v>466</v>
      </c>
    </row>
    <row r="41" spans="1:11" x14ac:dyDescent="0.25">
      <c r="A41" s="22">
        <v>51432</v>
      </c>
      <c r="B41" s="22" t="s">
        <v>51</v>
      </c>
      <c r="C41" s="43">
        <v>542</v>
      </c>
      <c r="D41" s="43">
        <v>516</v>
      </c>
      <c r="E41" s="43">
        <v>457</v>
      </c>
      <c r="F41" s="43">
        <v>479</v>
      </c>
      <c r="G41" s="148">
        <v>514</v>
      </c>
      <c r="H41" s="148">
        <v>518</v>
      </c>
      <c r="I41" s="148">
        <v>482</v>
      </c>
      <c r="J41" s="148">
        <v>501</v>
      </c>
      <c r="K41" s="154">
        <v>459</v>
      </c>
    </row>
    <row r="42" spans="1:11" x14ac:dyDescent="0.25">
      <c r="A42" s="27">
        <v>60000</v>
      </c>
      <c r="B42" s="27" t="s">
        <v>111</v>
      </c>
      <c r="C42" s="126" t="s">
        <v>27</v>
      </c>
      <c r="D42" s="126" t="s">
        <v>27</v>
      </c>
      <c r="E42" s="126" t="s">
        <v>27</v>
      </c>
      <c r="F42" s="126" t="s">
        <v>27</v>
      </c>
      <c r="G42" s="126" t="s">
        <v>27</v>
      </c>
      <c r="H42" s="126" t="s">
        <v>27</v>
      </c>
      <c r="I42" s="126" t="s">
        <v>27</v>
      </c>
      <c r="J42" s="126" t="s">
        <v>27</v>
      </c>
    </row>
    <row r="43" spans="1:11" x14ac:dyDescent="0.25">
      <c r="A43" s="22">
        <v>1</v>
      </c>
      <c r="B43" s="22" t="s">
        <v>45</v>
      </c>
      <c r="C43" s="126" t="s">
        <v>27</v>
      </c>
      <c r="D43" s="126" t="s">
        <v>27</v>
      </c>
      <c r="E43" s="126" t="s">
        <v>27</v>
      </c>
      <c r="F43" s="126" t="s">
        <v>27</v>
      </c>
      <c r="G43" s="126" t="s">
        <v>27</v>
      </c>
      <c r="H43" s="126" t="s">
        <v>27</v>
      </c>
      <c r="I43" s="126" t="s">
        <v>27</v>
      </c>
      <c r="J43" s="126" t="s">
        <v>27</v>
      </c>
    </row>
    <row r="44" spans="1:11" x14ac:dyDescent="0.25">
      <c r="A44" s="22">
        <v>2</v>
      </c>
      <c r="B44" s="22" t="s">
        <v>47</v>
      </c>
      <c r="C44" s="126" t="s">
        <v>27</v>
      </c>
      <c r="D44" s="126" t="s">
        <v>27</v>
      </c>
      <c r="E44" s="126" t="s">
        <v>27</v>
      </c>
      <c r="F44" s="126" t="s">
        <v>27</v>
      </c>
      <c r="G44" s="126" t="s">
        <v>27</v>
      </c>
      <c r="H44" s="126" t="s">
        <v>27</v>
      </c>
      <c r="I44" s="126" t="s">
        <v>27</v>
      </c>
      <c r="J44" s="126" t="s">
        <v>27</v>
      </c>
    </row>
    <row r="45" spans="1:11" x14ac:dyDescent="0.25">
      <c r="A45" s="22" t="s">
        <v>137</v>
      </c>
      <c r="B45" s="27" t="s">
        <v>138</v>
      </c>
      <c r="C45" s="126" t="s">
        <v>27</v>
      </c>
      <c r="D45" s="126" t="s">
        <v>27</v>
      </c>
      <c r="E45" s="27"/>
      <c r="F45" s="27"/>
      <c r="G45" s="126" t="s">
        <v>27</v>
      </c>
      <c r="H45" s="126" t="s">
        <v>27</v>
      </c>
      <c r="I45" s="27"/>
      <c r="J45" s="27"/>
    </row>
    <row r="46" spans="1:11" x14ac:dyDescent="0.25">
      <c r="A46" s="22">
        <v>3</v>
      </c>
      <c r="B46" s="22" t="s">
        <v>57</v>
      </c>
      <c r="C46" s="119" t="s">
        <v>27</v>
      </c>
      <c r="D46" s="119" t="s">
        <v>27</v>
      </c>
      <c r="E46" s="126" t="s">
        <v>27</v>
      </c>
      <c r="F46" s="126" t="s">
        <v>27</v>
      </c>
      <c r="G46" s="119" t="s">
        <v>27</v>
      </c>
      <c r="H46" s="119" t="s">
        <v>27</v>
      </c>
      <c r="I46" s="126" t="s">
        <v>27</v>
      </c>
      <c r="J46" s="126" t="s">
        <v>27</v>
      </c>
    </row>
    <row r="47" spans="1:11" x14ac:dyDescent="0.25">
      <c r="A47" s="22">
        <v>4</v>
      </c>
      <c r="B47" s="22" t="s">
        <v>56</v>
      </c>
      <c r="C47" s="119" t="s">
        <v>27</v>
      </c>
      <c r="D47" s="119" t="s">
        <v>27</v>
      </c>
      <c r="E47" s="126" t="s">
        <v>27</v>
      </c>
      <c r="F47" s="126" t="s">
        <v>27</v>
      </c>
      <c r="G47" s="119" t="s">
        <v>27</v>
      </c>
      <c r="H47" s="119" t="s">
        <v>27</v>
      </c>
      <c r="I47" s="126" t="s">
        <v>27</v>
      </c>
      <c r="J47" s="126" t="s">
        <v>27</v>
      </c>
    </row>
    <row r="48" spans="1:11" x14ac:dyDescent="0.25">
      <c r="A48" s="22">
        <v>5</v>
      </c>
      <c r="B48" s="22" t="s">
        <v>65</v>
      </c>
      <c r="C48" s="126" t="s">
        <v>27</v>
      </c>
      <c r="D48" s="126" t="s">
        <v>27</v>
      </c>
      <c r="E48" s="126" t="s">
        <v>27</v>
      </c>
      <c r="F48" s="126" t="s">
        <v>27</v>
      </c>
      <c r="G48" s="126" t="s">
        <v>27</v>
      </c>
      <c r="H48" s="126" t="s">
        <v>27</v>
      </c>
      <c r="I48" s="126" t="s">
        <v>27</v>
      </c>
      <c r="J48" s="126" t="s">
        <v>27</v>
      </c>
    </row>
    <row r="49" spans="1:11" ht="15.75" thickBot="1" x14ac:dyDescent="0.3">
      <c r="A49" s="22">
        <v>6</v>
      </c>
      <c r="B49" s="22" t="s">
        <v>61</v>
      </c>
      <c r="C49" s="119" t="s">
        <v>27</v>
      </c>
      <c r="D49" s="119" t="s">
        <v>27</v>
      </c>
      <c r="E49" s="126" t="s">
        <v>27</v>
      </c>
      <c r="F49" s="126" t="s">
        <v>27</v>
      </c>
      <c r="G49" s="119" t="s">
        <v>27</v>
      </c>
      <c r="H49" s="119" t="s">
        <v>27</v>
      </c>
      <c r="I49" s="126" t="s">
        <v>27</v>
      </c>
      <c r="J49" s="126" t="s">
        <v>27</v>
      </c>
    </row>
    <row r="50" spans="1:11" ht="15.75" thickBot="1" x14ac:dyDescent="0.3">
      <c r="A50" s="22">
        <v>7</v>
      </c>
      <c r="B50" s="22" t="s">
        <v>64</v>
      </c>
      <c r="C50" s="119" t="s">
        <v>27</v>
      </c>
      <c r="D50" s="119" t="s">
        <v>27</v>
      </c>
      <c r="E50" s="126" t="s">
        <v>27</v>
      </c>
      <c r="F50" s="126" t="s">
        <v>27</v>
      </c>
      <c r="G50" s="146" t="s">
        <v>27</v>
      </c>
      <c r="H50" s="146" t="s">
        <v>27</v>
      </c>
      <c r="I50" s="146" t="s">
        <v>27</v>
      </c>
      <c r="J50" s="149" t="s">
        <v>27</v>
      </c>
      <c r="K50" s="156"/>
    </row>
    <row r="51" spans="1:11" ht="15.75" thickBot="1" x14ac:dyDescent="0.3">
      <c r="A51" s="22">
        <v>8</v>
      </c>
      <c r="B51" s="22" t="s">
        <v>63</v>
      </c>
      <c r="C51" s="119" t="s">
        <v>27</v>
      </c>
      <c r="D51" s="119" t="s">
        <v>27</v>
      </c>
      <c r="E51" s="126" t="s">
        <v>27</v>
      </c>
      <c r="F51" s="126" t="s">
        <v>27</v>
      </c>
      <c r="G51" s="146" t="s">
        <v>27</v>
      </c>
      <c r="H51" s="146" t="s">
        <v>27</v>
      </c>
      <c r="I51" s="146" t="s">
        <v>27</v>
      </c>
      <c r="J51" s="149" t="s">
        <v>27</v>
      </c>
      <c r="K51" s="156"/>
    </row>
    <row r="52" spans="1:11" x14ac:dyDescent="0.25">
      <c r="A52" s="22"/>
      <c r="B52" s="27"/>
    </row>
  </sheetData>
  <sortState ref="A3:K51">
    <sortCondition descending="1" ref="K3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C1" sqref="C1:F1"/>
    </sheetView>
  </sheetViews>
  <sheetFormatPr defaultRowHeight="15" x14ac:dyDescent="0.25"/>
  <cols>
    <col min="2" max="2" width="25.28515625" style="1" bestFit="1" customWidth="1"/>
    <col min="3" max="3" width="25.5703125" style="1" customWidth="1"/>
    <col min="4" max="4" width="23.5703125" style="1" customWidth="1"/>
  </cols>
  <sheetData>
    <row r="1" spans="1:5" x14ac:dyDescent="0.25">
      <c r="B1" s="45"/>
      <c r="C1" s="45" t="s">
        <v>112</v>
      </c>
      <c r="D1" s="45" t="s">
        <v>112</v>
      </c>
    </row>
    <row r="2" spans="1:5" ht="45" x14ac:dyDescent="0.25">
      <c r="A2" t="s">
        <v>23</v>
      </c>
      <c r="B2" s="45" t="s">
        <v>74</v>
      </c>
      <c r="C2" s="46" t="s">
        <v>113</v>
      </c>
      <c r="D2" s="46" t="s">
        <v>149</v>
      </c>
      <c r="E2" s="46" t="s">
        <v>148</v>
      </c>
    </row>
    <row r="3" spans="1:5" x14ac:dyDescent="0.25">
      <c r="A3" s="22">
        <v>51401</v>
      </c>
      <c r="B3" s="22" t="s">
        <v>28</v>
      </c>
      <c r="C3" s="1">
        <v>0.31</v>
      </c>
      <c r="D3" s="47">
        <f>Tabel14[[#This Row],[Kolonne1]]/100</f>
        <v>0.92390000000000005</v>
      </c>
      <c r="E3" s="47">
        <f>30.44+61.95</f>
        <v>92.39</v>
      </c>
    </row>
    <row r="4" spans="1:5" x14ac:dyDescent="0.25">
      <c r="A4" s="22">
        <v>51432</v>
      </c>
      <c r="B4" s="22" t="s">
        <v>51</v>
      </c>
      <c r="C4" s="1">
        <v>0.15</v>
      </c>
      <c r="D4" s="47">
        <f>Tabel14[[#This Row],[Kolonne1]]/100</f>
        <v>0.88659999999999994</v>
      </c>
      <c r="E4" s="1">
        <f>38.37+50.29</f>
        <v>88.66</v>
      </c>
    </row>
    <row r="5" spans="1:5" x14ac:dyDescent="0.25">
      <c r="B5" s="2" t="s">
        <v>114</v>
      </c>
      <c r="C5" s="2">
        <v>0.4</v>
      </c>
      <c r="D5" s="47">
        <f>Tabel14[[#This Row],[Kolonne1]]/100</f>
        <v>1</v>
      </c>
      <c r="E5" s="2">
        <f>45.25+54.75</f>
        <v>100</v>
      </c>
    </row>
    <row r="6" spans="1:5" x14ac:dyDescent="0.25">
      <c r="A6" s="22">
        <v>51405</v>
      </c>
      <c r="B6" s="22" t="s">
        <v>34</v>
      </c>
      <c r="D6" s="47">
        <f>Tabel14[[#This Row],[Kolonne1]]/100</f>
        <v>0.82240000000000013</v>
      </c>
      <c r="E6" s="1">
        <f>32.35+49.89</f>
        <v>82.240000000000009</v>
      </c>
    </row>
    <row r="7" spans="1:5" x14ac:dyDescent="0.25">
      <c r="A7" s="22">
        <v>51435</v>
      </c>
      <c r="B7" s="22" t="s">
        <v>41</v>
      </c>
      <c r="C7" s="1">
        <v>-0.02</v>
      </c>
      <c r="D7" s="47">
        <f>Tabel14[[#This Row],[Kolonne1]]/100</f>
        <v>0.81640000000000001</v>
      </c>
      <c r="E7" s="1">
        <f>37.93+43.71</f>
        <v>81.64</v>
      </c>
    </row>
    <row r="8" spans="1:5" x14ac:dyDescent="0.25">
      <c r="A8" s="27">
        <v>51105</v>
      </c>
      <c r="B8" s="27" t="s">
        <v>5</v>
      </c>
      <c r="C8" s="1">
        <v>-0.1</v>
      </c>
      <c r="D8" s="47">
        <f>Tabel14[[#This Row],[Kolonne1]]/100</f>
        <v>0.86710000000000009</v>
      </c>
      <c r="E8" s="1">
        <f>24.69+62.02</f>
        <v>86.710000000000008</v>
      </c>
    </row>
    <row r="9" spans="1:5" x14ac:dyDescent="0.25">
      <c r="B9" s="2" t="s">
        <v>115</v>
      </c>
      <c r="C9" s="2">
        <v>0.14000000000000001</v>
      </c>
      <c r="D9" s="47">
        <f>Tabel14[[#This Row],[Kolonne1]]/100</f>
        <v>0.88240000000000007</v>
      </c>
      <c r="E9" s="2">
        <f>34.85+53.39</f>
        <v>88.240000000000009</v>
      </c>
    </row>
    <row r="10" spans="1:5" x14ac:dyDescent="0.25">
      <c r="A10" s="22">
        <v>51425</v>
      </c>
      <c r="B10" s="22" t="s">
        <v>50</v>
      </c>
      <c r="C10" s="1">
        <v>-0.03</v>
      </c>
      <c r="D10" s="47">
        <f>Tabel14[[#This Row],[Kolonne1]]/100</f>
        <v>0.86129999999999995</v>
      </c>
      <c r="E10" s="1">
        <f>47.49+38.64</f>
        <v>86.13</v>
      </c>
    </row>
    <row r="11" spans="1:5" x14ac:dyDescent="0.25">
      <c r="A11" s="22">
        <v>30508</v>
      </c>
      <c r="B11" s="22" t="s">
        <v>46</v>
      </c>
      <c r="D11" s="47">
        <f>Tabel14[[#This Row],[Kolonne1]]/100</f>
        <v>1</v>
      </c>
      <c r="E11" s="1">
        <f>27.26+72.74</f>
        <v>100</v>
      </c>
    </row>
    <row r="12" spans="1:5" x14ac:dyDescent="0.25">
      <c r="A12" s="22">
        <v>51426</v>
      </c>
      <c r="B12" s="22" t="s">
        <v>38</v>
      </c>
      <c r="C12" s="1">
        <v>-7.0000000000000007E-2</v>
      </c>
      <c r="D12" s="47">
        <f>Tabel14[[#This Row],[Kolonne1]]/100</f>
        <v>0.82189999999999996</v>
      </c>
      <c r="E12" s="1">
        <f>42.92+39.27</f>
        <v>82.19</v>
      </c>
    </row>
    <row r="13" spans="1:5" x14ac:dyDescent="0.25">
      <c r="B13" s="2" t="s">
        <v>116</v>
      </c>
      <c r="C13" s="2">
        <v>0.01</v>
      </c>
      <c r="D13" s="47">
        <f>Tabel14[[#This Row],[Kolonne1]]/100</f>
        <v>0.92039999999999988</v>
      </c>
      <c r="E13" s="2">
        <f>46.92+45.12</f>
        <v>92.039999999999992</v>
      </c>
    </row>
    <row r="14" spans="1:5" x14ac:dyDescent="0.25">
      <c r="B14" s="2" t="s">
        <v>117</v>
      </c>
      <c r="C14" s="2"/>
      <c r="D14" s="47">
        <f>Tabel14[[#This Row],[Kolonne1]]/100</f>
        <v>0.93090000000000006</v>
      </c>
      <c r="E14" s="2">
        <f>57.53+35.56</f>
        <v>93.09</v>
      </c>
    </row>
    <row r="15" spans="1:5" x14ac:dyDescent="0.25">
      <c r="A15" s="22">
        <v>30509</v>
      </c>
      <c r="B15" s="22" t="s">
        <v>39</v>
      </c>
      <c r="D15" s="47">
        <f>Tabel14[[#This Row],[Kolonne1]]/100</f>
        <v>0.81289999999999996</v>
      </c>
      <c r="E15" s="1">
        <f>34.17+47.12</f>
        <v>81.289999999999992</v>
      </c>
    </row>
    <row r="16" spans="1:5" x14ac:dyDescent="0.25">
      <c r="B16" s="2" t="s">
        <v>118</v>
      </c>
      <c r="C16" s="2"/>
      <c r="D16" s="47">
        <f>Tabel14[[#This Row],[Kolonne1]]/100</f>
        <v>0.87819999999999998</v>
      </c>
      <c r="E16" s="2">
        <f>6.27+81.55</f>
        <v>87.82</v>
      </c>
    </row>
    <row r="17" spans="1:5" x14ac:dyDescent="0.25">
      <c r="A17" s="22">
        <v>51428</v>
      </c>
      <c r="B17" s="22" t="s">
        <v>48</v>
      </c>
      <c r="C17" s="1">
        <v>-0.31</v>
      </c>
      <c r="D17" s="47">
        <f>Tabel14[[#This Row],[Kolonne1]]/100</f>
        <v>0.70379999999999998</v>
      </c>
      <c r="E17" s="1">
        <f>29.96+40.42</f>
        <v>70.38</v>
      </c>
    </row>
    <row r="18" spans="1:5" x14ac:dyDescent="0.25">
      <c r="A18" s="22">
        <v>51402</v>
      </c>
      <c r="B18" s="22" t="s">
        <v>30</v>
      </c>
      <c r="D18" s="47">
        <f>Tabel14[[#This Row],[Kolonne1]]/100</f>
        <v>0.81790000000000007</v>
      </c>
      <c r="E18" s="1">
        <v>81.790000000000006</v>
      </c>
    </row>
    <row r="19" spans="1:5" x14ac:dyDescent="0.25">
      <c r="B19" s="1" t="s">
        <v>119</v>
      </c>
      <c r="D19" s="47">
        <f>Tabel14[[#This Row],[Kolonne1]]/100</f>
        <v>1</v>
      </c>
      <c r="E19" s="1">
        <f>17.64+82.36</f>
        <v>100</v>
      </c>
    </row>
    <row r="20" spans="1:5" x14ac:dyDescent="0.25">
      <c r="A20" s="22">
        <v>51429</v>
      </c>
      <c r="B20" s="22" t="s">
        <v>49</v>
      </c>
      <c r="C20" s="1">
        <v>0.06</v>
      </c>
      <c r="D20" s="47">
        <f>Tabel14[[#This Row],[Kolonne1]]/100</f>
        <v>0.93730000000000002</v>
      </c>
      <c r="E20" s="1">
        <f>53.38+40.35</f>
        <v>93.73</v>
      </c>
    </row>
    <row r="21" spans="1:5" x14ac:dyDescent="0.25">
      <c r="A21" s="22">
        <v>51430</v>
      </c>
      <c r="B21" s="22" t="s">
        <v>59</v>
      </c>
      <c r="C21" s="1">
        <v>0.13</v>
      </c>
      <c r="D21" s="47">
        <f>Tabel14[[#This Row],[Kolonne1]]/100</f>
        <v>0.94640000000000002</v>
      </c>
      <c r="E21" s="1">
        <f>50.38+44.26</f>
        <v>94.64</v>
      </c>
    </row>
    <row r="22" spans="1:5" x14ac:dyDescent="0.25">
      <c r="A22" s="22">
        <v>51431</v>
      </c>
      <c r="B22" s="22" t="s">
        <v>58</v>
      </c>
      <c r="C22" s="1">
        <v>0.1</v>
      </c>
      <c r="D22" s="47">
        <f>Tabel14[[#This Row],[Kolonne1]]/100</f>
        <v>0.85389999999999999</v>
      </c>
      <c r="E22" s="1">
        <f>37.92+47.47</f>
        <v>85.39</v>
      </c>
    </row>
    <row r="23" spans="1:5" x14ac:dyDescent="0.25">
      <c r="A23" s="22">
        <v>51438</v>
      </c>
      <c r="B23" s="22" t="s">
        <v>52</v>
      </c>
      <c r="C23" s="1">
        <v>0.05</v>
      </c>
      <c r="D23" s="47">
        <f>Tabel14[[#This Row],[Kolonne1]]/100</f>
        <v>0.86750000000000005</v>
      </c>
      <c r="E23" s="1">
        <f>60.13+26.62</f>
        <v>86.75</v>
      </c>
    </row>
    <row r="24" spans="1:5" x14ac:dyDescent="0.25">
      <c r="B24" s="2" t="s">
        <v>111</v>
      </c>
      <c r="C24" s="48">
        <v>0.11</v>
      </c>
      <c r="D24" s="47">
        <f>Tabel14[[#This Row],[Kolonne1]]/100</f>
        <v>0.88870000000000005</v>
      </c>
      <c r="E24" s="48">
        <v>88.87</v>
      </c>
    </row>
    <row r="25" spans="1:5" x14ac:dyDescent="0.25">
      <c r="A25" s="22">
        <v>51404</v>
      </c>
      <c r="B25" s="22" t="s">
        <v>31</v>
      </c>
      <c r="C25" s="1">
        <v>0.38</v>
      </c>
      <c r="D25" s="47">
        <f>Tabel14[[#This Row],[Kolonne1]]/100</f>
        <v>0.96109999999999995</v>
      </c>
      <c r="E25" s="1">
        <f>28.03+68.08</f>
        <v>96.11</v>
      </c>
    </row>
    <row r="26" spans="1:5" x14ac:dyDescent="0.25">
      <c r="A26" s="22">
        <v>30824</v>
      </c>
      <c r="B26" s="22" t="s">
        <v>62</v>
      </c>
      <c r="D26" s="47">
        <f>Tabel14[[#This Row],[Kolonne1]]/100</f>
        <v>0.89740000000000009</v>
      </c>
      <c r="E26" s="1">
        <f>23.81+65.93</f>
        <v>89.740000000000009</v>
      </c>
    </row>
    <row r="27" spans="1:5" x14ac:dyDescent="0.25">
      <c r="D27" s="47">
        <f>Tabel14[[#This Row],[Kolonne1]]/100</f>
        <v>0</v>
      </c>
      <c r="E27" s="1"/>
    </row>
    <row r="28" spans="1:5" x14ac:dyDescent="0.25">
      <c r="A28" s="22">
        <v>51433</v>
      </c>
      <c r="B28" s="22" t="s">
        <v>40</v>
      </c>
      <c r="C28" s="1">
        <v>0.43</v>
      </c>
      <c r="D28" s="47">
        <f>Tabel14[[#This Row],[Kolonne1]]/100</f>
        <v>0.91689999999999994</v>
      </c>
      <c r="E28" s="1">
        <f>26.68+65.01</f>
        <v>91.69</v>
      </c>
    </row>
    <row r="29" spans="1:5" x14ac:dyDescent="0.25">
      <c r="B29" s="2" t="s">
        <v>120</v>
      </c>
      <c r="C29" s="2"/>
      <c r="D29" s="47">
        <f>Tabel14[[#This Row],[Kolonne1]]/100</f>
        <v>1</v>
      </c>
      <c r="E29" s="2">
        <f>35.82+64.18</f>
        <v>100</v>
      </c>
    </row>
    <row r="30" spans="1:5" x14ac:dyDescent="0.25">
      <c r="A30" s="22">
        <v>51434</v>
      </c>
      <c r="B30" s="22" t="s">
        <v>107</v>
      </c>
      <c r="D30" s="47">
        <f>Tabel14[[#This Row],[Kolonne1]]/100</f>
        <v>0.91260999999999992</v>
      </c>
      <c r="E30" s="47">
        <f>(30.19+65.95)*0.3+(47.21+41.96)*0.7</f>
        <v>91.260999999999996</v>
      </c>
    </row>
    <row r="31" spans="1:5" x14ac:dyDescent="0.25">
      <c r="A31" s="22">
        <v>51406</v>
      </c>
      <c r="B31" s="22" t="s">
        <v>32</v>
      </c>
      <c r="C31" s="1">
        <v>0.15</v>
      </c>
      <c r="D31" s="47">
        <f>Tabel14[[#This Row],[Kolonne1]]/100</f>
        <v>0.88359999999999994</v>
      </c>
      <c r="E31" s="1">
        <f>46.06+42.3</f>
        <v>88.36</v>
      </c>
    </row>
    <row r="32" spans="1:5" x14ac:dyDescent="0.25">
      <c r="B32" s="2" t="s">
        <v>121</v>
      </c>
      <c r="C32" s="2">
        <v>0.26</v>
      </c>
      <c r="D32" s="47">
        <f>Tabel14[[#This Row],[Kolonne1]]/100</f>
        <v>0.93940000000000001</v>
      </c>
      <c r="E32" s="2">
        <f>39.53+54.41</f>
        <v>93.94</v>
      </c>
    </row>
    <row r="33" spans="1:5" x14ac:dyDescent="0.25">
      <c r="A33" s="22">
        <v>51437</v>
      </c>
      <c r="B33" s="22" t="s">
        <v>0</v>
      </c>
      <c r="C33" s="1">
        <v>0.27</v>
      </c>
      <c r="D33" s="47">
        <f>Tabel14[[#This Row],[Kolonne1]]/100</f>
        <v>0.92169999999999996</v>
      </c>
      <c r="E33" s="1">
        <f>37.99+54.18</f>
        <v>92.17</v>
      </c>
    </row>
    <row r="34" spans="1:5" x14ac:dyDescent="0.25">
      <c r="A34" s="22">
        <v>51407</v>
      </c>
      <c r="B34" s="22" t="s">
        <v>33</v>
      </c>
      <c r="C34" s="1">
        <v>0.02</v>
      </c>
      <c r="D34" s="47">
        <f>Tabel14[[#This Row],[Kolonne1]]/100</f>
        <v>0.8306</v>
      </c>
      <c r="E34" s="1">
        <f>43.37+39.69</f>
        <v>83.06</v>
      </c>
    </row>
    <row r="35" spans="1:5" x14ac:dyDescent="0.25">
      <c r="A35" s="22">
        <v>51418</v>
      </c>
      <c r="B35" s="22" t="s">
        <v>26</v>
      </c>
      <c r="C35" s="1">
        <v>0.39</v>
      </c>
      <c r="D35" s="47">
        <f>Tabel14[[#This Row],[Kolonne1]]/100</f>
        <v>1</v>
      </c>
      <c r="E35" s="1">
        <f>34.44+65.56</f>
        <v>100</v>
      </c>
    </row>
    <row r="36" spans="1:5" x14ac:dyDescent="0.25">
      <c r="A36" s="22">
        <v>51409</v>
      </c>
      <c r="B36" s="22" t="s">
        <v>35</v>
      </c>
      <c r="C36" s="1">
        <v>0.1</v>
      </c>
      <c r="D36" s="47">
        <f>Tabel14[[#This Row],[Kolonne1]]/100</f>
        <v>0.8508</v>
      </c>
      <c r="E36" s="1">
        <f>27.74+57.34</f>
        <v>85.08</v>
      </c>
    </row>
    <row r="37" spans="1:5" x14ac:dyDescent="0.25">
      <c r="A37" s="22">
        <v>51423</v>
      </c>
      <c r="B37" s="22" t="s">
        <v>60</v>
      </c>
      <c r="C37" s="1">
        <v>-0.23</v>
      </c>
      <c r="D37" s="47">
        <f>Tabel14[[#This Row],[Kolonne1]]/100</f>
        <v>0.82789999999999997</v>
      </c>
      <c r="E37" s="1">
        <f>48.23+34.56</f>
        <v>82.789999999999992</v>
      </c>
    </row>
    <row r="38" spans="1:5" x14ac:dyDescent="0.25">
      <c r="A38" s="22">
        <v>51410</v>
      </c>
      <c r="B38" s="22" t="s">
        <v>36</v>
      </c>
      <c r="C38" s="1">
        <v>0.17</v>
      </c>
      <c r="D38" s="47">
        <f>Tabel14[[#This Row],[Kolonne1]]/100</f>
        <v>0.95810000000000006</v>
      </c>
      <c r="E38" s="1">
        <f>46.53+49.28</f>
        <v>95.81</v>
      </c>
    </row>
    <row r="39" spans="1:5" x14ac:dyDescent="0.25">
      <c r="A39" s="22">
        <v>51411</v>
      </c>
      <c r="B39" s="22" t="s">
        <v>1</v>
      </c>
      <c r="D39" s="47">
        <f>Tabel14[[#This Row],[Kolonne1]]/100</f>
        <v>0.87529999999999997</v>
      </c>
      <c r="E39" s="1">
        <f>33.37+54.16</f>
        <v>87.53</v>
      </c>
    </row>
    <row r="40" spans="1:5" x14ac:dyDescent="0.25">
      <c r="A40" s="22">
        <v>51439</v>
      </c>
      <c r="B40" s="22" t="s">
        <v>53</v>
      </c>
      <c r="C40" s="1">
        <v>-0.25</v>
      </c>
      <c r="D40" s="47">
        <f>Tabel14[[#This Row],[Kolonne1]]/100</f>
        <v>0.81779999999999997</v>
      </c>
      <c r="E40" s="1">
        <f>51.74+30.04</f>
        <v>81.78</v>
      </c>
    </row>
    <row r="41" spans="1:5" x14ac:dyDescent="0.25">
      <c r="A41" s="22">
        <v>51440</v>
      </c>
      <c r="B41" s="22" t="s">
        <v>68</v>
      </c>
      <c r="C41" s="1">
        <v>0.23</v>
      </c>
      <c r="D41" s="47">
        <f>Tabel14[[#This Row],[Kolonne1]]/100</f>
        <v>0.91459999999999997</v>
      </c>
      <c r="E41" s="1">
        <f>30.88+60.58</f>
        <v>91.46</v>
      </c>
    </row>
    <row r="42" spans="1:5" x14ac:dyDescent="0.25">
      <c r="B42" s="2" t="s">
        <v>2</v>
      </c>
      <c r="C42" s="2">
        <v>-0.01</v>
      </c>
      <c r="D42" s="47">
        <f>Tabel14[[#This Row],[Kolonne1]]/100</f>
        <v>0.89019999999999999</v>
      </c>
      <c r="E42" s="2">
        <f>50.23+38.79</f>
        <v>89.02</v>
      </c>
    </row>
    <row r="43" spans="1:5" x14ac:dyDescent="0.25">
      <c r="A43" s="22">
        <v>51442</v>
      </c>
      <c r="B43" s="22" t="s">
        <v>55</v>
      </c>
      <c r="C43" s="1">
        <v>0.38</v>
      </c>
      <c r="D43" s="47">
        <f>Tabel14[[#This Row],[Kolonne1]]/100</f>
        <v>0.95409999999999995</v>
      </c>
      <c r="E43" s="1">
        <f>29.55+65.86</f>
        <v>95.41</v>
      </c>
    </row>
    <row r="44" spans="1:5" x14ac:dyDescent="0.25">
      <c r="A44" s="22">
        <v>51424</v>
      </c>
      <c r="B44" s="22" t="s">
        <v>106</v>
      </c>
      <c r="C44" s="1">
        <v>0.27</v>
      </c>
      <c r="D44" s="47">
        <f>Tabel14[[#This Row],[Kolonne1]]/100</f>
        <v>0.93069999999999997</v>
      </c>
      <c r="E44" s="1">
        <f>37.29+55.78</f>
        <v>93.07</v>
      </c>
    </row>
    <row r="45" spans="1:5" x14ac:dyDescent="0.25">
      <c r="A45" s="22">
        <v>51421</v>
      </c>
      <c r="B45" s="22" t="s">
        <v>29</v>
      </c>
      <c r="C45" s="1">
        <v>0.41</v>
      </c>
      <c r="D45" s="47">
        <f>Tabel14[[#This Row],[Kolonne1]]/100</f>
        <v>0.96560000000000001</v>
      </c>
      <c r="E45" s="1">
        <f>21.78+74.78</f>
        <v>96.56</v>
      </c>
    </row>
    <row r="46" spans="1:5" x14ac:dyDescent="0.25">
      <c r="B46" s="2" t="s">
        <v>122</v>
      </c>
      <c r="C46" s="2">
        <v>0.24</v>
      </c>
      <c r="D46" s="47">
        <f>Tabel14[[#This Row],[Kolonne1]]/100</f>
        <v>0.94640000000000002</v>
      </c>
      <c r="E46" s="2">
        <f>40.36+54.28</f>
        <v>94.64</v>
      </c>
    </row>
    <row r="47" spans="1:5" x14ac:dyDescent="0.25">
      <c r="A47" s="22">
        <v>51416</v>
      </c>
      <c r="B47" s="22" t="s">
        <v>37</v>
      </c>
      <c r="C47" s="1">
        <v>-0.17</v>
      </c>
      <c r="D47" s="47">
        <f>Tabel14[[#This Row],[Kolonne1]]/100</f>
        <v>0.81490000000000007</v>
      </c>
      <c r="E47" s="1">
        <f>46.52+34.97</f>
        <v>81.490000000000009</v>
      </c>
    </row>
    <row r="48" spans="1:5" x14ac:dyDescent="0.25">
      <c r="A48" s="38">
        <v>51422</v>
      </c>
      <c r="B48" s="38" t="s">
        <v>105</v>
      </c>
      <c r="C48" s="2" t="s">
        <v>123</v>
      </c>
      <c r="D48" s="2" t="s">
        <v>123</v>
      </c>
    </row>
    <row r="49" spans="1:4" s="1" customFormat="1" x14ac:dyDescent="0.25">
      <c r="A49" s="38">
        <v>51427</v>
      </c>
      <c r="B49" s="38" t="s">
        <v>66</v>
      </c>
      <c r="C49" s="2" t="s">
        <v>123</v>
      </c>
      <c r="D49" s="2" t="s">
        <v>123</v>
      </c>
    </row>
    <row r="50" spans="1:4" s="1" customFormat="1" x14ac:dyDescent="0.25">
      <c r="A50" s="38">
        <v>51436</v>
      </c>
      <c r="B50" s="38" t="s">
        <v>67</v>
      </c>
      <c r="C50" s="2" t="s">
        <v>123</v>
      </c>
      <c r="D50" s="2" t="s">
        <v>123</v>
      </c>
    </row>
    <row r="51" spans="1:4" x14ac:dyDescent="0.25">
      <c r="A51" s="38">
        <v>51420</v>
      </c>
      <c r="B51" s="38" t="s">
        <v>109</v>
      </c>
      <c r="C51" s="2" t="s">
        <v>123</v>
      </c>
      <c r="D51" s="2" t="s">
        <v>123</v>
      </c>
    </row>
    <row r="52" spans="1:4" x14ac:dyDescent="0.25">
      <c r="A52" s="38">
        <v>51441</v>
      </c>
      <c r="B52" s="38" t="s">
        <v>54</v>
      </c>
      <c r="C52" s="2" t="s">
        <v>124</v>
      </c>
      <c r="D52" s="2" t="s">
        <v>124</v>
      </c>
    </row>
    <row r="53" spans="1:4" x14ac:dyDescent="0.25">
      <c r="A53" s="38">
        <v>1</v>
      </c>
      <c r="B53" s="38" t="s">
        <v>45</v>
      </c>
      <c r="C53" s="2" t="s">
        <v>108</v>
      </c>
      <c r="D53" s="2" t="s">
        <v>108</v>
      </c>
    </row>
    <row r="54" spans="1:4" x14ac:dyDescent="0.25">
      <c r="A54" s="38">
        <v>2</v>
      </c>
      <c r="B54" s="38" t="s">
        <v>47</v>
      </c>
      <c r="C54" s="2" t="s">
        <v>108</v>
      </c>
      <c r="D54" s="2" t="s">
        <v>108</v>
      </c>
    </row>
    <row r="55" spans="1:4" x14ac:dyDescent="0.25">
      <c r="A55" s="38">
        <v>3</v>
      </c>
      <c r="B55" s="38" t="s">
        <v>57</v>
      </c>
      <c r="C55" s="2" t="s">
        <v>108</v>
      </c>
      <c r="D55" s="2" t="s">
        <v>108</v>
      </c>
    </row>
    <row r="56" spans="1:4" x14ac:dyDescent="0.25">
      <c r="A56" s="38">
        <v>4</v>
      </c>
      <c r="B56" s="38" t="s">
        <v>56</v>
      </c>
      <c r="C56" s="2" t="s">
        <v>108</v>
      </c>
      <c r="D56" s="2" t="s">
        <v>108</v>
      </c>
    </row>
    <row r="57" spans="1:4" x14ac:dyDescent="0.25">
      <c r="A57" s="38">
        <v>5</v>
      </c>
      <c r="B57" s="38" t="s">
        <v>65</v>
      </c>
      <c r="C57" s="2" t="s">
        <v>108</v>
      </c>
      <c r="D57" s="2" t="s">
        <v>108</v>
      </c>
    </row>
    <row r="58" spans="1:4" x14ac:dyDescent="0.25">
      <c r="A58" s="38">
        <v>6</v>
      </c>
      <c r="B58" s="38" t="s">
        <v>61</v>
      </c>
      <c r="C58" s="2" t="s">
        <v>108</v>
      </c>
      <c r="D58" s="2" t="s">
        <v>108</v>
      </c>
    </row>
    <row r="59" spans="1:4" x14ac:dyDescent="0.25">
      <c r="A59" s="38">
        <v>7</v>
      </c>
      <c r="B59" s="38" t="s">
        <v>64</v>
      </c>
      <c r="C59" s="2" t="s">
        <v>108</v>
      </c>
      <c r="D59" s="2" t="s">
        <v>108</v>
      </c>
    </row>
    <row r="60" spans="1:4" x14ac:dyDescent="0.25">
      <c r="A60" s="38">
        <v>8</v>
      </c>
      <c r="B60" s="38" t="s">
        <v>63</v>
      </c>
      <c r="C60" s="2" t="s">
        <v>108</v>
      </c>
      <c r="D60" s="2" t="s">
        <v>108</v>
      </c>
    </row>
    <row r="61" spans="1:4" x14ac:dyDescent="0.25">
      <c r="A61" s="27">
        <v>60000</v>
      </c>
      <c r="B61" s="27" t="s">
        <v>111</v>
      </c>
      <c r="C61" s="2" t="s">
        <v>108</v>
      </c>
      <c r="D61" s="2" t="s">
        <v>108</v>
      </c>
    </row>
    <row r="62" spans="1:4" x14ac:dyDescent="0.25">
      <c r="A62" s="22" t="s">
        <v>135</v>
      </c>
      <c r="B62" s="27" t="s">
        <v>136</v>
      </c>
      <c r="C62" s="48">
        <v>0.11</v>
      </c>
      <c r="D62" s="48">
        <f>88.87/100</f>
        <v>0.88870000000000005</v>
      </c>
    </row>
    <row r="63" spans="1:4" x14ac:dyDescent="0.25">
      <c r="A63" s="22" t="s">
        <v>137</v>
      </c>
      <c r="B63" s="27" t="s">
        <v>138</v>
      </c>
      <c r="C63" s="2" t="s">
        <v>108</v>
      </c>
      <c r="D63" s="2" t="s">
        <v>108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5" x14ac:dyDescent="0.25"/>
  <cols>
    <col min="1" max="1" width="6.28515625" customWidth="1"/>
    <col min="2" max="2" width="45.42578125" customWidth="1"/>
    <col min="3" max="3" width="15.28515625" bestFit="1" customWidth="1"/>
    <col min="4" max="5" width="16.7109375" bestFit="1" customWidth="1"/>
    <col min="6" max="6" width="16.7109375" style="1" customWidth="1"/>
    <col min="7" max="7" width="2.5703125" customWidth="1"/>
    <col min="8" max="8" width="15.28515625" bestFit="1" customWidth="1"/>
    <col min="9" max="10" width="16.7109375" bestFit="1" customWidth="1"/>
    <col min="11" max="11" width="16.7109375" style="1" customWidth="1"/>
    <col min="12" max="12" width="5.7109375" customWidth="1"/>
  </cols>
  <sheetData>
    <row r="1" spans="1:11" ht="22.5" customHeight="1" x14ac:dyDescent="0.25">
      <c r="A1" s="50"/>
      <c r="B1" s="49" t="s">
        <v>126</v>
      </c>
      <c r="C1" s="214" t="s">
        <v>33</v>
      </c>
      <c r="D1" s="215"/>
      <c r="E1" s="215"/>
      <c r="F1" s="216"/>
      <c r="H1" s="214" t="s">
        <v>136</v>
      </c>
      <c r="I1" s="215"/>
      <c r="J1" s="215"/>
      <c r="K1" s="216"/>
    </row>
    <row r="2" spans="1:11" x14ac:dyDescent="0.25">
      <c r="A2" s="57"/>
      <c r="B2" s="65"/>
      <c r="C2" s="70"/>
      <c r="D2" s="66"/>
      <c r="E2" s="67"/>
      <c r="F2" s="66"/>
      <c r="H2" s="70"/>
      <c r="I2" s="66"/>
      <c r="J2" s="66"/>
      <c r="K2" s="202"/>
    </row>
    <row r="3" spans="1:11" ht="26.25" thickBot="1" x14ac:dyDescent="0.3">
      <c r="A3" s="51"/>
      <c r="B3" s="68" t="s">
        <v>125</v>
      </c>
      <c r="C3" s="73" t="s">
        <v>86</v>
      </c>
      <c r="D3" s="74" t="s">
        <v>103</v>
      </c>
      <c r="E3" s="75" t="s">
        <v>104</v>
      </c>
      <c r="F3" s="75" t="s">
        <v>234</v>
      </c>
      <c r="H3" s="73" t="s">
        <v>86</v>
      </c>
      <c r="I3" s="74" t="s">
        <v>103</v>
      </c>
      <c r="J3" s="198" t="s">
        <v>104</v>
      </c>
      <c r="K3" s="200" t="s">
        <v>234</v>
      </c>
    </row>
    <row r="4" spans="1:11" ht="15.75" thickBot="1" x14ac:dyDescent="0.3">
      <c r="A4" s="57"/>
      <c r="B4" s="69"/>
      <c r="C4" s="71"/>
      <c r="D4" s="59"/>
      <c r="E4" s="166"/>
      <c r="F4" s="203"/>
      <c r="H4" s="71"/>
      <c r="I4" s="59"/>
      <c r="J4" s="199"/>
      <c r="K4" s="201"/>
    </row>
    <row r="5" spans="1:11" ht="15" customHeight="1" x14ac:dyDescent="0.25">
      <c r="A5" s="208" t="s">
        <v>141</v>
      </c>
      <c r="B5" s="60" t="s">
        <v>72</v>
      </c>
      <c r="C5" s="81">
        <f>VLOOKUP($C$1,'børn oktober'!$B:$N,3,FALSE)</f>
        <v>0</v>
      </c>
      <c r="D5" s="81">
        <f>VLOOKUP($C$1,'børn oktober'!$B:$N,7,FALSE)</f>
        <v>0</v>
      </c>
      <c r="E5" s="167">
        <f>VLOOKUP($C$1,'børn oktober'!$B:$N,11,FALSE)</f>
        <v>2</v>
      </c>
      <c r="F5" s="178"/>
      <c r="H5" s="81">
        <f>VLOOKUP($H$1,'børn oktober'!$B:$N,3,FALSE)</f>
        <v>1596</v>
      </c>
      <c r="I5" s="81">
        <f>VLOOKUP($H$1,'børn oktober'!$B:$N,7,FALSE)</f>
        <v>1610</v>
      </c>
      <c r="J5" s="167">
        <f>VLOOKUP($H$1,'børn oktober'!$B:$N,11,FALSE)</f>
        <v>1595</v>
      </c>
      <c r="K5" s="178"/>
    </row>
    <row r="6" spans="1:11" x14ac:dyDescent="0.25">
      <c r="A6" s="208"/>
      <c r="B6" s="60" t="s">
        <v>73</v>
      </c>
      <c r="C6" s="82">
        <f>VLOOKUP($C$1,'børn oktober'!$B:$N,4,FALSE)</f>
        <v>74</v>
      </c>
      <c r="D6" s="82">
        <f>VLOOKUP($C$1,'børn oktober'!$B:$N,8,FALSE)</f>
        <v>81</v>
      </c>
      <c r="E6" s="168">
        <f>VLOOKUP($C$1,'børn oktober'!$B:$N,12,FALSE)</f>
        <v>83</v>
      </c>
      <c r="F6" s="178"/>
      <c r="H6" s="82">
        <f>VLOOKUP($H1,'børn oktober'!$B:$N,4,FALSE)</f>
        <v>2483</v>
      </c>
      <c r="I6" s="82">
        <f>VLOOKUP($H$1,'børn oktober'!$B:$N,8,FALSE)</f>
        <v>2529</v>
      </c>
      <c r="J6" s="168">
        <f>VLOOKUP($H$1,'børn oktober'!$B:$N,12,FALSE)</f>
        <v>2661</v>
      </c>
      <c r="K6" s="178"/>
    </row>
    <row r="7" spans="1:11" x14ac:dyDescent="0.25">
      <c r="A7" s="208"/>
      <c r="B7" s="60" t="s">
        <v>89</v>
      </c>
      <c r="C7" s="82">
        <f>VLOOKUP($C$1,'børn oktober'!$B:$N,5,FALSE)</f>
        <v>0</v>
      </c>
      <c r="D7" s="82">
        <f>VLOOKUP($C$1,'børn oktober'!$B:$N,9,FALSE)</f>
        <v>0</v>
      </c>
      <c r="E7" s="168">
        <f>VLOOKUP($C$1,'børn oktober'!$B:$N,13,FALSE)</f>
        <v>0</v>
      </c>
      <c r="F7" s="178"/>
      <c r="H7" s="82">
        <f>VLOOKUP($H$1,'børn oktober'!$B:$N,5,FALSE)</f>
        <v>96</v>
      </c>
      <c r="I7" s="82">
        <f>VLOOKUP($H$1,'børn oktober'!$B:$N,9,FALSE)</f>
        <v>84</v>
      </c>
      <c r="J7" s="168">
        <f>VLOOKUP($H$1,'børn oktober'!$B:$N,13,FALSE)</f>
        <v>63</v>
      </c>
      <c r="K7" s="178"/>
    </row>
    <row r="8" spans="1:11" x14ac:dyDescent="0.25">
      <c r="A8" s="208"/>
      <c r="B8" s="60" t="s">
        <v>82</v>
      </c>
      <c r="C8" s="82">
        <f>SUM(C5:C7)</f>
        <v>74</v>
      </c>
      <c r="D8" s="82">
        <f>SUM(D5:D7)</f>
        <v>81</v>
      </c>
      <c r="E8" s="168">
        <f>SUM(E5:E7)</f>
        <v>85</v>
      </c>
      <c r="F8" s="178"/>
      <c r="H8" s="82">
        <f>SUM(H5:H7)</f>
        <v>4175</v>
      </c>
      <c r="I8" s="82">
        <f>SUM(I5:I7)</f>
        <v>4223</v>
      </c>
      <c r="J8" s="168">
        <f>SUM(J5:J7)</f>
        <v>4319</v>
      </c>
      <c r="K8" s="178"/>
    </row>
    <row r="9" spans="1:11" x14ac:dyDescent="0.25">
      <c r="A9" s="52"/>
      <c r="B9" s="61"/>
      <c r="C9" s="83"/>
      <c r="D9" s="83"/>
      <c r="E9" s="169"/>
      <c r="F9" s="179"/>
      <c r="H9" s="83"/>
      <c r="I9" s="83"/>
      <c r="J9" s="169"/>
      <c r="K9" s="179"/>
    </row>
    <row r="10" spans="1:11" ht="15" customHeight="1" x14ac:dyDescent="0.25">
      <c r="A10" s="207" t="s">
        <v>131</v>
      </c>
      <c r="B10" s="60" t="s">
        <v>87</v>
      </c>
      <c r="C10" s="84">
        <f>VLOOKUP($C$1,socioøkonomi!$B:$M,4,FALSE)/100</f>
        <v>8.8607594936708847E-2</v>
      </c>
      <c r="D10" s="84">
        <f>VLOOKUP($C$1,socioøkonomi!$B:$M,8,FALSE)/100</f>
        <v>6.25E-2</v>
      </c>
      <c r="E10" s="170">
        <f>VLOOKUP($C$1,socioøkonomi!$B:$M,12,FALSE)/100</f>
        <v>8.3333333333333343E-2</v>
      </c>
      <c r="F10" s="186">
        <f>VLOOKUP($C$1,socioøkonomi!$B:$R,16,FALSE)/100</f>
        <v>3.5294117647058823E-2</v>
      </c>
      <c r="H10" s="84">
        <f>VLOOKUP($H$1,socioøkonomi!$B:$M,4,FALSE)/100</f>
        <v>0.11297852474323063</v>
      </c>
      <c r="I10" s="84">
        <f>VLOOKUP($H$1,socioøkonomi!$B:$M,8,FALSE)/100</f>
        <v>0.10976349302607641</v>
      </c>
      <c r="J10" s="170">
        <f>VLOOKUP($H$1,socioøkonomi!$B:$M,12,FALSE)/100</f>
        <v>0.11058684753759954</v>
      </c>
      <c r="K10" s="186">
        <f>VLOOKUP($H$1,socioøkonomi!$B:$R,16,FALSE)/100</f>
        <v>0.11073059360730594</v>
      </c>
    </row>
    <row r="11" spans="1:11" x14ac:dyDescent="0.25">
      <c r="A11" s="208"/>
      <c r="B11" s="60" t="s">
        <v>88</v>
      </c>
      <c r="C11" s="82">
        <f>VLOOKUP($C$1,socioøkonomi!$B:$M,2,FALSE)</f>
        <v>7</v>
      </c>
      <c r="D11" s="82">
        <f>VLOOKUP($C$1,socioøkonomi!$B:$M,6,FALSE)</f>
        <v>5</v>
      </c>
      <c r="E11" s="168">
        <f>VLOOKUP($C$1,socioøkonomi!$B:$M,10,FALSE)</f>
        <v>7</v>
      </c>
      <c r="F11" s="187">
        <f>VLOOKUP($C$1,socioøkonomi!$B:$R,14,FALSE)</f>
        <v>3</v>
      </c>
      <c r="H11" s="82">
        <f>VLOOKUP($H$1,socioøkonomi!$B:$M,2,FALSE)</f>
        <v>363</v>
      </c>
      <c r="I11" s="82">
        <f>VLOOKUP($H$1,socioøkonomi!$B:$M,6,FALSE)</f>
        <v>362</v>
      </c>
      <c r="J11" s="168">
        <f>VLOOKUP($H$1,socioøkonomi!$B:$M,10,FALSE)</f>
        <v>375</v>
      </c>
      <c r="K11" s="187">
        <f>VLOOKUP($H$1,socioøkonomi!$B:$R,14,FALSE)</f>
        <v>388</v>
      </c>
    </row>
    <row r="12" spans="1:11" x14ac:dyDescent="0.25">
      <c r="A12" s="209"/>
      <c r="B12" s="60" t="s">
        <v>158</v>
      </c>
      <c r="C12" s="94">
        <f>VLOOKUP($C$1,socioøkonomi!$B:$M,5,FALSE)</f>
        <v>101000</v>
      </c>
      <c r="D12" s="94">
        <f>VLOOKUP($C$1,socioøkonomi!$B:$M,9,FALSE)</f>
        <v>86000</v>
      </c>
      <c r="E12" s="171">
        <f>VLOOKUP($C$1,socioøkonomi!$B:$X,13,FALSE)</f>
        <v>188000</v>
      </c>
      <c r="F12" s="188">
        <f>VLOOKUP($C$1,socioøkonomi!$B:$X,17,FALSE)</f>
        <v>77000</v>
      </c>
      <c r="H12" s="94">
        <f>VLOOKUP($H$1,socioøkonomi!$B:$M,5,FALSE)</f>
        <v>9554000</v>
      </c>
      <c r="I12" s="94">
        <f>VLOOKUP($H$1,socioøkonomi!$B:$M,9,FALSE)</f>
        <v>10087000</v>
      </c>
      <c r="J12" s="171">
        <f>VLOOKUP($H$1,socioøkonomi!$B:$X,13,FALSE)</f>
        <v>10017000</v>
      </c>
      <c r="K12" s="188">
        <f>VLOOKUP($H$1,socioøkonomi!$B:$X,17,FALSE)</f>
        <v>10510000</v>
      </c>
    </row>
    <row r="13" spans="1:11" x14ac:dyDescent="0.25">
      <c r="A13" s="52"/>
      <c r="B13" s="61"/>
      <c r="C13" s="83"/>
      <c r="D13" s="83"/>
      <c r="E13" s="169"/>
      <c r="F13" s="179"/>
      <c r="H13" s="83"/>
      <c r="I13" s="83"/>
      <c r="J13" s="169"/>
      <c r="K13" s="179"/>
    </row>
    <row r="14" spans="1:11" ht="15" customHeight="1" x14ac:dyDescent="0.25">
      <c r="A14" s="208" t="s">
        <v>132</v>
      </c>
      <c r="B14" s="60" t="s">
        <v>130</v>
      </c>
      <c r="C14" s="140"/>
      <c r="D14" s="141" t="str">
        <f>VLOOKUP($C$1,Sprogvurderinger!$B:$N,2,FALSE)</f>
        <v>tal skal hentes</v>
      </c>
      <c r="E14" s="172">
        <f>VLOOKUP($C$1,Sprogvurderinger!$B:$N,6,FALSE)</f>
        <v>24</v>
      </c>
      <c r="F14" s="181"/>
      <c r="H14" s="140"/>
      <c r="I14" s="141" t="str">
        <f>VLOOKUP($H$1,Sprogvurderinger!$B:$N,2,FALSE)</f>
        <v>tal skal hentes</v>
      </c>
      <c r="J14" s="172">
        <f>VLOOKUP($H$1,Sprogvurderinger!$B:$N,6,FALSE)</f>
        <v>2041</v>
      </c>
      <c r="K14" s="181"/>
    </row>
    <row r="15" spans="1:11" x14ac:dyDescent="0.25">
      <c r="A15" s="208"/>
      <c r="B15" s="92" t="s">
        <v>205</v>
      </c>
      <c r="C15" s="140"/>
      <c r="D15" s="140" t="str">
        <f>VLOOKUP($C$1,Sprogvurderinger!$B:$N,3,FALSE)</f>
        <v>tal skal hentes</v>
      </c>
      <c r="E15" s="168">
        <f>VLOOKUP($C$1,Sprogvurderinger!$B:$N,7,FALSE)</f>
        <v>15</v>
      </c>
      <c r="F15" s="178"/>
      <c r="H15" s="140"/>
      <c r="I15" s="140" t="str">
        <f>VLOOKUP($H$1,Sprogvurderinger!$B:$N,3,FALSE)</f>
        <v>tal skal hentes</v>
      </c>
      <c r="J15" s="168">
        <f>VLOOKUP($H$1,Sprogvurderinger!$B:$N,7,FALSE)</f>
        <v>1449</v>
      </c>
      <c r="K15" s="178"/>
    </row>
    <row r="16" spans="1:11" x14ac:dyDescent="0.25">
      <c r="A16" s="208"/>
      <c r="B16" s="92" t="s">
        <v>206</v>
      </c>
      <c r="C16" s="140"/>
      <c r="D16" s="140" t="str">
        <f>VLOOKUP($C$1,Sprogvurderinger!$B:$N,4,FALSE)</f>
        <v>tal skal hentes</v>
      </c>
      <c r="E16" s="168">
        <f>VLOOKUP($C$1,Sprogvurderinger!$B:$N,8,FALSE)</f>
        <v>0</v>
      </c>
      <c r="F16" s="178"/>
      <c r="H16" s="140"/>
      <c r="I16" s="140" t="str">
        <f>VLOOKUP($H$1,Sprogvurderinger!$B:$N,4,FALSE)</f>
        <v>tal skal hentes</v>
      </c>
      <c r="J16" s="168">
        <f>VLOOKUP($H$1,Sprogvurderinger!$B:$N,8,FALSE)</f>
        <v>146</v>
      </c>
      <c r="K16" s="178"/>
    </row>
    <row r="17" spans="1:13" x14ac:dyDescent="0.25">
      <c r="A17" s="208"/>
      <c r="B17" s="92" t="s">
        <v>207</v>
      </c>
      <c r="C17" s="140"/>
      <c r="D17" s="140" t="str">
        <f>VLOOKUP($C$1,Sprogvurderinger!$B:$N,5,FALSE)</f>
        <v>tal skal hentes</v>
      </c>
      <c r="E17" s="168">
        <f>VLOOKUP($C$1,Sprogvurderinger!$B:$N,9,FALSE)</f>
        <v>9</v>
      </c>
      <c r="F17" s="178"/>
      <c r="H17" s="140"/>
      <c r="I17" s="140" t="str">
        <f>VLOOKUP($H$1,Sprogvurderinger!$B:$N,5,FALSE)</f>
        <v>tal skal hentes</v>
      </c>
      <c r="J17" s="168">
        <f>VLOOKUP($H$1,Sprogvurderinger!$B:$N,9,FALSE)</f>
        <v>446</v>
      </c>
      <c r="K17" s="178"/>
    </row>
    <row r="18" spans="1:13" x14ac:dyDescent="0.25">
      <c r="A18" s="52"/>
      <c r="B18" s="61"/>
      <c r="C18" s="85"/>
      <c r="D18" s="85"/>
      <c r="E18" s="169"/>
      <c r="F18" s="179"/>
      <c r="H18" s="85"/>
      <c r="I18" s="85"/>
      <c r="J18" s="169"/>
      <c r="K18" s="179"/>
    </row>
    <row r="19" spans="1:13" ht="15" customHeight="1" x14ac:dyDescent="0.25">
      <c r="A19" s="207" t="s">
        <v>133</v>
      </c>
      <c r="B19" s="60" t="s">
        <v>84</v>
      </c>
      <c r="C19" s="140"/>
      <c r="D19" s="141" t="str">
        <f>VLOOKUP($C$1,underretninger!$B:$N,2,FALSE)</f>
        <v>kan jeg få tal ved familieområdet?</v>
      </c>
      <c r="E19" s="168">
        <f>VLOOKUP($C$1,underretninger!$B:$N,3,FALSE)</f>
        <v>1</v>
      </c>
      <c r="F19" s="178"/>
      <c r="H19" s="140"/>
      <c r="I19" s="141" t="str">
        <f>VLOOKUP($H$1,underretninger!$B:$N,2,FALSE)</f>
        <v>kan jeg få tal ved familieområdet?</v>
      </c>
      <c r="J19" s="168" t="str">
        <f>VLOOKUP($H$1,underretninger!$B:$N,3,FALSE)</f>
        <v xml:space="preserve">Ca. 75 </v>
      </c>
      <c r="K19" s="178"/>
    </row>
    <row r="20" spans="1:13" x14ac:dyDescent="0.25">
      <c r="A20" s="208"/>
      <c r="B20" s="60" t="s">
        <v>85</v>
      </c>
      <c r="C20" s="140"/>
      <c r="D20" s="141" t="str">
        <f>VLOOKUP($C$1,magtanvendelser!$B:$K,2,FALSE)</f>
        <v>kan jeg få tallene ved Claudia?</v>
      </c>
      <c r="E20" s="168">
        <f>VLOOKUP($C$1,magtanvendelser!$B:$K,3,FALSE)</f>
        <v>0</v>
      </c>
      <c r="F20" s="178"/>
      <c r="H20" s="140"/>
      <c r="I20" s="141" t="str">
        <f>VLOOKUP($H$1,magtanvendelser!$B:$K,2,FALSE)</f>
        <v>kan jeg få tallene ved Claudia?</v>
      </c>
      <c r="J20" s="168">
        <f>VLOOKUP($H$1,magtanvendelser!$B:$K,3,FALSE)</f>
        <v>68</v>
      </c>
      <c r="K20" s="178"/>
    </row>
    <row r="21" spans="1:13" x14ac:dyDescent="0.25">
      <c r="A21" s="52"/>
      <c r="B21" s="61"/>
      <c r="C21" s="83"/>
      <c r="D21" s="83"/>
      <c r="E21" s="169"/>
      <c r="F21" s="179"/>
      <c r="H21" s="83"/>
      <c r="I21" s="83"/>
      <c r="J21" s="169"/>
      <c r="K21" s="179"/>
    </row>
    <row r="22" spans="1:13" ht="15" customHeight="1" x14ac:dyDescent="0.25">
      <c r="A22" s="207" t="s">
        <v>83</v>
      </c>
      <c r="B22" s="60" t="s">
        <v>6</v>
      </c>
      <c r="C22" s="82"/>
      <c r="D22" s="84">
        <f>VLOOKUP($C$1,timer!$B:$N,8,FALSE)</f>
        <v>0.79229238174543537</v>
      </c>
      <c r="E22" s="170">
        <f>VLOOKUP($C$1,timer!$B:$N,10,FALSE)</f>
        <v>0.64699428094279798</v>
      </c>
      <c r="F22" s="180"/>
      <c r="H22" s="82"/>
      <c r="I22" s="84">
        <f>VLOOKUP($H$1,timer!$B:$N,8,FALSE)</f>
        <v>0.59401070805326628</v>
      </c>
      <c r="J22" s="170">
        <f>VLOOKUP($H$1,timer!$B:$N,10,FALSE)</f>
        <v>0.59401070805326628</v>
      </c>
      <c r="K22" s="180"/>
    </row>
    <row r="23" spans="1:13" x14ac:dyDescent="0.25">
      <c r="A23" s="208"/>
      <c r="B23" s="60" t="s">
        <v>78</v>
      </c>
      <c r="C23" s="82"/>
      <c r="D23" s="84">
        <f>VLOOKUP($C$1,timer!$B:$N,7,FALSE)</f>
        <v>0.20770761825456471</v>
      </c>
      <c r="E23" s="170">
        <f>VLOOKUP($C$1,timer!$B:$N,9,FALSE)</f>
        <v>0.35300571905720207</v>
      </c>
      <c r="F23" s="180"/>
      <c r="H23" s="82"/>
      <c r="I23" s="84">
        <f>VLOOKUP($H$1,timer!$B:$N,7,FALSE)</f>
        <v>0.40598929194673355</v>
      </c>
      <c r="J23" s="170">
        <f>VLOOKUP($H$1,timer!$B:$N,9,FALSE)</f>
        <v>0.40598929194673355</v>
      </c>
      <c r="K23" s="180"/>
    </row>
    <row r="24" spans="1:13" x14ac:dyDescent="0.25">
      <c r="A24" s="208"/>
      <c r="B24" s="61"/>
      <c r="C24" s="83"/>
      <c r="D24" s="83"/>
      <c r="E24" s="169"/>
      <c r="F24" s="179"/>
      <c r="H24" s="83"/>
      <c r="I24" s="83"/>
      <c r="J24" s="169"/>
      <c r="K24" s="179"/>
    </row>
    <row r="25" spans="1:13" x14ac:dyDescent="0.25">
      <c r="A25" s="208"/>
      <c r="B25" s="60" t="s">
        <v>79</v>
      </c>
      <c r="C25" s="82"/>
      <c r="D25" s="84">
        <f>SUM(D26:D27)</f>
        <v>6.803681766663007E-2</v>
      </c>
      <c r="E25" s="170">
        <f>SUM(E26:E27)</f>
        <v>5.463083708186265E-2</v>
      </c>
      <c r="F25" s="180"/>
      <c r="H25" s="82"/>
      <c r="I25" s="84">
        <f>SUM(I26:I27)</f>
        <v>8.5599999999999996E-2</v>
      </c>
      <c r="J25" s="170">
        <f>SUM(J26:J27)</f>
        <v>7.17E-2</v>
      </c>
      <c r="K25" s="180"/>
    </row>
    <row r="26" spans="1:13" x14ac:dyDescent="0.25">
      <c r="A26" s="208"/>
      <c r="B26" s="60" t="s">
        <v>80</v>
      </c>
      <c r="C26" s="82"/>
      <c r="D26" s="84">
        <f>VLOOKUP($C$1,fravær!$B:$I,2,FALSE)</f>
        <v>2.6776900296150059E-2</v>
      </c>
      <c r="E26" s="170">
        <f>VLOOKUP($C$1,fravær!$B:$I,4,FALSE)</f>
        <v>2.2454541458483183E-2</v>
      </c>
      <c r="F26" s="180"/>
      <c r="H26" s="82"/>
      <c r="I26" s="84">
        <f>VLOOKUP($H$1,fravær!$B:$I,2,FALSE)</f>
        <v>4.0399999999999998E-2</v>
      </c>
      <c r="J26" s="170">
        <f>VLOOKUP($H$1,fravær!$B:$I,4,FALSE)</f>
        <v>2.9399999999999999E-2</v>
      </c>
      <c r="K26" s="180"/>
    </row>
    <row r="27" spans="1:13" x14ac:dyDescent="0.25">
      <c r="A27" s="210"/>
      <c r="B27" s="60" t="s">
        <v>81</v>
      </c>
      <c r="C27" s="82"/>
      <c r="D27" s="84">
        <f>VLOOKUP($C$1,fravær!$B:$I,3,FALSE)</f>
        <v>4.1259917370480015E-2</v>
      </c>
      <c r="E27" s="170">
        <f>VLOOKUP($C$1,fravær!$B:$I,5,FALSE)</f>
        <v>3.2176295623379467E-2</v>
      </c>
      <c r="F27" s="180"/>
      <c r="H27" s="82"/>
      <c r="I27" s="84">
        <f>VLOOKUP($H$1,fravær!$B:$I,3,FALSE)</f>
        <v>4.5199999999999997E-2</v>
      </c>
      <c r="J27" s="170">
        <f>VLOOKUP($H$1,fravær!$B:$I,5,FALSE)</f>
        <v>4.2299999999999997E-2</v>
      </c>
      <c r="K27" s="180"/>
    </row>
    <row r="28" spans="1:13" x14ac:dyDescent="0.25">
      <c r="A28" s="211"/>
      <c r="B28" s="61"/>
      <c r="C28" s="83"/>
      <c r="D28" s="83"/>
      <c r="E28" s="169"/>
      <c r="F28" s="179"/>
      <c r="H28" s="83"/>
      <c r="I28" s="83"/>
      <c r="J28" s="169"/>
      <c r="K28" s="179"/>
    </row>
    <row r="29" spans="1:13" x14ac:dyDescent="0.25">
      <c r="A29" s="211"/>
      <c r="B29" s="92" t="s">
        <v>147</v>
      </c>
      <c r="C29" s="82"/>
      <c r="D29" s="84"/>
      <c r="E29" s="173">
        <f>VLOOKUP($C$1,trivsel!$B:$O,2,FALSE)</f>
        <v>4.3</v>
      </c>
      <c r="F29" s="182"/>
      <c r="H29" s="82"/>
      <c r="I29" s="84"/>
      <c r="J29" s="173">
        <f>VLOOKUP($H$1,trivsel!$B:$O,2,FALSE)</f>
        <v>4</v>
      </c>
      <c r="K29" s="182"/>
    </row>
    <row r="30" spans="1:13" x14ac:dyDescent="0.25">
      <c r="A30" s="52"/>
      <c r="B30" s="61"/>
      <c r="C30" s="83"/>
      <c r="D30" s="83"/>
      <c r="E30" s="169"/>
      <c r="F30" s="179"/>
      <c r="H30" s="83"/>
      <c r="I30" s="83"/>
      <c r="J30" s="169"/>
      <c r="K30" s="179"/>
    </row>
    <row r="31" spans="1:13" ht="15" customHeight="1" x14ac:dyDescent="0.25">
      <c r="A31" s="207" t="s">
        <v>90</v>
      </c>
      <c r="B31" s="60" t="s">
        <v>91</v>
      </c>
      <c r="C31" s="82"/>
      <c r="D31" s="82"/>
      <c r="E31" s="173" t="str">
        <f>VLOOKUP($C$1,KIDS!$B:$O,2,FALSE)</f>
        <v>22.08.2023</v>
      </c>
      <c r="F31" s="182"/>
      <c r="H31" s="82"/>
      <c r="I31" s="82"/>
      <c r="J31" s="173">
        <f>VLOOKUP($H$1,KIDS!$B:$O,2,FALSE)</f>
        <v>2023</v>
      </c>
      <c r="K31" s="182"/>
      <c r="M31" s="157"/>
    </row>
    <row r="32" spans="1:13" x14ac:dyDescent="0.25">
      <c r="A32" s="207"/>
      <c r="B32" s="60" t="s">
        <v>151</v>
      </c>
      <c r="C32" s="82"/>
      <c r="D32" s="82"/>
      <c r="E32" s="189">
        <f>VLOOKUP($C$1,KIDS!$B:$O,3,FALSE)</f>
        <v>60.4</v>
      </c>
      <c r="F32" s="193"/>
      <c r="H32" s="82"/>
      <c r="I32" s="82"/>
      <c r="J32" s="189">
        <f>VLOOKUP($H$1,KIDS!$B:$O,3,FALSE)</f>
        <v>61.726830966304654</v>
      </c>
      <c r="K32" s="193"/>
    </row>
    <row r="33" spans="1:13" x14ac:dyDescent="0.25">
      <c r="A33" s="207"/>
      <c r="B33" s="60" t="s">
        <v>152</v>
      </c>
      <c r="C33" s="82"/>
      <c r="D33" s="82"/>
      <c r="E33" s="189">
        <f>VLOOKUP($C$1,KIDS!$B:$O,4,FALSE)</f>
        <v>92.5</v>
      </c>
      <c r="F33" s="193"/>
      <c r="H33" s="82"/>
      <c r="I33" s="82"/>
      <c r="J33" s="189">
        <f>VLOOKUP($H$1,KIDS!$B:$O,4,FALSE)</f>
        <v>78.269400352733683</v>
      </c>
      <c r="K33" s="193"/>
      <c r="M33" s="1"/>
    </row>
    <row r="34" spans="1:13" x14ac:dyDescent="0.25">
      <c r="A34" s="207"/>
      <c r="B34" s="60" t="s">
        <v>153</v>
      </c>
      <c r="C34" s="82"/>
      <c r="D34" s="82"/>
      <c r="E34" s="189">
        <f>VLOOKUP($C$1,KIDS!$B:$O,5,FALSE)</f>
        <v>65.5</v>
      </c>
      <c r="F34" s="193"/>
      <c r="H34" s="82"/>
      <c r="I34" s="82"/>
      <c r="J34" s="189">
        <f>VLOOKUP($H$1,KIDS!$B:$O,5,FALSE)</f>
        <v>63.954388896217147</v>
      </c>
      <c r="K34" s="193"/>
      <c r="M34" s="1"/>
    </row>
    <row r="35" spans="1:13" x14ac:dyDescent="0.25">
      <c r="A35" s="207"/>
      <c r="B35" s="60" t="s">
        <v>154</v>
      </c>
      <c r="C35" s="82"/>
      <c r="D35" s="82"/>
      <c r="E35" s="189">
        <f>VLOOKUP($C$1,KIDS!$B:$O,6,FALSE)</f>
        <v>62</v>
      </c>
      <c r="F35" s="193"/>
      <c r="H35" s="82"/>
      <c r="I35" s="82"/>
      <c r="J35" s="189">
        <f>VLOOKUP($H$1,KIDS!$B:$O,6,FALSE)</f>
        <v>56.810551631604291</v>
      </c>
      <c r="K35" s="193"/>
      <c r="M35" s="1"/>
    </row>
    <row r="36" spans="1:13" x14ac:dyDescent="0.25">
      <c r="A36" s="208"/>
      <c r="B36" s="60" t="s">
        <v>155</v>
      </c>
      <c r="C36" s="82"/>
      <c r="D36" s="82"/>
      <c r="E36" s="173" t="str">
        <f>VLOOKUP($C$1,KIDS!$B:$O,7,FALSE)</f>
        <v>-</v>
      </c>
      <c r="F36" s="182"/>
      <c r="H36" s="82"/>
      <c r="I36" s="82"/>
      <c r="J36" s="173" t="str">
        <f>VLOOKUP($H$1,KIDS!$B:$O,7,FALSE)</f>
        <v>-</v>
      </c>
      <c r="K36" s="182"/>
      <c r="M36" s="1"/>
    </row>
    <row r="37" spans="1:13" x14ac:dyDescent="0.25">
      <c r="A37" s="52"/>
      <c r="B37" s="61"/>
      <c r="C37" s="83"/>
      <c r="D37" s="83"/>
      <c r="E37" s="169"/>
      <c r="F37" s="179"/>
      <c r="H37" s="83"/>
      <c r="I37" s="83"/>
      <c r="J37" s="169"/>
      <c r="K37" s="179"/>
      <c r="M37" s="1"/>
    </row>
    <row r="38" spans="1:13" ht="15" customHeight="1" x14ac:dyDescent="0.25">
      <c r="A38" s="207" t="s">
        <v>156</v>
      </c>
      <c r="B38" s="60" t="s">
        <v>134</v>
      </c>
      <c r="C38" s="86">
        <f>VLOOKUP($C$1,kortlægning!$B:$L,2,FALSE)</f>
        <v>531</v>
      </c>
      <c r="D38" s="86"/>
      <c r="E38" s="174">
        <f>VLOOKUP($C$1,kortlægning!$B:$L,6,FALSE)</f>
        <v>542</v>
      </c>
      <c r="F38" s="183"/>
      <c r="H38" s="86">
        <f>VLOOKUP($H$1,kortlægning!$B:$L,2,FALSE)</f>
        <v>518</v>
      </c>
      <c r="I38" s="86"/>
      <c r="J38" s="174">
        <f>VLOOKUP($H$1,kortlægning!$B:$L,6,FALSE)</f>
        <v>522</v>
      </c>
      <c r="K38" s="183"/>
    </row>
    <row r="39" spans="1:13" x14ac:dyDescent="0.25">
      <c r="A39" s="209"/>
      <c r="B39" s="60" t="s">
        <v>8</v>
      </c>
      <c r="C39" s="86">
        <f>VLOOKUP($C$1,kortlægning!$B:$L,3,FALSE)</f>
        <v>494</v>
      </c>
      <c r="D39" s="86"/>
      <c r="E39" s="174">
        <f>VLOOKUP($C$1,kortlægning!$B:$L,7,FALSE)</f>
        <v>549</v>
      </c>
      <c r="F39" s="183"/>
      <c r="H39" s="86">
        <f>VLOOKUP($H$1,kortlægning!$B:$L,3,FALSE)</f>
        <v>529</v>
      </c>
      <c r="I39" s="86"/>
      <c r="J39" s="174">
        <f>VLOOKUP($H$1,kortlægning!$B:$L,7,FALSE)</f>
        <v>528</v>
      </c>
      <c r="K39" s="183"/>
      <c r="M39" s="157"/>
    </row>
    <row r="40" spans="1:13" x14ac:dyDescent="0.25">
      <c r="A40" s="209"/>
      <c r="B40" s="60" t="s">
        <v>142</v>
      </c>
      <c r="C40" s="87">
        <f>VLOOKUP($C$1,kortlægning!$B:$L,4,FALSE)</f>
        <v>476</v>
      </c>
      <c r="D40" s="86"/>
      <c r="E40" s="175">
        <f>VLOOKUP($C$1,kortlægning!$B:$L,8,FALSE)</f>
        <v>548</v>
      </c>
      <c r="F40" s="184"/>
      <c r="H40" s="87">
        <f>VLOOKUP($H$1,kortlægning!$B:$L,4,FALSE)</f>
        <v>520</v>
      </c>
      <c r="I40" s="86"/>
      <c r="J40" s="175">
        <f>VLOOKUP($H$1,kortlægning!$B:$L,8,FALSE)</f>
        <v>524</v>
      </c>
      <c r="K40" s="184"/>
    </row>
    <row r="41" spans="1:13" x14ac:dyDescent="0.25">
      <c r="A41" s="209"/>
      <c r="B41" s="60" t="s">
        <v>143</v>
      </c>
      <c r="C41" s="87">
        <f>VLOOKUP($C$1,kortlægning!$B:$L,5,FALSE)</f>
        <v>484</v>
      </c>
      <c r="D41" s="86"/>
      <c r="E41" s="175">
        <f>VLOOKUP($C$1,kortlægning!$B:$L,9,FALSE)</f>
        <v>485</v>
      </c>
      <c r="F41" s="184"/>
      <c r="H41" s="87">
        <f>VLOOKUP($H$1,kortlægning!$B:$L,5,FALSE)</f>
        <v>503</v>
      </c>
      <c r="I41" s="86"/>
      <c r="J41" s="175">
        <f>VLOOKUP($H$1,kortlægning!$B:$L,9,FALSE)</f>
        <v>504</v>
      </c>
      <c r="K41" s="184"/>
      <c r="M41" s="1"/>
    </row>
    <row r="42" spans="1:13" x14ac:dyDescent="0.25">
      <c r="A42" s="53"/>
      <c r="B42" s="61"/>
      <c r="C42" s="88"/>
      <c r="D42" s="88"/>
      <c r="E42" s="190"/>
      <c r="F42" s="194"/>
      <c r="H42" s="88"/>
      <c r="I42" s="88"/>
      <c r="J42" s="176"/>
      <c r="K42" s="185"/>
      <c r="M42" s="1"/>
    </row>
    <row r="43" spans="1:13" ht="26.25" customHeight="1" x14ac:dyDescent="0.25">
      <c r="A43" s="207" t="s">
        <v>157</v>
      </c>
      <c r="B43" s="62" t="s">
        <v>144</v>
      </c>
      <c r="C43" s="89">
        <f>VLOOKUP($C$1,'nat brug 21'!$B:$K,3,FALSE)</f>
        <v>0.8306</v>
      </c>
      <c r="D43" s="84"/>
      <c r="E43" s="191"/>
      <c r="F43" s="195"/>
      <c r="H43" s="89">
        <f>VLOOKUP($H$1,'nat brug 21'!$B:$K,3,FALSE)</f>
        <v>0.88870000000000005</v>
      </c>
      <c r="I43" s="84"/>
      <c r="J43" s="170"/>
      <c r="K43" s="180"/>
      <c r="M43" s="1"/>
    </row>
    <row r="44" spans="1:13" ht="15.75" thickBot="1" x14ac:dyDescent="0.3">
      <c r="A44" s="208"/>
      <c r="B44" s="63" t="s">
        <v>145</v>
      </c>
      <c r="C44" s="90">
        <f>VLOOKUP($C$1,'nat brug 21'!$B:$K,2,FALSE)</f>
        <v>0.02</v>
      </c>
      <c r="D44" s="91"/>
      <c r="E44" s="192"/>
      <c r="F44" s="196"/>
      <c r="H44" s="90">
        <f>VLOOKUP($H$1,'nat brug 21'!$B:$K,2,FALSE)</f>
        <v>0.11</v>
      </c>
      <c r="I44" s="91"/>
      <c r="J44" s="177"/>
      <c r="K44" s="178"/>
      <c r="M44" s="1"/>
    </row>
    <row r="45" spans="1:13" ht="15.75" thickBot="1" x14ac:dyDescent="0.3">
      <c r="A45" s="54"/>
      <c r="B45" s="55"/>
      <c r="C45" s="204"/>
      <c r="D45" s="165"/>
      <c r="E45" s="165"/>
      <c r="F45" s="206"/>
      <c r="H45" s="72"/>
      <c r="I45" s="56"/>
      <c r="J45" s="56"/>
      <c r="K45" s="197"/>
      <c r="M45" s="1"/>
    </row>
    <row r="46" spans="1:13" ht="30.6" customHeight="1" thickBot="1" x14ac:dyDescent="0.3">
      <c r="A46" s="58" t="s">
        <v>127</v>
      </c>
      <c r="B46" s="93" t="s">
        <v>128</v>
      </c>
      <c r="C46" s="212" t="str">
        <f>VLOOKUP($C$1,OPS!B:N,2,FALSE)</f>
        <v>Ingen bemærkninger</v>
      </c>
      <c r="D46" s="213" t="e">
        <f>VLOOKUP($C$1,'børn oktober'!C:O,4,FALSE)</f>
        <v>#N/A</v>
      </c>
      <c r="E46" s="213" t="e">
        <f>VLOOKUP($C$1,'børn oktober'!D:P,4,FALSE)</f>
        <v>#N/A</v>
      </c>
      <c r="F46" s="213"/>
      <c r="H46" s="217" t="str">
        <f>VLOOKUP($H$1,OPS!B:N,2,FALSE)</f>
        <v>Pædagog/medhjælper timer er excl. Dagplejen</v>
      </c>
      <c r="I46" s="218" t="e">
        <f>VLOOKUP($C$1,'børn oktober'!I:U,4,FALSE)</f>
        <v>#N/A</v>
      </c>
      <c r="J46" s="218" t="e">
        <f>VLOOKUP($C$1,'børn oktober'!J:V,4,FALSE)</f>
        <v>#N/A</v>
      </c>
      <c r="K46" s="219"/>
    </row>
  </sheetData>
  <sheetProtection algorithmName="SHA-512" hashValue="BkjXywdr8lQI/p54iQYQh7c9gc/EvtZbRROti1voiOynmDIZa4sAAp/bWwel2iVEfqLZnYGGNC5d02xriynpZA==" saltValue="+ErOjZe212ccojqoDfPqXg==" spinCount="100000" sheet="1" objects="1" scenarios="1"/>
  <protectedRanges>
    <protectedRange sqref="C1:K1" name="Område1"/>
  </protectedRanges>
  <mergeCells count="12">
    <mergeCell ref="C1:F1"/>
    <mergeCell ref="H1:K1"/>
    <mergeCell ref="C46:F46"/>
    <mergeCell ref="H46:K46"/>
    <mergeCell ref="A31:A36"/>
    <mergeCell ref="A38:A41"/>
    <mergeCell ref="A43:A44"/>
    <mergeCell ref="A5:A8"/>
    <mergeCell ref="A10:A12"/>
    <mergeCell ref="A14:A17"/>
    <mergeCell ref="A19:A20"/>
    <mergeCell ref="A22:A29"/>
  </mergeCells>
  <dataValidations count="1">
    <dataValidation type="list" allowBlank="1" showInputMessage="1" showErrorMessage="1" sqref="C2 H2">
      <formula1>Dagtilbud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Dagtilbud!$B$2:$B$50</xm:f>
          </x14:formula1>
          <xm:sqref>C1:E1 H1:J1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t="s">
        <v>166</v>
      </c>
    </row>
    <row r="3" spans="1:1" x14ac:dyDescent="0.25">
      <c r="A3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opLeftCell="A15" workbookViewId="0">
      <selection activeCell="C32" sqref="C32"/>
    </sheetView>
  </sheetViews>
  <sheetFormatPr defaultColWidth="9.140625" defaultRowHeight="15" x14ac:dyDescent="0.25"/>
  <cols>
    <col min="1" max="1" width="9.140625" style="22"/>
    <col min="2" max="2" width="51.85546875" style="22" bestFit="1" customWidth="1"/>
    <col min="3" max="3" width="67.140625" style="22" customWidth="1"/>
    <col min="4" max="16384" width="9.140625" style="22"/>
  </cols>
  <sheetData>
    <row r="1" spans="1:3" x14ac:dyDescent="0.25">
      <c r="A1" s="26" t="s">
        <v>23</v>
      </c>
      <c r="B1" s="26" t="s">
        <v>74</v>
      </c>
      <c r="C1" s="22" t="s">
        <v>128</v>
      </c>
    </row>
    <row r="2" spans="1:3" x14ac:dyDescent="0.25">
      <c r="A2" s="22">
        <v>51401</v>
      </c>
      <c r="B2" s="22" t="s">
        <v>28</v>
      </c>
      <c r="C2" s="22" t="s">
        <v>139</v>
      </c>
    </row>
    <row r="3" spans="1:3" x14ac:dyDescent="0.25">
      <c r="A3" s="22">
        <v>51421</v>
      </c>
      <c r="B3" s="22" t="s">
        <v>29</v>
      </c>
      <c r="C3" s="22" t="s">
        <v>139</v>
      </c>
    </row>
    <row r="4" spans="1:3" x14ac:dyDescent="0.25">
      <c r="A4" s="22">
        <v>51402</v>
      </c>
      <c r="B4" s="22" t="s">
        <v>30</v>
      </c>
      <c r="C4" s="22" t="s">
        <v>139</v>
      </c>
    </row>
    <row r="5" spans="1:3" x14ac:dyDescent="0.25">
      <c r="A5" s="22">
        <v>51404</v>
      </c>
      <c r="B5" s="22" t="s">
        <v>31</v>
      </c>
      <c r="C5" s="22" t="s">
        <v>129</v>
      </c>
    </row>
    <row r="6" spans="1:3" x14ac:dyDescent="0.25">
      <c r="A6" s="22">
        <v>51406</v>
      </c>
      <c r="B6" s="22" t="s">
        <v>32</v>
      </c>
      <c r="C6" s="22" t="s">
        <v>139</v>
      </c>
    </row>
    <row r="7" spans="1:3" x14ac:dyDescent="0.25">
      <c r="A7" s="22">
        <v>51407</v>
      </c>
      <c r="B7" s="22" t="s">
        <v>33</v>
      </c>
      <c r="C7" s="22" t="s">
        <v>139</v>
      </c>
    </row>
    <row r="8" spans="1:3" x14ac:dyDescent="0.25">
      <c r="A8" s="22">
        <v>51422</v>
      </c>
      <c r="B8" s="22" t="s">
        <v>105</v>
      </c>
      <c r="C8" s="22" t="s">
        <v>139</v>
      </c>
    </row>
    <row r="9" spans="1:3" x14ac:dyDescent="0.25">
      <c r="A9" s="22">
        <v>51432</v>
      </c>
      <c r="B9" s="22" t="s">
        <v>51</v>
      </c>
      <c r="C9" s="22" t="s">
        <v>139</v>
      </c>
    </row>
    <row r="10" spans="1:3" x14ac:dyDescent="0.25">
      <c r="A10" s="22">
        <v>51428</v>
      </c>
      <c r="B10" s="22" t="s">
        <v>48</v>
      </c>
      <c r="C10" s="22" t="s">
        <v>139</v>
      </c>
    </row>
    <row r="11" spans="1:3" x14ac:dyDescent="0.25">
      <c r="A11" s="22">
        <v>51438</v>
      </c>
      <c r="B11" s="22" t="s">
        <v>52</v>
      </c>
      <c r="C11" s="22" t="s">
        <v>139</v>
      </c>
    </row>
    <row r="12" spans="1:3" x14ac:dyDescent="0.25">
      <c r="A12" s="22">
        <v>51405</v>
      </c>
      <c r="B12" s="22" t="s">
        <v>34</v>
      </c>
      <c r="C12" s="22" t="s">
        <v>139</v>
      </c>
    </row>
    <row r="13" spans="1:3" x14ac:dyDescent="0.25">
      <c r="A13" s="22">
        <v>30824</v>
      </c>
      <c r="B13" s="22" t="s">
        <v>62</v>
      </c>
      <c r="C13" s="22" t="s">
        <v>139</v>
      </c>
    </row>
    <row r="14" spans="1:3" x14ac:dyDescent="0.25">
      <c r="A14" s="22">
        <v>51409</v>
      </c>
      <c r="B14" s="22" t="s">
        <v>35</v>
      </c>
      <c r="C14" s="22" t="s">
        <v>139</v>
      </c>
    </row>
    <row r="15" spans="1:3" x14ac:dyDescent="0.25">
      <c r="A15" s="22">
        <v>51423</v>
      </c>
      <c r="B15" s="22" t="s">
        <v>60</v>
      </c>
      <c r="C15" s="22" t="s">
        <v>139</v>
      </c>
    </row>
    <row r="16" spans="1:3" x14ac:dyDescent="0.25">
      <c r="A16" s="22">
        <v>51410</v>
      </c>
      <c r="B16" s="22" t="s">
        <v>36</v>
      </c>
      <c r="C16" s="22" t="s">
        <v>139</v>
      </c>
    </row>
    <row r="17" spans="1:3" x14ac:dyDescent="0.25">
      <c r="A17" s="22">
        <v>51424</v>
      </c>
      <c r="B17" s="22" t="s">
        <v>106</v>
      </c>
      <c r="C17" s="22" t="s">
        <v>139</v>
      </c>
    </row>
    <row r="18" spans="1:3" x14ac:dyDescent="0.25">
      <c r="A18" s="22">
        <v>51416</v>
      </c>
      <c r="B18" s="22" t="s">
        <v>37</v>
      </c>
      <c r="C18" s="22" t="s">
        <v>139</v>
      </c>
    </row>
    <row r="19" spans="1:3" x14ac:dyDescent="0.25">
      <c r="A19" s="22">
        <v>51420</v>
      </c>
      <c r="B19" s="22" t="s">
        <v>109</v>
      </c>
      <c r="C19" s="22" t="s">
        <v>139</v>
      </c>
    </row>
    <row r="20" spans="1:3" x14ac:dyDescent="0.25">
      <c r="A20" s="22">
        <v>51425</v>
      </c>
      <c r="B20" s="22" t="s">
        <v>50</v>
      </c>
      <c r="C20" s="22" t="s">
        <v>139</v>
      </c>
    </row>
    <row r="21" spans="1:3" x14ac:dyDescent="0.25">
      <c r="A21" s="22">
        <v>51427</v>
      </c>
      <c r="B21" s="22" t="s">
        <v>66</v>
      </c>
      <c r="C21" s="22" t="s">
        <v>139</v>
      </c>
    </row>
    <row r="22" spans="1:3" x14ac:dyDescent="0.25">
      <c r="A22" s="22">
        <v>51429</v>
      </c>
      <c r="B22" s="22" t="s">
        <v>49</v>
      </c>
      <c r="C22" s="22" t="s">
        <v>139</v>
      </c>
    </row>
    <row r="23" spans="1:3" x14ac:dyDescent="0.25">
      <c r="A23" s="22">
        <v>51430</v>
      </c>
      <c r="B23" s="22" t="s">
        <v>59</v>
      </c>
      <c r="C23" s="22" t="s">
        <v>139</v>
      </c>
    </row>
    <row r="24" spans="1:3" x14ac:dyDescent="0.25">
      <c r="A24" s="22">
        <v>51431</v>
      </c>
      <c r="B24" s="22" t="s">
        <v>58</v>
      </c>
      <c r="C24" s="22" t="s">
        <v>139</v>
      </c>
    </row>
    <row r="25" spans="1:3" x14ac:dyDescent="0.25">
      <c r="A25" s="22">
        <v>51436</v>
      </c>
      <c r="B25" s="22" t="s">
        <v>67</v>
      </c>
      <c r="C25" s="22" t="s">
        <v>139</v>
      </c>
    </row>
    <row r="26" spans="1:3" x14ac:dyDescent="0.25">
      <c r="A26" s="22">
        <v>51434</v>
      </c>
      <c r="B26" s="22" t="s">
        <v>107</v>
      </c>
      <c r="C26" s="22" t="s">
        <v>139</v>
      </c>
    </row>
    <row r="27" spans="1:3" x14ac:dyDescent="0.25">
      <c r="A27" s="22">
        <v>51439</v>
      </c>
      <c r="B27" s="22" t="s">
        <v>53</v>
      </c>
      <c r="C27" s="22" t="s">
        <v>139</v>
      </c>
    </row>
    <row r="28" spans="1:3" x14ac:dyDescent="0.25">
      <c r="A28" s="22">
        <v>51440</v>
      </c>
      <c r="B28" s="22" t="s">
        <v>68</v>
      </c>
      <c r="C28" s="22" t="s">
        <v>139</v>
      </c>
    </row>
    <row r="29" spans="1:3" x14ac:dyDescent="0.25">
      <c r="A29" s="22">
        <v>51441</v>
      </c>
      <c r="B29" s="22" t="s">
        <v>54</v>
      </c>
      <c r="C29" s="22" t="s">
        <v>139</v>
      </c>
    </row>
    <row r="30" spans="1:3" x14ac:dyDescent="0.25">
      <c r="A30" s="22">
        <v>51442</v>
      </c>
      <c r="B30" s="22" t="s">
        <v>55</v>
      </c>
      <c r="C30" s="22" t="s">
        <v>139</v>
      </c>
    </row>
    <row r="31" spans="1:3" x14ac:dyDescent="0.25">
      <c r="A31" s="27">
        <v>51105</v>
      </c>
      <c r="B31" s="27" t="s">
        <v>5</v>
      </c>
      <c r="C31" s="27" t="s">
        <v>235</v>
      </c>
    </row>
    <row r="32" spans="1:3" x14ac:dyDescent="0.25">
      <c r="A32" s="22">
        <v>30508</v>
      </c>
      <c r="B32" s="22" t="s">
        <v>46</v>
      </c>
      <c r="C32" s="22" t="s">
        <v>168</v>
      </c>
    </row>
    <row r="33" spans="1:3" x14ac:dyDescent="0.25">
      <c r="A33" s="22">
        <v>51426</v>
      </c>
      <c r="B33" s="22" t="s">
        <v>38</v>
      </c>
      <c r="C33" s="22" t="s">
        <v>139</v>
      </c>
    </row>
    <row r="34" spans="1:3" x14ac:dyDescent="0.25">
      <c r="A34" s="22">
        <v>30509</v>
      </c>
      <c r="B34" s="22" t="s">
        <v>39</v>
      </c>
      <c r="C34" s="22" t="s">
        <v>139</v>
      </c>
    </row>
    <row r="35" spans="1:3" x14ac:dyDescent="0.25">
      <c r="A35" s="22">
        <v>51433</v>
      </c>
      <c r="B35" s="22" t="s">
        <v>40</v>
      </c>
      <c r="C35" s="22" t="s">
        <v>139</v>
      </c>
    </row>
    <row r="36" spans="1:3" x14ac:dyDescent="0.25">
      <c r="A36" s="22">
        <v>51435</v>
      </c>
      <c r="B36" s="22" t="s">
        <v>41</v>
      </c>
      <c r="C36" s="22" t="s">
        <v>139</v>
      </c>
    </row>
    <row r="37" spans="1:3" x14ac:dyDescent="0.25">
      <c r="A37" s="22">
        <v>51437</v>
      </c>
      <c r="B37" s="22" t="s">
        <v>0</v>
      </c>
      <c r="C37" s="22" t="s">
        <v>139</v>
      </c>
    </row>
    <row r="38" spans="1:3" x14ac:dyDescent="0.25">
      <c r="A38" s="22">
        <v>1</v>
      </c>
      <c r="B38" s="22" t="s">
        <v>45</v>
      </c>
      <c r="C38" s="22" t="s">
        <v>139</v>
      </c>
    </row>
    <row r="39" spans="1:3" x14ac:dyDescent="0.25">
      <c r="A39" s="22">
        <v>2</v>
      </c>
      <c r="B39" s="22" t="s">
        <v>47</v>
      </c>
      <c r="C39" s="22" t="s">
        <v>139</v>
      </c>
    </row>
    <row r="40" spans="1:3" x14ac:dyDescent="0.25">
      <c r="A40" s="22">
        <v>3</v>
      </c>
      <c r="B40" s="22" t="s">
        <v>57</v>
      </c>
      <c r="C40" s="22" t="s">
        <v>139</v>
      </c>
    </row>
    <row r="41" spans="1:3" x14ac:dyDescent="0.25">
      <c r="A41" s="22">
        <v>4</v>
      </c>
      <c r="B41" s="22" t="s">
        <v>56</v>
      </c>
      <c r="C41" s="22" t="s">
        <v>139</v>
      </c>
    </row>
    <row r="42" spans="1:3" x14ac:dyDescent="0.25">
      <c r="A42" s="22">
        <v>5</v>
      </c>
      <c r="B42" s="22" t="s">
        <v>65</v>
      </c>
      <c r="C42" s="22" t="s">
        <v>139</v>
      </c>
    </row>
    <row r="43" spans="1:3" x14ac:dyDescent="0.25">
      <c r="A43" s="22">
        <v>6</v>
      </c>
      <c r="B43" s="22" t="s">
        <v>61</v>
      </c>
      <c r="C43" s="22" t="s">
        <v>139</v>
      </c>
    </row>
    <row r="44" spans="1:3" x14ac:dyDescent="0.25">
      <c r="A44" s="22">
        <v>7</v>
      </c>
      <c r="B44" s="22" t="s">
        <v>64</v>
      </c>
      <c r="C44" s="22" t="s">
        <v>139</v>
      </c>
    </row>
    <row r="45" spans="1:3" x14ac:dyDescent="0.25">
      <c r="A45" s="22">
        <v>8</v>
      </c>
      <c r="B45" s="22" t="s">
        <v>63</v>
      </c>
      <c r="C45" s="22" t="s">
        <v>139</v>
      </c>
    </row>
    <row r="46" spans="1:3" x14ac:dyDescent="0.25">
      <c r="A46" s="22">
        <v>51418</v>
      </c>
      <c r="B46" s="22" t="s">
        <v>26</v>
      </c>
      <c r="C46" s="22" t="s">
        <v>139</v>
      </c>
    </row>
    <row r="47" spans="1:3" x14ac:dyDescent="0.25">
      <c r="A47" s="22">
        <v>51411</v>
      </c>
      <c r="B47" s="22" t="s">
        <v>1</v>
      </c>
      <c r="C47" s="22" t="s">
        <v>139</v>
      </c>
    </row>
    <row r="48" spans="1:3" x14ac:dyDescent="0.25">
      <c r="A48" s="27">
        <v>60000</v>
      </c>
      <c r="B48" s="27" t="s">
        <v>111</v>
      </c>
      <c r="C48" s="22" t="s">
        <v>139</v>
      </c>
    </row>
    <row r="49" spans="1:3" x14ac:dyDescent="0.25">
      <c r="A49" s="22" t="s">
        <v>135</v>
      </c>
      <c r="B49" s="27" t="s">
        <v>136</v>
      </c>
      <c r="C49" s="22" t="s">
        <v>140</v>
      </c>
    </row>
    <row r="50" spans="1:3" x14ac:dyDescent="0.25">
      <c r="A50" s="22" t="s">
        <v>137</v>
      </c>
      <c r="B50" s="27" t="s">
        <v>138</v>
      </c>
      <c r="C50" s="22" t="s">
        <v>139</v>
      </c>
    </row>
    <row r="93" spans="1:1" x14ac:dyDescent="0.25">
      <c r="A93" s="27"/>
    </row>
  </sheetData>
  <sortState ref="A2:C47">
    <sortCondition ref="B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C32" sqref="C32"/>
    </sheetView>
  </sheetViews>
  <sheetFormatPr defaultColWidth="9.140625" defaultRowHeight="15" x14ac:dyDescent="0.25"/>
  <cols>
    <col min="1" max="1" width="9.140625" style="22"/>
    <col min="2" max="2" width="51.85546875" style="22" bestFit="1" customWidth="1"/>
    <col min="3" max="16384" width="9.140625" style="22"/>
  </cols>
  <sheetData>
    <row r="1" spans="1:2" x14ac:dyDescent="0.25">
      <c r="A1" s="26" t="s">
        <v>23</v>
      </c>
      <c r="B1" s="26" t="s">
        <v>74</v>
      </c>
    </row>
    <row r="2" spans="1:2" x14ac:dyDescent="0.25">
      <c r="A2" s="22">
        <v>51401</v>
      </c>
      <c r="B2" s="22" t="s">
        <v>28</v>
      </c>
    </row>
    <row r="3" spans="1:2" x14ac:dyDescent="0.25">
      <c r="A3" s="22">
        <v>51421</v>
      </c>
      <c r="B3" s="22" t="s">
        <v>29</v>
      </c>
    </row>
    <row r="4" spans="1:2" x14ac:dyDescent="0.25">
      <c r="A4" s="22">
        <v>51402</v>
      </c>
      <c r="B4" s="22" t="s">
        <v>30</v>
      </c>
    </row>
    <row r="5" spans="1:2" x14ac:dyDescent="0.25">
      <c r="A5" s="22">
        <v>51404</v>
      </c>
      <c r="B5" s="22" t="s">
        <v>31</v>
      </c>
    </row>
    <row r="6" spans="1:2" x14ac:dyDescent="0.25">
      <c r="A6" s="22">
        <v>51406</v>
      </c>
      <c r="B6" s="22" t="s">
        <v>32</v>
      </c>
    </row>
    <row r="7" spans="1:2" x14ac:dyDescent="0.25">
      <c r="A7" s="22">
        <v>51407</v>
      </c>
      <c r="B7" s="22" t="s">
        <v>33</v>
      </c>
    </row>
    <row r="8" spans="1:2" x14ac:dyDescent="0.25">
      <c r="A8" s="22">
        <v>51422</v>
      </c>
      <c r="B8" s="22" t="s">
        <v>105</v>
      </c>
    </row>
    <row r="9" spans="1:2" x14ac:dyDescent="0.25">
      <c r="A9" s="22">
        <v>51432</v>
      </c>
      <c r="B9" s="22" t="s">
        <v>51</v>
      </c>
    </row>
    <row r="10" spans="1:2" x14ac:dyDescent="0.25">
      <c r="A10" s="22">
        <v>51428</v>
      </c>
      <c r="B10" s="22" t="s">
        <v>48</v>
      </c>
    </row>
    <row r="11" spans="1:2" x14ac:dyDescent="0.25">
      <c r="A11" s="22">
        <v>51438</v>
      </c>
      <c r="B11" s="22" t="s">
        <v>52</v>
      </c>
    </row>
    <row r="12" spans="1:2" x14ac:dyDescent="0.25">
      <c r="A12" s="22">
        <v>51405</v>
      </c>
      <c r="B12" s="22" t="s">
        <v>34</v>
      </c>
    </row>
    <row r="13" spans="1:2" x14ac:dyDescent="0.25">
      <c r="A13" s="22">
        <v>30824</v>
      </c>
      <c r="B13" s="22" t="s">
        <v>62</v>
      </c>
    </row>
    <row r="14" spans="1:2" x14ac:dyDescent="0.25">
      <c r="A14" s="22">
        <v>51409</v>
      </c>
      <c r="B14" s="22" t="s">
        <v>35</v>
      </c>
    </row>
    <row r="15" spans="1:2" x14ac:dyDescent="0.25">
      <c r="A15" s="22">
        <v>51423</v>
      </c>
      <c r="B15" s="22" t="s">
        <v>60</v>
      </c>
    </row>
    <row r="16" spans="1:2" x14ac:dyDescent="0.25">
      <c r="A16" s="22">
        <v>51410</v>
      </c>
      <c r="B16" s="22" t="s">
        <v>36</v>
      </c>
    </row>
    <row r="17" spans="1:2" x14ac:dyDescent="0.25">
      <c r="A17" s="22">
        <v>51424</v>
      </c>
      <c r="B17" s="22" t="s">
        <v>106</v>
      </c>
    </row>
    <row r="18" spans="1:2" x14ac:dyDescent="0.25">
      <c r="A18" s="22">
        <v>51416</v>
      </c>
      <c r="B18" s="22" t="s">
        <v>37</v>
      </c>
    </row>
    <row r="19" spans="1:2" x14ac:dyDescent="0.25">
      <c r="A19" s="22">
        <v>51420</v>
      </c>
      <c r="B19" s="22" t="s">
        <v>109</v>
      </c>
    </row>
    <row r="20" spans="1:2" x14ac:dyDescent="0.25">
      <c r="A20" s="22">
        <v>51425</v>
      </c>
      <c r="B20" s="22" t="s">
        <v>50</v>
      </c>
    </row>
    <row r="21" spans="1:2" x14ac:dyDescent="0.25">
      <c r="A21" s="22">
        <v>51427</v>
      </c>
      <c r="B21" s="22" t="s">
        <v>66</v>
      </c>
    </row>
    <row r="22" spans="1:2" x14ac:dyDescent="0.25">
      <c r="A22" s="22">
        <v>51429</v>
      </c>
      <c r="B22" s="22" t="s">
        <v>49</v>
      </c>
    </row>
    <row r="23" spans="1:2" x14ac:dyDescent="0.25">
      <c r="A23" s="22">
        <v>51430</v>
      </c>
      <c r="B23" s="22" t="s">
        <v>59</v>
      </c>
    </row>
    <row r="24" spans="1:2" x14ac:dyDescent="0.25">
      <c r="A24" s="22">
        <v>51431</v>
      </c>
      <c r="B24" s="22" t="s">
        <v>58</v>
      </c>
    </row>
    <row r="25" spans="1:2" x14ac:dyDescent="0.25">
      <c r="A25" s="22">
        <v>51436</v>
      </c>
      <c r="B25" s="22" t="s">
        <v>67</v>
      </c>
    </row>
    <row r="26" spans="1:2" x14ac:dyDescent="0.25">
      <c r="A26" s="22">
        <v>51434</v>
      </c>
      <c r="B26" s="22" t="s">
        <v>107</v>
      </c>
    </row>
    <row r="27" spans="1:2" x14ac:dyDescent="0.25">
      <c r="A27" s="22">
        <v>51439</v>
      </c>
      <c r="B27" s="22" t="s">
        <v>53</v>
      </c>
    </row>
    <row r="28" spans="1:2" x14ac:dyDescent="0.25">
      <c r="A28" s="22">
        <v>51440</v>
      </c>
      <c r="B28" s="22" t="s">
        <v>68</v>
      </c>
    </row>
    <row r="29" spans="1:2" x14ac:dyDescent="0.25">
      <c r="A29" s="22">
        <v>51441</v>
      </c>
      <c r="B29" s="22" t="s">
        <v>54</v>
      </c>
    </row>
    <row r="30" spans="1:2" x14ac:dyDescent="0.25">
      <c r="A30" s="22">
        <v>51442</v>
      </c>
      <c r="B30" s="22" t="s">
        <v>55</v>
      </c>
    </row>
    <row r="31" spans="1:2" x14ac:dyDescent="0.25">
      <c r="A31" s="27">
        <v>51105</v>
      </c>
      <c r="B31" s="27" t="s">
        <v>5</v>
      </c>
    </row>
    <row r="32" spans="1:2" x14ac:dyDescent="0.25">
      <c r="A32" s="22">
        <v>30508</v>
      </c>
      <c r="B32" s="22" t="s">
        <v>46</v>
      </c>
    </row>
    <row r="33" spans="1:2" x14ac:dyDescent="0.25">
      <c r="A33" s="22">
        <v>51426</v>
      </c>
      <c r="B33" s="22" t="s">
        <v>38</v>
      </c>
    </row>
    <row r="34" spans="1:2" x14ac:dyDescent="0.25">
      <c r="A34" s="22">
        <v>30509</v>
      </c>
      <c r="B34" s="22" t="s">
        <v>39</v>
      </c>
    </row>
    <row r="35" spans="1:2" x14ac:dyDescent="0.25">
      <c r="A35" s="27">
        <v>60000</v>
      </c>
      <c r="B35" s="27" t="s">
        <v>111</v>
      </c>
    </row>
    <row r="36" spans="1:2" x14ac:dyDescent="0.25">
      <c r="A36" s="22" t="s">
        <v>135</v>
      </c>
      <c r="B36" s="27" t="s">
        <v>136</v>
      </c>
    </row>
    <row r="37" spans="1:2" x14ac:dyDescent="0.25">
      <c r="A37" s="22">
        <v>51433</v>
      </c>
      <c r="B37" s="22" t="s">
        <v>40</v>
      </c>
    </row>
    <row r="38" spans="1:2" x14ac:dyDescent="0.25">
      <c r="A38" s="22">
        <v>51435</v>
      </c>
      <c r="B38" s="22" t="s">
        <v>41</v>
      </c>
    </row>
    <row r="39" spans="1:2" x14ac:dyDescent="0.25">
      <c r="A39" s="22">
        <v>51437</v>
      </c>
      <c r="B39" s="22" t="s">
        <v>0</v>
      </c>
    </row>
    <row r="40" spans="1:2" x14ac:dyDescent="0.25">
      <c r="A40" s="22">
        <v>1</v>
      </c>
      <c r="B40" s="22" t="s">
        <v>45</v>
      </c>
    </row>
    <row r="41" spans="1:2" x14ac:dyDescent="0.25">
      <c r="A41" s="22">
        <v>2</v>
      </c>
      <c r="B41" s="22" t="s">
        <v>47</v>
      </c>
    </row>
    <row r="42" spans="1:2" x14ac:dyDescent="0.25">
      <c r="A42" s="22" t="s">
        <v>137</v>
      </c>
      <c r="B42" s="27" t="s">
        <v>138</v>
      </c>
    </row>
    <row r="43" spans="1:2" x14ac:dyDescent="0.25">
      <c r="A43" s="22">
        <v>3</v>
      </c>
      <c r="B43" s="22" t="s">
        <v>57</v>
      </c>
    </row>
    <row r="44" spans="1:2" x14ac:dyDescent="0.25">
      <c r="A44" s="22">
        <v>4</v>
      </c>
      <c r="B44" s="22" t="s">
        <v>56</v>
      </c>
    </row>
    <row r="45" spans="1:2" x14ac:dyDescent="0.25">
      <c r="A45" s="22">
        <v>5</v>
      </c>
      <c r="B45" s="22" t="s">
        <v>65</v>
      </c>
    </row>
    <row r="46" spans="1:2" x14ac:dyDescent="0.25">
      <c r="A46" s="22">
        <v>6</v>
      </c>
      <c r="B46" s="22" t="s">
        <v>61</v>
      </c>
    </row>
    <row r="47" spans="1:2" x14ac:dyDescent="0.25">
      <c r="A47" s="22">
        <v>7</v>
      </c>
      <c r="B47" s="22" t="s">
        <v>64</v>
      </c>
    </row>
    <row r="48" spans="1:2" x14ac:dyDescent="0.25">
      <c r="A48" s="22">
        <v>8</v>
      </c>
      <c r="B48" s="22" t="s">
        <v>63</v>
      </c>
    </row>
    <row r="49" spans="1:2" x14ac:dyDescent="0.25">
      <c r="A49" s="22">
        <v>51418</v>
      </c>
      <c r="B49" s="22" t="s">
        <v>26</v>
      </c>
    </row>
    <row r="50" spans="1:2" x14ac:dyDescent="0.25">
      <c r="A50" s="22">
        <v>51411</v>
      </c>
      <c r="B50" s="22" t="s">
        <v>1</v>
      </c>
    </row>
    <row r="93" spans="1:1" x14ac:dyDescent="0.25">
      <c r="A93" s="27"/>
    </row>
  </sheetData>
  <sortState ref="A2:B50">
    <sortCondition ref="B36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workbookViewId="0">
      <pane xSplit="2" ySplit="1" topLeftCell="H2" activePane="bottomRight" state="frozen"/>
      <selection activeCell="C1" sqref="C1:F1"/>
      <selection pane="topRight" activeCell="C1" sqref="C1:F1"/>
      <selection pane="bottomLeft" activeCell="C1" sqref="C1:F1"/>
      <selection pane="bottomRight" sqref="A1:XFD1048576"/>
    </sheetView>
  </sheetViews>
  <sheetFormatPr defaultColWidth="9.140625" defaultRowHeight="15" x14ac:dyDescent="0.25"/>
  <cols>
    <col min="1" max="1" width="9.140625" style="22"/>
    <col min="2" max="2" width="37.140625" style="33" customWidth="1"/>
    <col min="3" max="3" width="9.140625" style="36"/>
    <col min="4" max="5" width="19.140625" style="30" bestFit="1" customWidth="1"/>
    <col min="6" max="6" width="19.85546875" style="30" bestFit="1" customWidth="1"/>
    <col min="7" max="7" width="9.140625" style="36"/>
    <col min="8" max="9" width="19.140625" style="30" bestFit="1" customWidth="1"/>
    <col min="10" max="10" width="19.85546875" style="30" bestFit="1" customWidth="1"/>
    <col min="11" max="13" width="9.140625" style="22"/>
    <col min="14" max="14" width="9.140625" style="96"/>
    <col min="15" max="16384" width="9.140625" style="22"/>
  </cols>
  <sheetData>
    <row r="1" spans="1:14" x14ac:dyDescent="0.25">
      <c r="A1" s="26" t="s">
        <v>23</v>
      </c>
      <c r="B1" s="32" t="s">
        <v>74</v>
      </c>
      <c r="C1" s="35" t="s">
        <v>75</v>
      </c>
      <c r="D1" s="29" t="s">
        <v>69</v>
      </c>
      <c r="E1" s="29" t="s">
        <v>70</v>
      </c>
      <c r="F1" s="34" t="s">
        <v>71</v>
      </c>
      <c r="G1" s="35" t="s">
        <v>75</v>
      </c>
      <c r="H1" s="29" t="s">
        <v>69</v>
      </c>
      <c r="I1" s="29" t="s">
        <v>70</v>
      </c>
      <c r="J1" s="34" t="s">
        <v>71</v>
      </c>
      <c r="K1" s="35" t="s">
        <v>75</v>
      </c>
      <c r="L1" s="130" t="s">
        <v>69</v>
      </c>
      <c r="M1" s="130" t="s">
        <v>70</v>
      </c>
      <c r="N1" s="131" t="s">
        <v>71</v>
      </c>
    </row>
    <row r="2" spans="1:14" x14ac:dyDescent="0.25">
      <c r="A2" s="22">
        <v>1</v>
      </c>
      <c r="B2" s="22" t="s">
        <v>45</v>
      </c>
      <c r="C2" s="33" t="s">
        <v>77</v>
      </c>
      <c r="D2" s="30">
        <v>6</v>
      </c>
      <c r="E2" s="30">
        <v>26</v>
      </c>
      <c r="F2" s="31">
        <v>0</v>
      </c>
      <c r="G2" s="36" t="s">
        <v>76</v>
      </c>
      <c r="H2" s="30">
        <v>8</v>
      </c>
      <c r="I2" s="30">
        <v>27</v>
      </c>
      <c r="J2" s="30">
        <v>0</v>
      </c>
      <c r="K2" s="22" t="s">
        <v>93</v>
      </c>
      <c r="L2" s="132">
        <v>6</v>
      </c>
      <c r="M2" s="132">
        <v>30</v>
      </c>
      <c r="N2" s="133">
        <v>0</v>
      </c>
    </row>
    <row r="3" spans="1:14" x14ac:dyDescent="0.25">
      <c r="A3" s="22">
        <v>2</v>
      </c>
      <c r="B3" s="22" t="s">
        <v>47</v>
      </c>
      <c r="C3" s="33" t="s">
        <v>77</v>
      </c>
      <c r="D3" s="30">
        <v>1</v>
      </c>
      <c r="E3" s="30">
        <v>41</v>
      </c>
      <c r="F3" s="31">
        <v>0</v>
      </c>
      <c r="G3" s="36" t="s">
        <v>76</v>
      </c>
      <c r="H3" s="30">
        <v>1</v>
      </c>
      <c r="I3" s="30">
        <v>45</v>
      </c>
      <c r="J3" s="30">
        <v>0</v>
      </c>
      <c r="K3" s="22" t="s">
        <v>93</v>
      </c>
      <c r="L3" s="132">
        <v>1</v>
      </c>
      <c r="M3" s="132">
        <v>44</v>
      </c>
      <c r="N3" s="133">
        <v>0</v>
      </c>
    </row>
    <row r="4" spans="1:14" x14ac:dyDescent="0.25">
      <c r="A4" s="22">
        <v>3</v>
      </c>
      <c r="B4" s="22" t="s">
        <v>57</v>
      </c>
      <c r="C4" s="33" t="s">
        <v>77</v>
      </c>
      <c r="D4" s="30">
        <v>10</v>
      </c>
      <c r="E4" s="30">
        <v>36</v>
      </c>
      <c r="F4" s="31">
        <v>0</v>
      </c>
      <c r="G4" s="36" t="s">
        <v>76</v>
      </c>
      <c r="H4" s="30">
        <v>9</v>
      </c>
      <c r="I4" s="30">
        <v>36</v>
      </c>
      <c r="J4" s="30">
        <v>0</v>
      </c>
      <c r="K4" s="22" t="s">
        <v>93</v>
      </c>
      <c r="L4" s="132">
        <v>10</v>
      </c>
      <c r="M4" s="132">
        <v>35</v>
      </c>
      <c r="N4" s="133">
        <v>0</v>
      </c>
    </row>
    <row r="5" spans="1:14" x14ac:dyDescent="0.25">
      <c r="A5" s="22">
        <v>4</v>
      </c>
      <c r="B5" s="22" t="s">
        <v>56</v>
      </c>
      <c r="C5" s="33" t="s">
        <v>77</v>
      </c>
      <c r="D5" s="30">
        <v>16</v>
      </c>
      <c r="E5" s="30">
        <v>33</v>
      </c>
      <c r="F5" s="31">
        <v>0</v>
      </c>
      <c r="G5" s="36" t="s">
        <v>76</v>
      </c>
      <c r="H5" s="30">
        <v>14</v>
      </c>
      <c r="I5" s="30">
        <v>35</v>
      </c>
      <c r="J5" s="30">
        <v>0</v>
      </c>
      <c r="K5" s="22" t="s">
        <v>93</v>
      </c>
      <c r="L5" s="132">
        <v>18</v>
      </c>
      <c r="M5" s="132">
        <v>34</v>
      </c>
      <c r="N5" s="133">
        <v>0</v>
      </c>
    </row>
    <row r="6" spans="1:14" x14ac:dyDescent="0.25">
      <c r="A6" s="22">
        <v>5</v>
      </c>
      <c r="B6" s="22" t="s">
        <v>65</v>
      </c>
      <c r="C6" s="33" t="s">
        <v>77</v>
      </c>
      <c r="D6" s="30">
        <v>10</v>
      </c>
      <c r="E6" s="30">
        <v>40</v>
      </c>
      <c r="F6" s="31">
        <v>0</v>
      </c>
      <c r="G6" s="36" t="s">
        <v>76</v>
      </c>
      <c r="H6" s="30">
        <v>14</v>
      </c>
      <c r="I6" s="30">
        <v>42</v>
      </c>
      <c r="J6" s="30">
        <v>0</v>
      </c>
      <c r="K6" s="22" t="s">
        <v>93</v>
      </c>
      <c r="L6" s="132">
        <v>12</v>
      </c>
      <c r="M6" s="132">
        <v>43</v>
      </c>
      <c r="N6" s="133">
        <v>0</v>
      </c>
    </row>
    <row r="7" spans="1:14" x14ac:dyDescent="0.25">
      <c r="A7" s="22">
        <v>6</v>
      </c>
      <c r="B7" s="22" t="s">
        <v>61</v>
      </c>
      <c r="C7" s="33" t="s">
        <v>77</v>
      </c>
      <c r="D7" s="30">
        <v>19</v>
      </c>
      <c r="E7" s="30">
        <v>21</v>
      </c>
      <c r="F7" s="31">
        <v>0</v>
      </c>
      <c r="G7" s="36" t="s">
        <v>76</v>
      </c>
      <c r="H7" s="30">
        <v>16</v>
      </c>
      <c r="I7" s="30">
        <v>26</v>
      </c>
      <c r="J7" s="30">
        <v>0</v>
      </c>
      <c r="K7" s="22" t="s">
        <v>93</v>
      </c>
      <c r="L7" s="132">
        <v>17</v>
      </c>
      <c r="M7" s="132">
        <v>30</v>
      </c>
      <c r="N7" s="133">
        <v>0</v>
      </c>
    </row>
    <row r="8" spans="1:14" x14ac:dyDescent="0.25">
      <c r="A8" s="22">
        <v>7</v>
      </c>
      <c r="B8" s="22" t="s">
        <v>64</v>
      </c>
      <c r="C8" s="33" t="s">
        <v>77</v>
      </c>
      <c r="D8" s="30">
        <v>12</v>
      </c>
      <c r="E8" s="30">
        <v>29</v>
      </c>
      <c r="F8" s="31">
        <v>0</v>
      </c>
      <c r="G8" s="36" t="s">
        <v>76</v>
      </c>
      <c r="H8" s="30">
        <v>19</v>
      </c>
      <c r="I8" s="30">
        <v>26</v>
      </c>
      <c r="J8" s="30">
        <v>0</v>
      </c>
      <c r="K8" s="22" t="s">
        <v>93</v>
      </c>
      <c r="L8" s="132">
        <v>18</v>
      </c>
      <c r="M8" s="132">
        <v>27</v>
      </c>
      <c r="N8" s="133">
        <v>0</v>
      </c>
    </row>
    <row r="9" spans="1:14" x14ac:dyDescent="0.25">
      <c r="A9" s="22">
        <v>8</v>
      </c>
      <c r="B9" s="22" t="s">
        <v>63</v>
      </c>
      <c r="C9" s="33" t="s">
        <v>77</v>
      </c>
      <c r="D9" s="30">
        <v>15</v>
      </c>
      <c r="E9" s="30">
        <v>48</v>
      </c>
      <c r="F9" s="31">
        <v>0</v>
      </c>
      <c r="G9" s="36" t="s">
        <v>76</v>
      </c>
      <c r="H9" s="30">
        <v>14</v>
      </c>
      <c r="I9" s="30">
        <v>54</v>
      </c>
      <c r="J9" s="30">
        <v>0</v>
      </c>
      <c r="K9" s="22" t="s">
        <v>93</v>
      </c>
      <c r="L9" s="132">
        <v>16</v>
      </c>
      <c r="M9" s="132">
        <v>50</v>
      </c>
      <c r="N9" s="133">
        <v>0</v>
      </c>
    </row>
    <row r="10" spans="1:14" x14ac:dyDescent="0.25">
      <c r="A10" s="22">
        <v>30508</v>
      </c>
      <c r="B10" s="22" t="s">
        <v>46</v>
      </c>
      <c r="C10" s="33" t="s">
        <v>77</v>
      </c>
      <c r="D10" s="30">
        <v>0</v>
      </c>
      <c r="E10" s="30">
        <v>18</v>
      </c>
      <c r="F10" s="31">
        <v>0</v>
      </c>
      <c r="G10" s="36" t="s">
        <v>76</v>
      </c>
      <c r="H10" s="30">
        <v>0</v>
      </c>
      <c r="I10" s="30">
        <v>21</v>
      </c>
      <c r="J10" s="30">
        <v>0</v>
      </c>
      <c r="K10" s="22" t="s">
        <v>93</v>
      </c>
      <c r="L10" s="133">
        <v>0</v>
      </c>
      <c r="M10" s="133">
        <v>24</v>
      </c>
      <c r="N10" s="133">
        <v>0</v>
      </c>
    </row>
    <row r="11" spans="1:14" x14ac:dyDescent="0.25">
      <c r="A11" s="22">
        <v>30509</v>
      </c>
      <c r="B11" s="22" t="s">
        <v>39</v>
      </c>
      <c r="C11" s="33" t="s">
        <v>77</v>
      </c>
      <c r="D11" s="30">
        <v>11</v>
      </c>
      <c r="E11" s="30">
        <v>27</v>
      </c>
      <c r="F11" s="31">
        <v>0</v>
      </c>
      <c r="G11" s="36" t="s">
        <v>76</v>
      </c>
      <c r="H11" s="30">
        <v>15</v>
      </c>
      <c r="I11" s="30">
        <v>31</v>
      </c>
      <c r="J11" s="30">
        <v>0</v>
      </c>
      <c r="K11" s="22" t="s">
        <v>93</v>
      </c>
      <c r="L11" s="133">
        <v>15</v>
      </c>
      <c r="M11" s="133">
        <v>35</v>
      </c>
      <c r="N11" s="133">
        <v>0</v>
      </c>
    </row>
    <row r="12" spans="1:14" x14ac:dyDescent="0.25">
      <c r="A12" s="22">
        <v>30824</v>
      </c>
      <c r="B12" s="22" t="s">
        <v>62</v>
      </c>
      <c r="C12" s="33" t="s">
        <v>77</v>
      </c>
      <c r="D12" s="30">
        <v>0</v>
      </c>
      <c r="E12" s="30">
        <v>0</v>
      </c>
      <c r="F12" s="22">
        <v>15</v>
      </c>
      <c r="G12" s="36" t="s">
        <v>76</v>
      </c>
      <c r="H12" s="30">
        <v>0</v>
      </c>
      <c r="I12" s="30">
        <v>0</v>
      </c>
      <c r="J12" s="31">
        <v>11</v>
      </c>
      <c r="K12" s="22" t="s">
        <v>93</v>
      </c>
      <c r="L12" s="133">
        <v>0</v>
      </c>
      <c r="M12" s="133">
        <v>0</v>
      </c>
      <c r="N12" s="133">
        <v>12</v>
      </c>
    </row>
    <row r="13" spans="1:14" x14ac:dyDescent="0.25">
      <c r="A13" s="27">
        <v>51105</v>
      </c>
      <c r="B13" s="27" t="s">
        <v>5</v>
      </c>
      <c r="C13" s="33" t="s">
        <v>77</v>
      </c>
      <c r="D13" s="30">
        <f>812-15</f>
        <v>797</v>
      </c>
      <c r="E13" s="31">
        <v>0</v>
      </c>
      <c r="F13" s="22">
        <f>15+7</f>
        <v>22</v>
      </c>
      <c r="G13" s="36" t="s">
        <v>76</v>
      </c>
      <c r="H13" s="31">
        <f>767-12</f>
        <v>755</v>
      </c>
      <c r="I13" s="30">
        <v>0</v>
      </c>
      <c r="J13" s="31">
        <f>12+5</f>
        <v>17</v>
      </c>
      <c r="K13" s="22" t="s">
        <v>93</v>
      </c>
      <c r="L13" s="134">
        <v>690</v>
      </c>
      <c r="M13" s="133">
        <v>12</v>
      </c>
      <c r="N13" s="133">
        <v>0</v>
      </c>
    </row>
    <row r="14" spans="1:14" x14ac:dyDescent="0.25">
      <c r="A14" s="22">
        <v>51401</v>
      </c>
      <c r="B14" s="22" t="s">
        <v>28</v>
      </c>
      <c r="C14" s="33" t="s">
        <v>77</v>
      </c>
      <c r="D14" s="30">
        <v>0</v>
      </c>
      <c r="E14" s="30">
        <v>90</v>
      </c>
      <c r="F14" s="31">
        <v>0</v>
      </c>
      <c r="G14" s="37" t="s">
        <v>76</v>
      </c>
      <c r="H14" s="30">
        <v>0</v>
      </c>
      <c r="I14" s="30">
        <v>82</v>
      </c>
      <c r="J14" s="30">
        <v>0</v>
      </c>
      <c r="K14" s="22" t="s">
        <v>93</v>
      </c>
      <c r="L14" s="129">
        <v>0</v>
      </c>
      <c r="M14" s="129">
        <v>82</v>
      </c>
      <c r="N14" s="133">
        <v>0</v>
      </c>
    </row>
    <row r="15" spans="1:14" x14ac:dyDescent="0.25">
      <c r="A15" s="22">
        <v>51402</v>
      </c>
      <c r="B15" s="22" t="s">
        <v>30</v>
      </c>
      <c r="C15" s="33" t="s">
        <v>77</v>
      </c>
      <c r="D15" s="30">
        <v>0</v>
      </c>
      <c r="E15" s="30">
        <v>34</v>
      </c>
      <c r="F15" s="31">
        <v>0</v>
      </c>
      <c r="G15" s="36" t="s">
        <v>76</v>
      </c>
      <c r="H15" s="30">
        <v>0</v>
      </c>
      <c r="I15" s="30">
        <v>33</v>
      </c>
      <c r="J15" s="30">
        <v>0</v>
      </c>
      <c r="K15" s="22" t="s">
        <v>93</v>
      </c>
      <c r="L15" s="129"/>
      <c r="M15" s="129">
        <v>37</v>
      </c>
      <c r="N15" s="133">
        <v>0</v>
      </c>
    </row>
    <row r="16" spans="1:14" x14ac:dyDescent="0.25">
      <c r="A16" s="22">
        <v>51404</v>
      </c>
      <c r="B16" s="22" t="s">
        <v>31</v>
      </c>
      <c r="C16" s="33" t="s">
        <v>77</v>
      </c>
      <c r="D16" s="30">
        <v>0</v>
      </c>
      <c r="E16" s="30">
        <v>99</v>
      </c>
      <c r="F16" s="22">
        <v>39</v>
      </c>
      <c r="G16" s="36" t="s">
        <v>76</v>
      </c>
      <c r="H16" s="30">
        <v>0</v>
      </c>
      <c r="I16" s="30">
        <v>112</v>
      </c>
      <c r="J16" s="31">
        <v>37</v>
      </c>
      <c r="K16" s="22" t="s">
        <v>93</v>
      </c>
      <c r="L16" s="129">
        <v>1</v>
      </c>
      <c r="M16" s="129">
        <v>105</v>
      </c>
      <c r="N16" s="133">
        <v>37</v>
      </c>
    </row>
    <row r="17" spans="1:14" x14ac:dyDescent="0.25">
      <c r="A17" s="22">
        <v>51405</v>
      </c>
      <c r="B17" s="22" t="s">
        <v>34</v>
      </c>
      <c r="C17" s="33" t="s">
        <v>77</v>
      </c>
      <c r="D17" s="30">
        <v>0</v>
      </c>
      <c r="E17" s="30">
        <f>128-5</f>
        <v>123</v>
      </c>
      <c r="F17" s="22">
        <v>5</v>
      </c>
      <c r="G17" s="36" t="s">
        <v>76</v>
      </c>
      <c r="H17" s="30">
        <v>9</v>
      </c>
      <c r="I17" s="30">
        <f>129-5</f>
        <v>124</v>
      </c>
      <c r="J17" s="31">
        <v>5</v>
      </c>
      <c r="K17" s="22" t="s">
        <v>93</v>
      </c>
      <c r="L17" s="129">
        <v>13</v>
      </c>
      <c r="M17" s="129">
        <v>137</v>
      </c>
      <c r="N17" s="133">
        <v>5</v>
      </c>
    </row>
    <row r="18" spans="1:14" x14ac:dyDescent="0.25">
      <c r="A18" s="22">
        <v>51406</v>
      </c>
      <c r="B18" s="22" t="s">
        <v>32</v>
      </c>
      <c r="C18" s="33" t="s">
        <v>77</v>
      </c>
      <c r="D18" s="30">
        <v>0</v>
      </c>
      <c r="E18" s="30">
        <v>88</v>
      </c>
      <c r="F18" s="27">
        <v>0</v>
      </c>
      <c r="G18" s="36" t="s">
        <v>76</v>
      </c>
      <c r="H18" s="30">
        <v>0</v>
      </c>
      <c r="I18" s="30">
        <v>76</v>
      </c>
      <c r="J18" s="30">
        <v>0</v>
      </c>
      <c r="K18" s="22" t="s">
        <v>93</v>
      </c>
      <c r="L18" s="129">
        <v>0</v>
      </c>
      <c r="M18" s="129">
        <v>72</v>
      </c>
      <c r="N18" s="133">
        <v>0</v>
      </c>
    </row>
    <row r="19" spans="1:14" x14ac:dyDescent="0.25">
      <c r="A19" s="22">
        <v>51407</v>
      </c>
      <c r="B19" s="22" t="s">
        <v>33</v>
      </c>
      <c r="C19" s="33" t="s">
        <v>77</v>
      </c>
      <c r="D19" s="30">
        <v>0</v>
      </c>
      <c r="E19" s="30">
        <v>74</v>
      </c>
      <c r="F19" s="27">
        <v>0</v>
      </c>
      <c r="G19" s="36" t="s">
        <v>76</v>
      </c>
      <c r="H19" s="30">
        <v>0</v>
      </c>
      <c r="I19" s="30">
        <v>81</v>
      </c>
      <c r="J19" s="30">
        <v>0</v>
      </c>
      <c r="K19" s="22" t="s">
        <v>93</v>
      </c>
      <c r="L19" s="129">
        <v>2</v>
      </c>
      <c r="M19" s="129">
        <v>83</v>
      </c>
      <c r="N19" s="133">
        <v>0</v>
      </c>
    </row>
    <row r="20" spans="1:14" x14ac:dyDescent="0.25">
      <c r="A20" s="22">
        <v>51409</v>
      </c>
      <c r="B20" s="22" t="s">
        <v>35</v>
      </c>
      <c r="C20" s="33" t="s">
        <v>77</v>
      </c>
      <c r="D20" s="30">
        <v>0</v>
      </c>
      <c r="E20" s="30">
        <v>102</v>
      </c>
      <c r="F20" s="27">
        <v>0</v>
      </c>
      <c r="G20" s="36" t="s">
        <v>76</v>
      </c>
      <c r="H20" s="30">
        <v>0</v>
      </c>
      <c r="I20" s="30">
        <v>98</v>
      </c>
      <c r="J20" s="30">
        <v>0</v>
      </c>
      <c r="K20" s="22" t="s">
        <v>93</v>
      </c>
      <c r="L20" s="129">
        <v>11</v>
      </c>
      <c r="M20" s="129">
        <v>104</v>
      </c>
      <c r="N20" s="133">
        <v>0</v>
      </c>
    </row>
    <row r="21" spans="1:14" x14ac:dyDescent="0.25">
      <c r="A21" s="22">
        <v>51410</v>
      </c>
      <c r="B21" s="22" t="s">
        <v>36</v>
      </c>
      <c r="C21" s="33" t="s">
        <v>77</v>
      </c>
      <c r="D21" s="30">
        <v>1</v>
      </c>
      <c r="E21" s="30">
        <v>48</v>
      </c>
      <c r="F21" s="27">
        <v>0</v>
      </c>
      <c r="G21" s="36" t="s">
        <v>76</v>
      </c>
      <c r="H21" s="30">
        <v>10</v>
      </c>
      <c r="I21" s="30">
        <v>44</v>
      </c>
      <c r="J21" s="30">
        <v>0</v>
      </c>
      <c r="K21" s="22" t="s">
        <v>93</v>
      </c>
      <c r="L21" s="129">
        <v>12</v>
      </c>
      <c r="M21" s="129">
        <v>47</v>
      </c>
      <c r="N21" s="133">
        <v>0</v>
      </c>
    </row>
    <row r="22" spans="1:14" x14ac:dyDescent="0.25">
      <c r="A22" s="22">
        <v>51411</v>
      </c>
      <c r="B22" s="22" t="s">
        <v>1</v>
      </c>
      <c r="C22" s="33" t="s">
        <v>77</v>
      </c>
      <c r="D22" s="30">
        <v>0</v>
      </c>
      <c r="E22" s="30">
        <v>15</v>
      </c>
      <c r="F22" s="27">
        <v>0</v>
      </c>
      <c r="G22" s="36" t="s">
        <v>76</v>
      </c>
      <c r="H22" s="30">
        <v>0</v>
      </c>
      <c r="I22" s="30">
        <v>15</v>
      </c>
      <c r="J22" s="30">
        <v>0</v>
      </c>
      <c r="K22" s="22" t="s">
        <v>93</v>
      </c>
      <c r="L22" s="129">
        <v>0</v>
      </c>
      <c r="M22" s="129">
        <v>20</v>
      </c>
      <c r="N22" s="133">
        <v>0</v>
      </c>
    </row>
    <row r="23" spans="1:14" x14ac:dyDescent="0.25">
      <c r="A23" s="22">
        <v>51416</v>
      </c>
      <c r="B23" s="22" t="s">
        <v>37</v>
      </c>
      <c r="C23" s="33" t="s">
        <v>77</v>
      </c>
      <c r="D23" s="30">
        <v>0</v>
      </c>
      <c r="E23" s="30">
        <v>58</v>
      </c>
      <c r="F23" s="27">
        <v>0</v>
      </c>
      <c r="G23" s="36" t="s">
        <v>76</v>
      </c>
      <c r="H23" s="30">
        <v>7</v>
      </c>
      <c r="I23" s="30">
        <v>57</v>
      </c>
      <c r="J23" s="30">
        <v>0</v>
      </c>
      <c r="K23" s="22" t="s">
        <v>93</v>
      </c>
      <c r="L23" s="129">
        <v>13</v>
      </c>
      <c r="M23" s="129">
        <v>64</v>
      </c>
      <c r="N23" s="133">
        <v>0</v>
      </c>
    </row>
    <row r="24" spans="1:14" x14ac:dyDescent="0.25">
      <c r="A24" s="22">
        <v>51418</v>
      </c>
      <c r="B24" s="22" t="s">
        <v>26</v>
      </c>
      <c r="C24" s="33" t="s">
        <v>77</v>
      </c>
      <c r="D24" s="30">
        <v>1</v>
      </c>
      <c r="E24" s="30">
        <v>38</v>
      </c>
      <c r="F24" s="27">
        <v>0</v>
      </c>
      <c r="G24" s="36" t="s">
        <v>76</v>
      </c>
      <c r="H24" s="30">
        <v>0</v>
      </c>
      <c r="I24" s="30">
        <v>36</v>
      </c>
      <c r="J24" s="30">
        <v>0</v>
      </c>
      <c r="K24" s="22" t="s">
        <v>93</v>
      </c>
      <c r="L24" s="129">
        <v>0</v>
      </c>
      <c r="M24" s="129">
        <v>38</v>
      </c>
      <c r="N24" s="133">
        <v>0</v>
      </c>
    </row>
    <row r="25" spans="1:14" x14ac:dyDescent="0.25">
      <c r="A25" s="22">
        <v>51420</v>
      </c>
      <c r="B25" s="22" t="s">
        <v>109</v>
      </c>
      <c r="C25" s="33" t="s">
        <v>77</v>
      </c>
      <c r="D25" s="30">
        <v>53</v>
      </c>
      <c r="E25" s="30">
        <v>76</v>
      </c>
      <c r="F25" s="27">
        <v>0</v>
      </c>
      <c r="G25" s="36" t="s">
        <v>76</v>
      </c>
      <c r="H25" s="30">
        <v>52</v>
      </c>
      <c r="I25" s="30">
        <v>72</v>
      </c>
      <c r="J25" s="30">
        <v>0</v>
      </c>
      <c r="K25" s="22" t="s">
        <v>93</v>
      </c>
      <c r="L25" s="129">
        <v>52</v>
      </c>
      <c r="M25" s="129">
        <v>76</v>
      </c>
      <c r="N25" s="133">
        <v>0</v>
      </c>
    </row>
    <row r="26" spans="1:14" x14ac:dyDescent="0.25">
      <c r="A26" s="22">
        <v>51421</v>
      </c>
      <c r="B26" s="22" t="s">
        <v>29</v>
      </c>
      <c r="C26" s="33" t="s">
        <v>77</v>
      </c>
      <c r="D26" s="30">
        <v>25</v>
      </c>
      <c r="E26" s="30">
        <v>98</v>
      </c>
      <c r="F26" s="27">
        <v>0</v>
      </c>
      <c r="G26" s="36" t="s">
        <v>76</v>
      </c>
      <c r="H26" s="30">
        <v>34</v>
      </c>
      <c r="I26" s="30">
        <v>120</v>
      </c>
      <c r="J26" s="30">
        <v>0</v>
      </c>
      <c r="K26" s="22" t="s">
        <v>93</v>
      </c>
      <c r="L26" s="129">
        <v>37</v>
      </c>
      <c r="M26" s="129">
        <v>121</v>
      </c>
      <c r="N26" s="133">
        <v>0</v>
      </c>
    </row>
    <row r="27" spans="1:14" x14ac:dyDescent="0.25">
      <c r="A27" s="22">
        <v>51422</v>
      </c>
      <c r="B27" s="22" t="s">
        <v>105</v>
      </c>
      <c r="C27" s="33" t="s">
        <v>77</v>
      </c>
      <c r="D27" s="30">
        <v>33</v>
      </c>
      <c r="E27" s="30">
        <v>127</v>
      </c>
      <c r="F27" s="27">
        <v>0</v>
      </c>
      <c r="G27" s="36" t="s">
        <v>76</v>
      </c>
      <c r="H27" s="30">
        <v>38</v>
      </c>
      <c r="I27" s="30">
        <v>139</v>
      </c>
      <c r="J27" s="30">
        <v>0</v>
      </c>
      <c r="K27" s="22" t="s">
        <v>93</v>
      </c>
      <c r="L27" s="129">
        <v>40</v>
      </c>
      <c r="M27" s="129">
        <v>150</v>
      </c>
      <c r="N27" s="133">
        <v>0</v>
      </c>
    </row>
    <row r="28" spans="1:14" x14ac:dyDescent="0.25">
      <c r="A28" s="22">
        <v>51423</v>
      </c>
      <c r="B28" s="22" t="s">
        <v>60</v>
      </c>
      <c r="C28" s="33" t="s">
        <v>77</v>
      </c>
      <c r="D28" s="30">
        <v>10</v>
      </c>
      <c r="E28" s="30">
        <v>36</v>
      </c>
      <c r="F28" s="27">
        <v>0</v>
      </c>
      <c r="G28" s="36" t="s">
        <v>76</v>
      </c>
      <c r="H28" s="30">
        <v>11</v>
      </c>
      <c r="I28" s="30">
        <v>32</v>
      </c>
      <c r="J28" s="30">
        <v>0</v>
      </c>
      <c r="K28" s="22" t="s">
        <v>93</v>
      </c>
      <c r="L28" s="129">
        <v>11</v>
      </c>
      <c r="M28" s="129">
        <v>31</v>
      </c>
      <c r="N28" s="133">
        <v>0</v>
      </c>
    </row>
    <row r="29" spans="1:14" x14ac:dyDescent="0.25">
      <c r="A29" s="22">
        <v>51424</v>
      </c>
      <c r="B29" s="22" t="s">
        <v>106</v>
      </c>
      <c r="C29" s="33" t="s">
        <v>77</v>
      </c>
      <c r="D29" s="30">
        <v>81</v>
      </c>
      <c r="E29" s="30">
        <v>108</v>
      </c>
      <c r="F29" s="27">
        <v>0</v>
      </c>
      <c r="G29" s="36" t="s">
        <v>76</v>
      </c>
      <c r="H29" s="30">
        <v>87</v>
      </c>
      <c r="I29" s="30">
        <v>107</v>
      </c>
      <c r="J29" s="30">
        <v>0</v>
      </c>
      <c r="K29" s="22" t="s">
        <v>93</v>
      </c>
      <c r="L29" s="129">
        <v>91</v>
      </c>
      <c r="M29" s="129">
        <v>113</v>
      </c>
      <c r="N29" s="133">
        <v>0</v>
      </c>
    </row>
    <row r="30" spans="1:14" x14ac:dyDescent="0.25">
      <c r="A30" s="22">
        <v>51425</v>
      </c>
      <c r="B30" s="22" t="s">
        <v>50</v>
      </c>
      <c r="C30" s="33" t="s">
        <v>77</v>
      </c>
      <c r="D30" s="30">
        <f>54-2</f>
        <v>52</v>
      </c>
      <c r="E30" s="30">
        <f>88-3</f>
        <v>85</v>
      </c>
      <c r="F30" s="22">
        <v>5</v>
      </c>
      <c r="G30" s="36" t="s">
        <v>76</v>
      </c>
      <c r="H30" s="30">
        <f>51-2</f>
        <v>49</v>
      </c>
      <c r="I30" s="30">
        <f>83-3</f>
        <v>80</v>
      </c>
      <c r="J30" s="31">
        <v>5</v>
      </c>
      <c r="K30" s="22" t="s">
        <v>93</v>
      </c>
      <c r="L30" s="129">
        <v>55</v>
      </c>
      <c r="M30" s="129">
        <v>79</v>
      </c>
      <c r="N30" s="133">
        <v>1</v>
      </c>
    </row>
    <row r="31" spans="1:14" x14ac:dyDescent="0.25">
      <c r="A31" s="22">
        <v>51426</v>
      </c>
      <c r="B31" s="22" t="s">
        <v>38</v>
      </c>
      <c r="C31" s="33" t="s">
        <v>77</v>
      </c>
      <c r="D31" s="30">
        <v>40</v>
      </c>
      <c r="E31" s="30">
        <v>104</v>
      </c>
      <c r="F31" s="27">
        <v>0</v>
      </c>
      <c r="G31" s="36" t="s">
        <v>76</v>
      </c>
      <c r="H31" s="30">
        <v>44</v>
      </c>
      <c r="I31" s="30">
        <v>94</v>
      </c>
      <c r="J31" s="30">
        <v>0</v>
      </c>
      <c r="K31" s="22" t="s">
        <v>93</v>
      </c>
      <c r="L31" s="129">
        <v>43</v>
      </c>
      <c r="M31" s="129">
        <v>98</v>
      </c>
      <c r="N31" s="133">
        <v>0</v>
      </c>
    </row>
    <row r="32" spans="1:14" x14ac:dyDescent="0.25">
      <c r="A32" s="22">
        <v>51427</v>
      </c>
      <c r="B32" s="22" t="s">
        <v>66</v>
      </c>
      <c r="C32" s="33" t="s">
        <v>77</v>
      </c>
      <c r="D32" s="30">
        <v>12</v>
      </c>
      <c r="E32" s="30">
        <v>69</v>
      </c>
      <c r="F32" s="27">
        <v>0</v>
      </c>
      <c r="G32" s="36" t="s">
        <v>76</v>
      </c>
      <c r="H32" s="30">
        <v>10</v>
      </c>
      <c r="I32" s="30">
        <v>82</v>
      </c>
      <c r="J32" s="30">
        <v>0</v>
      </c>
      <c r="K32" s="22" t="s">
        <v>93</v>
      </c>
      <c r="L32" s="129">
        <v>18</v>
      </c>
      <c r="M32" s="129">
        <v>85</v>
      </c>
      <c r="N32" s="133">
        <v>0</v>
      </c>
    </row>
    <row r="33" spans="1:14" x14ac:dyDescent="0.25">
      <c r="A33" s="22">
        <v>51428</v>
      </c>
      <c r="B33" s="22" t="s">
        <v>48</v>
      </c>
      <c r="C33" s="33" t="s">
        <v>77</v>
      </c>
      <c r="D33" s="30">
        <v>11</v>
      </c>
      <c r="E33" s="30">
        <v>69</v>
      </c>
      <c r="F33" s="27">
        <v>0</v>
      </c>
      <c r="G33" s="36" t="s">
        <v>76</v>
      </c>
      <c r="H33" s="30">
        <v>13</v>
      </c>
      <c r="I33" s="30">
        <v>67</v>
      </c>
      <c r="J33" s="30">
        <v>0</v>
      </c>
      <c r="K33" s="22" t="s">
        <v>93</v>
      </c>
      <c r="L33" s="129">
        <v>11</v>
      </c>
      <c r="M33" s="129">
        <v>73</v>
      </c>
      <c r="N33" s="133">
        <v>0</v>
      </c>
    </row>
    <row r="34" spans="1:14" x14ac:dyDescent="0.25">
      <c r="A34" s="22">
        <v>51429</v>
      </c>
      <c r="B34" s="22" t="s">
        <v>49</v>
      </c>
      <c r="C34" s="33" t="s">
        <v>77</v>
      </c>
      <c r="D34" s="30">
        <v>17</v>
      </c>
      <c r="E34" s="30">
        <v>38</v>
      </c>
      <c r="F34" s="27">
        <v>0</v>
      </c>
      <c r="G34" s="36" t="s">
        <v>76</v>
      </c>
      <c r="H34" s="30">
        <v>19</v>
      </c>
      <c r="I34" s="30">
        <v>49</v>
      </c>
      <c r="J34" s="30">
        <v>0</v>
      </c>
      <c r="K34" s="22" t="s">
        <v>93</v>
      </c>
      <c r="L34" s="129">
        <v>24</v>
      </c>
      <c r="M34" s="129">
        <v>47</v>
      </c>
      <c r="N34" s="133">
        <v>0</v>
      </c>
    </row>
    <row r="35" spans="1:14" x14ac:dyDescent="0.25">
      <c r="A35" s="22">
        <v>51430</v>
      </c>
      <c r="B35" s="22" t="s">
        <v>59</v>
      </c>
      <c r="C35" s="33" t="s">
        <v>77</v>
      </c>
      <c r="D35" s="30">
        <v>23</v>
      </c>
      <c r="E35" s="30">
        <v>48</v>
      </c>
      <c r="F35" s="27">
        <v>0</v>
      </c>
      <c r="G35" s="36" t="s">
        <v>76</v>
      </c>
      <c r="H35" s="30">
        <v>24</v>
      </c>
      <c r="I35" s="30">
        <v>45</v>
      </c>
      <c r="J35" s="30">
        <v>0</v>
      </c>
      <c r="K35" s="22" t="s">
        <v>93</v>
      </c>
      <c r="L35" s="129">
        <v>20</v>
      </c>
      <c r="M35" s="129">
        <v>51</v>
      </c>
      <c r="N35" s="133">
        <v>0</v>
      </c>
    </row>
    <row r="36" spans="1:14" x14ac:dyDescent="0.25">
      <c r="A36" s="22">
        <v>51431</v>
      </c>
      <c r="B36" s="22" t="s">
        <v>58</v>
      </c>
      <c r="C36" s="33" t="s">
        <v>77</v>
      </c>
      <c r="D36" s="30">
        <v>90</v>
      </c>
      <c r="E36" s="30">
        <v>116</v>
      </c>
      <c r="F36" s="27">
        <v>0</v>
      </c>
      <c r="G36" s="36" t="s">
        <v>76</v>
      </c>
      <c r="H36" s="30">
        <v>99</v>
      </c>
      <c r="I36" s="30">
        <v>136</v>
      </c>
      <c r="J36" s="30">
        <v>0</v>
      </c>
      <c r="K36" s="22" t="s">
        <v>93</v>
      </c>
      <c r="L36" s="129">
        <v>95</v>
      </c>
      <c r="M36" s="129">
        <v>149</v>
      </c>
      <c r="N36" s="133">
        <v>0</v>
      </c>
    </row>
    <row r="37" spans="1:14" x14ac:dyDescent="0.25">
      <c r="A37" s="22">
        <v>51432</v>
      </c>
      <c r="B37" s="22" t="s">
        <v>51</v>
      </c>
      <c r="C37" s="33" t="s">
        <v>77</v>
      </c>
      <c r="D37" s="30">
        <v>24</v>
      </c>
      <c r="E37" s="30">
        <f>122-10</f>
        <v>112</v>
      </c>
      <c r="F37" s="22">
        <v>10</v>
      </c>
      <c r="G37" s="36" t="s">
        <v>76</v>
      </c>
      <c r="H37" s="30">
        <v>24</v>
      </c>
      <c r="I37" s="30">
        <v>120</v>
      </c>
      <c r="J37" s="31">
        <v>9</v>
      </c>
      <c r="K37" s="22" t="s">
        <v>93</v>
      </c>
      <c r="L37" s="129">
        <v>24</v>
      </c>
      <c r="M37" s="129">
        <v>134</v>
      </c>
      <c r="N37" s="133">
        <v>8</v>
      </c>
    </row>
    <row r="38" spans="1:14" x14ac:dyDescent="0.25">
      <c r="A38" s="22">
        <v>51433</v>
      </c>
      <c r="B38" s="22" t="s">
        <v>40</v>
      </c>
      <c r="C38" s="33" t="s">
        <v>77</v>
      </c>
      <c r="D38" s="30">
        <v>38</v>
      </c>
      <c r="E38" s="30">
        <v>80</v>
      </c>
      <c r="F38" s="27">
        <v>0</v>
      </c>
      <c r="G38" s="36" t="s">
        <v>76</v>
      </c>
      <c r="H38" s="30">
        <v>39</v>
      </c>
      <c r="I38" s="30">
        <v>86</v>
      </c>
      <c r="J38" s="30">
        <v>0</v>
      </c>
      <c r="K38" s="22" t="s">
        <v>93</v>
      </c>
      <c r="L38" s="129">
        <v>37</v>
      </c>
      <c r="M38" s="129">
        <v>85</v>
      </c>
      <c r="N38" s="133">
        <v>0</v>
      </c>
    </row>
    <row r="39" spans="1:14" x14ac:dyDescent="0.25">
      <c r="A39" s="22">
        <v>51434</v>
      </c>
      <c r="B39" s="22" t="s">
        <v>107</v>
      </c>
      <c r="C39" s="33" t="s">
        <v>77</v>
      </c>
      <c r="D39" s="30">
        <v>60</v>
      </c>
      <c r="E39" s="30">
        <v>26</v>
      </c>
      <c r="F39" s="27">
        <v>0</v>
      </c>
      <c r="G39" s="36" t="s">
        <v>76</v>
      </c>
      <c r="H39" s="30">
        <v>61</v>
      </c>
      <c r="I39" s="30">
        <v>29</v>
      </c>
      <c r="J39" s="30">
        <v>0</v>
      </c>
      <c r="K39" s="22" t="s">
        <v>93</v>
      </c>
      <c r="L39" s="129">
        <v>62</v>
      </c>
      <c r="M39" s="129">
        <v>31</v>
      </c>
      <c r="N39" s="133">
        <v>0</v>
      </c>
    </row>
    <row r="40" spans="1:14" x14ac:dyDescent="0.25">
      <c r="A40" s="22">
        <v>51435</v>
      </c>
      <c r="B40" s="22" t="s">
        <v>41</v>
      </c>
      <c r="C40" s="33" t="s">
        <v>77</v>
      </c>
      <c r="D40" s="30">
        <v>28</v>
      </c>
      <c r="E40" s="30">
        <v>43</v>
      </c>
      <c r="F40" s="27">
        <v>0</v>
      </c>
      <c r="G40" s="36" t="s">
        <v>76</v>
      </c>
      <c r="H40" s="30">
        <v>28</v>
      </c>
      <c r="I40" s="30">
        <v>38</v>
      </c>
      <c r="J40" s="30">
        <v>0</v>
      </c>
      <c r="K40" s="22" t="s">
        <v>93</v>
      </c>
      <c r="L40" s="129">
        <v>30</v>
      </c>
      <c r="M40" s="129">
        <v>44</v>
      </c>
      <c r="N40" s="133">
        <v>0</v>
      </c>
    </row>
    <row r="41" spans="1:14" x14ac:dyDescent="0.25">
      <c r="A41" s="22">
        <v>51436</v>
      </c>
      <c r="B41" s="22" t="s">
        <v>67</v>
      </c>
      <c r="C41" s="33" t="s">
        <v>77</v>
      </c>
      <c r="D41" s="30">
        <v>44</v>
      </c>
      <c r="E41" s="30">
        <v>97</v>
      </c>
      <c r="F41" s="27">
        <v>0</v>
      </c>
      <c r="G41" s="36" t="s">
        <v>76</v>
      </c>
      <c r="H41" s="30">
        <v>40</v>
      </c>
      <c r="I41" s="30">
        <v>96</v>
      </c>
      <c r="J41" s="30">
        <v>0</v>
      </c>
      <c r="K41" s="22" t="s">
        <v>93</v>
      </c>
      <c r="L41" s="129">
        <v>40</v>
      </c>
      <c r="M41" s="129">
        <v>106</v>
      </c>
      <c r="N41" s="133">
        <v>0</v>
      </c>
    </row>
    <row r="42" spans="1:14" x14ac:dyDescent="0.25">
      <c r="A42" s="22">
        <v>51437</v>
      </c>
      <c r="B42" s="22" t="s">
        <v>0</v>
      </c>
      <c r="C42" s="33" t="s">
        <v>77</v>
      </c>
      <c r="D42" s="30">
        <v>37</v>
      </c>
      <c r="E42" s="30">
        <v>72</v>
      </c>
      <c r="F42" s="27">
        <v>0</v>
      </c>
      <c r="G42" s="36" t="s">
        <v>76</v>
      </c>
      <c r="H42" s="30">
        <v>34</v>
      </c>
      <c r="I42" s="30">
        <v>75</v>
      </c>
      <c r="J42" s="30">
        <v>0</v>
      </c>
      <c r="K42" s="22" t="s">
        <v>93</v>
      </c>
      <c r="L42" s="129">
        <v>35</v>
      </c>
      <c r="M42" s="129">
        <v>69</v>
      </c>
      <c r="N42" s="133">
        <v>0</v>
      </c>
    </row>
    <row r="43" spans="1:14" x14ac:dyDescent="0.25">
      <c r="A43" s="22">
        <v>51438</v>
      </c>
      <c r="B43" s="22" t="s">
        <v>52</v>
      </c>
      <c r="C43" s="33" t="s">
        <v>77</v>
      </c>
      <c r="D43" s="30">
        <v>24</v>
      </c>
      <c r="E43" s="30">
        <v>46</v>
      </c>
      <c r="F43" s="27">
        <v>0</v>
      </c>
      <c r="G43" s="36" t="s">
        <v>76</v>
      </c>
      <c r="H43" s="30">
        <v>23</v>
      </c>
      <c r="I43" s="30">
        <v>36</v>
      </c>
      <c r="J43" s="30">
        <v>0</v>
      </c>
      <c r="K43" s="22" t="s">
        <v>93</v>
      </c>
      <c r="L43" s="129">
        <v>20</v>
      </c>
      <c r="M43" s="129">
        <v>38</v>
      </c>
      <c r="N43" s="133">
        <v>0</v>
      </c>
    </row>
    <row r="44" spans="1:14" x14ac:dyDescent="0.25">
      <c r="A44" s="22">
        <v>51439</v>
      </c>
      <c r="B44" s="22" t="s">
        <v>53</v>
      </c>
      <c r="C44" s="33" t="s">
        <v>77</v>
      </c>
      <c r="D44" s="30">
        <v>16</v>
      </c>
      <c r="E44" s="30">
        <v>25</v>
      </c>
      <c r="F44" s="27">
        <v>0</v>
      </c>
      <c r="G44" s="36" t="s">
        <v>76</v>
      </c>
      <c r="H44" s="30">
        <v>14</v>
      </c>
      <c r="I44" s="30">
        <v>33</v>
      </c>
      <c r="J44" s="30">
        <v>0</v>
      </c>
      <c r="K44" s="22" t="s">
        <v>93</v>
      </c>
      <c r="L44" s="129">
        <v>13</v>
      </c>
      <c r="M44" s="129">
        <v>32</v>
      </c>
      <c r="N44" s="133">
        <v>0</v>
      </c>
    </row>
    <row r="45" spans="1:14" x14ac:dyDescent="0.25">
      <c r="A45" s="22">
        <v>51440</v>
      </c>
      <c r="B45" s="22" t="s">
        <v>68</v>
      </c>
      <c r="C45" s="33" t="s">
        <v>77</v>
      </c>
      <c r="D45" s="30">
        <v>20</v>
      </c>
      <c r="E45" s="30">
        <v>47</v>
      </c>
      <c r="F45" s="27">
        <v>0</v>
      </c>
      <c r="G45" s="36" t="s">
        <v>76</v>
      </c>
      <c r="H45" s="30">
        <v>23</v>
      </c>
      <c r="I45" s="30">
        <v>46</v>
      </c>
      <c r="J45" s="30">
        <v>0</v>
      </c>
      <c r="K45" s="22" t="s">
        <v>93</v>
      </c>
      <c r="L45" s="129">
        <v>33</v>
      </c>
      <c r="M45" s="129">
        <v>49</v>
      </c>
      <c r="N45" s="133">
        <v>0</v>
      </c>
    </row>
    <row r="46" spans="1:14" x14ac:dyDescent="0.25">
      <c r="A46" s="22">
        <v>51441</v>
      </c>
      <c r="B46" s="22" t="s">
        <v>54</v>
      </c>
      <c r="C46" s="33" t="s">
        <v>77</v>
      </c>
      <c r="D46" s="30">
        <v>21</v>
      </c>
      <c r="E46" s="30">
        <v>79</v>
      </c>
      <c r="F46" s="27">
        <v>0</v>
      </c>
      <c r="G46" s="36" t="s">
        <v>76</v>
      </c>
      <c r="H46" s="30">
        <v>22</v>
      </c>
      <c r="I46" s="30">
        <v>73</v>
      </c>
      <c r="J46" s="30">
        <v>0</v>
      </c>
      <c r="K46" s="22" t="s">
        <v>93</v>
      </c>
      <c r="L46" s="129">
        <v>23</v>
      </c>
      <c r="M46" s="129">
        <v>70</v>
      </c>
      <c r="N46" s="133">
        <v>0</v>
      </c>
    </row>
    <row r="47" spans="1:14" x14ac:dyDescent="0.25">
      <c r="A47" s="22">
        <v>51442</v>
      </c>
      <c r="B47" s="22" t="s">
        <v>55</v>
      </c>
      <c r="C47" s="33" t="s">
        <v>77</v>
      </c>
      <c r="D47" s="30">
        <v>27</v>
      </c>
      <c r="E47" s="30">
        <v>68</v>
      </c>
      <c r="F47" s="27">
        <v>0</v>
      </c>
      <c r="G47" s="36" t="s">
        <v>76</v>
      </c>
      <c r="H47" s="30">
        <v>26</v>
      </c>
      <c r="I47" s="30">
        <v>64</v>
      </c>
      <c r="J47" s="30">
        <v>0</v>
      </c>
      <c r="K47" s="22" t="s">
        <v>93</v>
      </c>
      <c r="L47" s="129">
        <v>24</v>
      </c>
      <c r="M47" s="129">
        <v>70</v>
      </c>
      <c r="N47" s="133">
        <v>0</v>
      </c>
    </row>
    <row r="48" spans="1:14" x14ac:dyDescent="0.25">
      <c r="A48" s="27">
        <v>60000</v>
      </c>
      <c r="B48" s="27" t="s">
        <v>111</v>
      </c>
      <c r="C48" s="33" t="s">
        <v>77</v>
      </c>
      <c r="D48" s="30">
        <v>1685</v>
      </c>
      <c r="E48" s="30">
        <v>2757</v>
      </c>
      <c r="F48" s="30">
        <v>96</v>
      </c>
      <c r="G48" s="36" t="s">
        <v>76</v>
      </c>
      <c r="H48" s="30">
        <v>1705</v>
      </c>
      <c r="I48" s="30">
        <v>2820</v>
      </c>
      <c r="J48" s="30">
        <v>84</v>
      </c>
      <c r="K48" s="22" t="s">
        <v>93</v>
      </c>
      <c r="L48" s="133">
        <f>SUM(L2:L47)</f>
        <v>1693</v>
      </c>
      <c r="M48" s="133">
        <f>SUM(M2:M47)</f>
        <v>2954</v>
      </c>
      <c r="N48" s="133">
        <f>SUM(N2:N47)</f>
        <v>63</v>
      </c>
    </row>
    <row r="49" spans="1:14" x14ac:dyDescent="0.25">
      <c r="A49" s="22" t="s">
        <v>135</v>
      </c>
      <c r="B49" s="27" t="s">
        <v>136</v>
      </c>
      <c r="C49" s="33" t="s">
        <v>77</v>
      </c>
      <c r="D49" s="30">
        <v>1596</v>
      </c>
      <c r="E49" s="30">
        <v>2483</v>
      </c>
      <c r="F49" s="30">
        <v>96</v>
      </c>
      <c r="G49" s="36" t="s">
        <v>76</v>
      </c>
      <c r="H49" s="30">
        <v>1610</v>
      </c>
      <c r="I49" s="30">
        <v>2529</v>
      </c>
      <c r="J49" s="30">
        <v>84</v>
      </c>
      <c r="K49" s="22" t="s">
        <v>93</v>
      </c>
      <c r="L49" s="133">
        <f>SUM(L10:L47)</f>
        <v>1595</v>
      </c>
      <c r="M49" s="133">
        <f t="shared" ref="M49:N49" si="0">SUM(M10:M47)</f>
        <v>2661</v>
      </c>
      <c r="N49" s="133">
        <f t="shared" si="0"/>
        <v>63</v>
      </c>
    </row>
    <row r="50" spans="1:14" x14ac:dyDescent="0.25">
      <c r="A50" s="22" t="s">
        <v>137</v>
      </c>
      <c r="B50" s="27" t="s">
        <v>138</v>
      </c>
      <c r="C50" s="33" t="s">
        <v>77</v>
      </c>
      <c r="D50" s="30">
        <v>89</v>
      </c>
      <c r="E50" s="30">
        <v>274</v>
      </c>
      <c r="F50" s="30">
        <v>0</v>
      </c>
      <c r="G50" s="36" t="s">
        <v>76</v>
      </c>
      <c r="H50" s="30">
        <v>95</v>
      </c>
      <c r="I50" s="30">
        <v>291</v>
      </c>
      <c r="J50" s="30">
        <v>0</v>
      </c>
      <c r="K50" s="22" t="s">
        <v>93</v>
      </c>
      <c r="L50" s="133">
        <f>SUM(L2:L9)</f>
        <v>98</v>
      </c>
      <c r="M50" s="133">
        <f t="shared" ref="M50:N50" si="1">SUM(M2:M9)</f>
        <v>293</v>
      </c>
      <c r="N50" s="133">
        <f t="shared" si="1"/>
        <v>0</v>
      </c>
    </row>
    <row r="51" spans="1:14" x14ac:dyDescent="0.25">
      <c r="A51" s="27"/>
      <c r="B51" s="27"/>
      <c r="G51" s="33"/>
      <c r="J51" s="31"/>
    </row>
    <row r="52" spans="1:14" x14ac:dyDescent="0.25">
      <c r="B52" s="27"/>
      <c r="G52" s="33"/>
      <c r="J52" s="31"/>
    </row>
    <row r="53" spans="1:14" x14ac:dyDescent="0.25">
      <c r="B53" s="27"/>
      <c r="G53" s="33"/>
      <c r="J53" s="31"/>
    </row>
    <row r="54" spans="1:14" x14ac:dyDescent="0.25">
      <c r="G54" s="33"/>
      <c r="J54" s="31"/>
    </row>
    <row r="55" spans="1:14" x14ac:dyDescent="0.25">
      <c r="G55" s="33"/>
      <c r="J55" s="31"/>
    </row>
    <row r="56" spans="1:14" x14ac:dyDescent="0.25">
      <c r="G56" s="33"/>
      <c r="J56" s="31"/>
    </row>
    <row r="57" spans="1:14" x14ac:dyDescent="0.25">
      <c r="G57" s="33"/>
      <c r="J57" s="31"/>
    </row>
    <row r="58" spans="1:14" x14ac:dyDescent="0.25">
      <c r="G58" s="33"/>
      <c r="J58" s="22"/>
    </row>
    <row r="59" spans="1:14" x14ac:dyDescent="0.25">
      <c r="G59" s="33"/>
      <c r="J59" s="31"/>
    </row>
    <row r="60" spans="1:14" x14ac:dyDescent="0.25">
      <c r="G60" s="33"/>
      <c r="J60" s="31"/>
    </row>
    <row r="61" spans="1:14" x14ac:dyDescent="0.25">
      <c r="G61" s="33"/>
      <c r="J61" s="22"/>
    </row>
    <row r="62" spans="1:14" x14ac:dyDescent="0.25">
      <c r="G62" s="33"/>
      <c r="J62" s="22"/>
    </row>
    <row r="63" spans="1:14" x14ac:dyDescent="0.25">
      <c r="G63" s="33"/>
      <c r="J63" s="27"/>
    </row>
    <row r="64" spans="1:14" x14ac:dyDescent="0.25">
      <c r="G64" s="33"/>
      <c r="J64" s="27"/>
    </row>
    <row r="65" spans="7:10" x14ac:dyDescent="0.25">
      <c r="G65" s="33"/>
      <c r="J65" s="27"/>
    </row>
    <row r="66" spans="7:10" x14ac:dyDescent="0.25">
      <c r="G66" s="33"/>
      <c r="J66" s="27"/>
    </row>
    <row r="67" spans="7:10" x14ac:dyDescent="0.25">
      <c r="G67" s="33"/>
      <c r="J67" s="27"/>
    </row>
    <row r="68" spans="7:10" x14ac:dyDescent="0.25">
      <c r="G68" s="33"/>
      <c r="J68" s="27"/>
    </row>
    <row r="69" spans="7:10" x14ac:dyDescent="0.25">
      <c r="G69" s="33"/>
      <c r="J69" s="27"/>
    </row>
    <row r="70" spans="7:10" x14ac:dyDescent="0.25">
      <c r="G70" s="33"/>
      <c r="J70" s="27"/>
    </row>
    <row r="71" spans="7:10" x14ac:dyDescent="0.25">
      <c r="G71" s="33"/>
      <c r="J71" s="27"/>
    </row>
    <row r="72" spans="7:10" x14ac:dyDescent="0.25">
      <c r="G72" s="33"/>
      <c r="J72" s="27"/>
    </row>
    <row r="73" spans="7:10" x14ac:dyDescent="0.25">
      <c r="G73" s="33"/>
      <c r="J73" s="27"/>
    </row>
    <row r="74" spans="7:10" x14ac:dyDescent="0.25">
      <c r="G74" s="33"/>
      <c r="J74" s="27"/>
    </row>
    <row r="75" spans="7:10" x14ac:dyDescent="0.25">
      <c r="G75" s="33"/>
      <c r="J75" s="22"/>
    </row>
    <row r="76" spans="7:10" x14ac:dyDescent="0.25">
      <c r="G76" s="33"/>
      <c r="J76" s="27"/>
    </row>
    <row r="77" spans="7:10" x14ac:dyDescent="0.25">
      <c r="G77" s="33"/>
      <c r="J77" s="27"/>
    </row>
    <row r="78" spans="7:10" x14ac:dyDescent="0.25">
      <c r="G78" s="33"/>
      <c r="J78" s="27"/>
    </row>
    <row r="79" spans="7:10" x14ac:dyDescent="0.25">
      <c r="G79" s="33"/>
      <c r="J79" s="27"/>
    </row>
    <row r="80" spans="7:10" x14ac:dyDescent="0.25">
      <c r="G80" s="33"/>
      <c r="J80" s="27"/>
    </row>
    <row r="81" spans="7:10" x14ac:dyDescent="0.25">
      <c r="G81" s="33"/>
      <c r="J81" s="27"/>
    </row>
    <row r="82" spans="7:10" x14ac:dyDescent="0.25">
      <c r="G82" s="33"/>
      <c r="J82" s="22"/>
    </row>
    <row r="83" spans="7:10" x14ac:dyDescent="0.25">
      <c r="G83" s="33"/>
      <c r="J83" s="27"/>
    </row>
    <row r="84" spans="7:10" x14ac:dyDescent="0.25">
      <c r="G84" s="33"/>
      <c r="J84" s="27"/>
    </row>
    <row r="85" spans="7:10" x14ac:dyDescent="0.25">
      <c r="G85" s="33"/>
      <c r="J85" s="27"/>
    </row>
    <row r="86" spans="7:10" x14ac:dyDescent="0.25">
      <c r="G86" s="33"/>
      <c r="J86" s="27"/>
    </row>
    <row r="87" spans="7:10" x14ac:dyDescent="0.25">
      <c r="G87" s="33"/>
      <c r="J87" s="27"/>
    </row>
    <row r="88" spans="7:10" x14ac:dyDescent="0.25">
      <c r="G88" s="33"/>
      <c r="J88" s="27"/>
    </row>
    <row r="89" spans="7:10" x14ac:dyDescent="0.25">
      <c r="G89" s="33"/>
      <c r="J89" s="27"/>
    </row>
    <row r="90" spans="7:10" x14ac:dyDescent="0.25">
      <c r="G90" s="33"/>
      <c r="J90" s="27"/>
    </row>
    <row r="91" spans="7:10" x14ac:dyDescent="0.25">
      <c r="G91" s="33"/>
      <c r="J91" s="27"/>
    </row>
    <row r="92" spans="7:10" x14ac:dyDescent="0.25">
      <c r="G92" s="33"/>
      <c r="J92" s="27"/>
    </row>
    <row r="93" spans="7:10" x14ac:dyDescent="0.25">
      <c r="G93" s="33"/>
      <c r="I93" s="31"/>
      <c r="J93" s="22"/>
    </row>
    <row r="94" spans="7:10" x14ac:dyDescent="0.25">
      <c r="I94" s="22"/>
      <c r="J94" s="22"/>
    </row>
  </sheetData>
  <sortState ref="A2:N50">
    <sortCondition ref="A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F1" workbookViewId="0">
      <selection activeCell="C1" sqref="C1:F1"/>
    </sheetView>
  </sheetViews>
  <sheetFormatPr defaultColWidth="9.140625" defaultRowHeight="15" x14ac:dyDescent="0.25"/>
  <cols>
    <col min="1" max="1" width="9.140625" style="39"/>
    <col min="2" max="2" width="51.85546875" style="39" bestFit="1" customWidth="1"/>
    <col min="3" max="4" width="9.140625" style="39" customWidth="1"/>
    <col min="5" max="5" width="11.28515625" style="39" customWidth="1"/>
    <col min="6" max="6" width="12.42578125" style="39" customWidth="1"/>
    <col min="7" max="8" width="9.140625" style="39" customWidth="1"/>
    <col min="9" max="9" width="12.85546875" style="39" customWidth="1"/>
    <col min="10" max="10" width="13.42578125" style="39" customWidth="1"/>
    <col min="11" max="13" width="11.42578125" style="39" customWidth="1"/>
    <col min="14" max="14" width="13.7109375" style="39" customWidth="1"/>
    <col min="15" max="17" width="11.42578125" style="39" customWidth="1"/>
    <col min="18" max="18" width="13.7109375" style="39" customWidth="1"/>
    <col min="19" max="16384" width="9.140625" style="39"/>
  </cols>
  <sheetData>
    <row r="1" spans="1:19" ht="34.5" customHeight="1" x14ac:dyDescent="0.25">
      <c r="C1" s="220" t="s">
        <v>170</v>
      </c>
      <c r="D1" s="221"/>
      <c r="E1" s="221"/>
      <c r="F1" s="222"/>
      <c r="G1" s="223" t="s">
        <v>171</v>
      </c>
      <c r="H1" s="224"/>
      <c r="I1" s="224"/>
      <c r="J1" s="225"/>
      <c r="K1" s="226" t="s">
        <v>172</v>
      </c>
      <c r="L1" s="227"/>
      <c r="M1" s="227"/>
      <c r="N1" s="227"/>
      <c r="O1" s="227" t="s">
        <v>173</v>
      </c>
      <c r="P1" s="227"/>
      <c r="Q1" s="227"/>
      <c r="R1" s="227"/>
    </row>
    <row r="2" spans="1:19" ht="60" x14ac:dyDescent="0.25">
      <c r="A2" s="39" t="s">
        <v>23</v>
      </c>
      <c r="B2" s="98" t="s">
        <v>24</v>
      </c>
      <c r="C2" s="99">
        <v>0.1</v>
      </c>
      <c r="D2" s="100" t="s">
        <v>25</v>
      </c>
      <c r="E2" s="101" t="s">
        <v>92</v>
      </c>
      <c r="F2" s="102" t="s">
        <v>174</v>
      </c>
      <c r="G2" s="99">
        <v>0.1</v>
      </c>
      <c r="H2" s="100" t="s">
        <v>25</v>
      </c>
      <c r="I2" s="101" t="s">
        <v>92</v>
      </c>
      <c r="J2" s="102" t="s">
        <v>175</v>
      </c>
      <c r="K2" s="103">
        <v>0.1</v>
      </c>
      <c r="L2" s="100" t="s">
        <v>25</v>
      </c>
      <c r="M2" s="101" t="s">
        <v>92</v>
      </c>
      <c r="N2" s="104" t="s">
        <v>176</v>
      </c>
      <c r="O2" s="99">
        <v>0.1</v>
      </c>
      <c r="P2" s="100" t="s">
        <v>25</v>
      </c>
      <c r="Q2" s="101" t="s">
        <v>92</v>
      </c>
      <c r="R2" s="104" t="s">
        <v>177</v>
      </c>
    </row>
    <row r="3" spans="1:19" x14ac:dyDescent="0.25">
      <c r="A3" s="39">
        <v>1</v>
      </c>
      <c r="B3" s="96" t="s">
        <v>45</v>
      </c>
      <c r="C3" s="95">
        <v>5</v>
      </c>
      <c r="D3" s="96">
        <v>36</v>
      </c>
      <c r="E3" s="97">
        <f t="shared" ref="E3:E12" si="0">C3*100/D3</f>
        <v>13.888888888888889</v>
      </c>
      <c r="F3" s="105">
        <v>74000</v>
      </c>
      <c r="G3" s="95">
        <v>5</v>
      </c>
      <c r="H3" s="96">
        <v>33</v>
      </c>
      <c r="I3" s="97">
        <f t="shared" ref="I3:I12" si="1">G3*100/H3</f>
        <v>15.151515151515152</v>
      </c>
      <c r="J3" s="105">
        <v>88000</v>
      </c>
      <c r="K3" s="96">
        <v>5</v>
      </c>
      <c r="L3" s="96">
        <v>35</v>
      </c>
      <c r="M3" s="97">
        <f t="shared" ref="M3:M12" si="2">K3*100/L3</f>
        <v>14.285714285714286</v>
      </c>
      <c r="N3" s="106">
        <v>134000</v>
      </c>
      <c r="O3" s="95">
        <v>4</v>
      </c>
      <c r="P3" s="96">
        <v>35</v>
      </c>
      <c r="Q3" s="97">
        <f t="shared" ref="Q3:Q12" si="3">O3*100/P3</f>
        <v>11.428571428571429</v>
      </c>
      <c r="R3" s="106">
        <v>109000</v>
      </c>
      <c r="S3" s="96"/>
    </row>
    <row r="4" spans="1:19" x14ac:dyDescent="0.25">
      <c r="A4" s="39">
        <v>2</v>
      </c>
      <c r="B4" s="96" t="s">
        <v>47</v>
      </c>
      <c r="C4" s="95">
        <v>0</v>
      </c>
      <c r="D4" s="96">
        <v>42</v>
      </c>
      <c r="E4" s="97">
        <f t="shared" si="0"/>
        <v>0</v>
      </c>
      <c r="F4" s="105">
        <v>0</v>
      </c>
      <c r="G4" s="95">
        <v>0</v>
      </c>
      <c r="H4" s="96">
        <v>40</v>
      </c>
      <c r="I4" s="97">
        <f t="shared" si="1"/>
        <v>0</v>
      </c>
      <c r="J4" s="105">
        <v>0</v>
      </c>
      <c r="K4" s="96">
        <v>3</v>
      </c>
      <c r="L4" s="96">
        <v>44</v>
      </c>
      <c r="M4" s="97">
        <f t="shared" si="2"/>
        <v>6.8181818181818183</v>
      </c>
      <c r="N4" s="106">
        <v>73000</v>
      </c>
      <c r="O4" s="95">
        <v>3</v>
      </c>
      <c r="P4" s="96">
        <v>45</v>
      </c>
      <c r="Q4" s="97">
        <f t="shared" si="3"/>
        <v>6.666666666666667</v>
      </c>
      <c r="R4" s="106">
        <v>72000</v>
      </c>
      <c r="S4" s="96"/>
    </row>
    <row r="5" spans="1:19" x14ac:dyDescent="0.25">
      <c r="A5" s="39">
        <v>3</v>
      </c>
      <c r="B5" s="96" t="s">
        <v>57</v>
      </c>
      <c r="C5" s="95">
        <v>0</v>
      </c>
      <c r="D5" s="96">
        <v>45</v>
      </c>
      <c r="E5" s="97">
        <f t="shared" si="0"/>
        <v>0</v>
      </c>
      <c r="F5" s="105">
        <v>0</v>
      </c>
      <c r="G5" s="95">
        <v>3</v>
      </c>
      <c r="H5" s="96">
        <v>46</v>
      </c>
      <c r="I5" s="97">
        <f t="shared" si="1"/>
        <v>6.5217391304347823</v>
      </c>
      <c r="J5" s="105">
        <v>47000</v>
      </c>
      <c r="K5" s="96">
        <v>0</v>
      </c>
      <c r="L5" s="96">
        <v>45</v>
      </c>
      <c r="M5" s="97">
        <f t="shared" si="2"/>
        <v>0</v>
      </c>
      <c r="N5" s="106">
        <v>0</v>
      </c>
      <c r="O5" s="95">
        <v>3</v>
      </c>
      <c r="P5" s="96">
        <v>44</v>
      </c>
      <c r="Q5" s="97">
        <f t="shared" si="3"/>
        <v>6.8181818181818183</v>
      </c>
      <c r="R5" s="106">
        <v>75000</v>
      </c>
      <c r="S5" s="96"/>
    </row>
    <row r="6" spans="1:19" x14ac:dyDescent="0.25">
      <c r="A6" s="39">
        <v>4</v>
      </c>
      <c r="B6" s="96" t="s">
        <v>56</v>
      </c>
      <c r="C6" s="95">
        <v>0</v>
      </c>
      <c r="D6" s="96">
        <v>46</v>
      </c>
      <c r="E6" s="97">
        <f t="shared" si="0"/>
        <v>0</v>
      </c>
      <c r="F6" s="105">
        <v>0</v>
      </c>
      <c r="G6" s="95">
        <v>0</v>
      </c>
      <c r="H6" s="96">
        <v>50</v>
      </c>
      <c r="I6" s="97">
        <f t="shared" si="1"/>
        <v>0</v>
      </c>
      <c r="J6" s="105">
        <v>0</v>
      </c>
      <c r="K6" s="96">
        <v>3</v>
      </c>
      <c r="L6" s="96">
        <v>47</v>
      </c>
      <c r="M6" s="97">
        <f t="shared" si="2"/>
        <v>6.3829787234042552</v>
      </c>
      <c r="N6" s="106">
        <v>74000</v>
      </c>
      <c r="O6" s="95">
        <v>3</v>
      </c>
      <c r="P6" s="96">
        <v>46</v>
      </c>
      <c r="Q6" s="97">
        <f t="shared" si="3"/>
        <v>6.5217391304347823</v>
      </c>
      <c r="R6" s="106">
        <v>79000</v>
      </c>
      <c r="S6" s="96"/>
    </row>
    <row r="7" spans="1:19" x14ac:dyDescent="0.25">
      <c r="A7" s="39">
        <v>5</v>
      </c>
      <c r="B7" s="96" t="s">
        <v>65</v>
      </c>
      <c r="C7" s="95">
        <v>0</v>
      </c>
      <c r="D7" s="96">
        <v>46</v>
      </c>
      <c r="E7" s="97">
        <f t="shared" si="0"/>
        <v>0</v>
      </c>
      <c r="F7" s="105">
        <v>0</v>
      </c>
      <c r="G7" s="95">
        <v>0</v>
      </c>
      <c r="H7" s="96">
        <v>50</v>
      </c>
      <c r="I7" s="97">
        <f t="shared" si="1"/>
        <v>0</v>
      </c>
      <c r="J7" s="105">
        <v>0</v>
      </c>
      <c r="K7" s="96">
        <v>3</v>
      </c>
      <c r="L7" s="96">
        <v>55</v>
      </c>
      <c r="M7" s="97">
        <f t="shared" si="2"/>
        <v>5.4545454545454541</v>
      </c>
      <c r="N7" s="106">
        <v>70000</v>
      </c>
      <c r="O7" s="95">
        <v>0</v>
      </c>
      <c r="P7" s="96">
        <v>55</v>
      </c>
      <c r="Q7" s="97">
        <f t="shared" si="3"/>
        <v>0</v>
      </c>
      <c r="R7" s="106">
        <v>0</v>
      </c>
      <c r="S7" s="96"/>
    </row>
    <row r="8" spans="1:19" x14ac:dyDescent="0.25">
      <c r="A8" s="39">
        <v>6</v>
      </c>
      <c r="B8" s="96" t="s">
        <v>61</v>
      </c>
      <c r="C8" s="95">
        <v>6</v>
      </c>
      <c r="D8" s="96">
        <v>38</v>
      </c>
      <c r="E8" s="97">
        <f t="shared" si="0"/>
        <v>15.789473684210526</v>
      </c>
      <c r="F8" s="105">
        <v>84000</v>
      </c>
      <c r="G8" s="95">
        <v>3</v>
      </c>
      <c r="H8" s="96">
        <v>41</v>
      </c>
      <c r="I8" s="97">
        <f t="shared" si="1"/>
        <v>7.3170731707317076</v>
      </c>
      <c r="J8" s="105">
        <v>50000</v>
      </c>
      <c r="K8" s="96">
        <v>3</v>
      </c>
      <c r="L8" s="96">
        <v>42</v>
      </c>
      <c r="M8" s="97">
        <f t="shared" si="2"/>
        <v>7.1428571428571432</v>
      </c>
      <c r="N8" s="106">
        <v>85000</v>
      </c>
      <c r="O8" s="95">
        <v>3</v>
      </c>
      <c r="P8" s="96">
        <v>44</v>
      </c>
      <c r="Q8" s="97">
        <f t="shared" si="3"/>
        <v>6.8181818181818183</v>
      </c>
      <c r="R8" s="106">
        <v>89000</v>
      </c>
      <c r="S8" s="96"/>
    </row>
    <row r="9" spans="1:19" x14ac:dyDescent="0.25">
      <c r="A9" s="39">
        <v>7</v>
      </c>
      <c r="B9" s="96" t="s">
        <v>64</v>
      </c>
      <c r="C9" s="95">
        <v>3</v>
      </c>
      <c r="D9" s="96">
        <v>39</v>
      </c>
      <c r="E9" s="97">
        <f t="shared" si="0"/>
        <v>7.6923076923076925</v>
      </c>
      <c r="F9" s="105">
        <v>45000</v>
      </c>
      <c r="G9" s="95">
        <v>3</v>
      </c>
      <c r="H9" s="96">
        <v>35</v>
      </c>
      <c r="I9" s="97">
        <f t="shared" si="1"/>
        <v>8.5714285714285712</v>
      </c>
      <c r="J9" s="105">
        <v>51000</v>
      </c>
      <c r="K9" s="96">
        <v>0</v>
      </c>
      <c r="L9" s="96">
        <v>45</v>
      </c>
      <c r="M9" s="97">
        <f t="shared" si="2"/>
        <v>0</v>
      </c>
      <c r="N9" s="106">
        <v>0</v>
      </c>
      <c r="O9" s="95">
        <v>3</v>
      </c>
      <c r="P9" s="96">
        <v>46</v>
      </c>
      <c r="Q9" s="97">
        <f t="shared" si="3"/>
        <v>6.5217391304347823</v>
      </c>
      <c r="R9" s="106">
        <v>77000</v>
      </c>
      <c r="S9" s="96"/>
    </row>
    <row r="10" spans="1:19" x14ac:dyDescent="0.25">
      <c r="A10" s="39">
        <v>8</v>
      </c>
      <c r="B10" s="96" t="s">
        <v>63</v>
      </c>
      <c r="C10" s="95">
        <v>3</v>
      </c>
      <c r="D10" s="96">
        <v>58</v>
      </c>
      <c r="E10" s="97">
        <f t="shared" si="0"/>
        <v>5.1724137931034484</v>
      </c>
      <c r="F10" s="105">
        <v>44000</v>
      </c>
      <c r="G10" s="95">
        <v>3</v>
      </c>
      <c r="H10" s="96">
        <v>59</v>
      </c>
      <c r="I10" s="97">
        <f t="shared" si="1"/>
        <v>5.0847457627118642</v>
      </c>
      <c r="J10" s="105">
        <v>47000</v>
      </c>
      <c r="K10" s="96">
        <v>3</v>
      </c>
      <c r="L10" s="96">
        <v>65</v>
      </c>
      <c r="M10" s="97">
        <f t="shared" si="2"/>
        <v>4.615384615384615</v>
      </c>
      <c r="N10" s="106">
        <v>75000</v>
      </c>
      <c r="O10" s="95">
        <v>3</v>
      </c>
      <c r="P10" s="96">
        <v>65</v>
      </c>
      <c r="Q10" s="97">
        <f t="shared" si="3"/>
        <v>4.615384615384615</v>
      </c>
      <c r="R10" s="106">
        <v>81000</v>
      </c>
      <c r="S10" s="96"/>
    </row>
    <row r="11" spans="1:19" x14ac:dyDescent="0.25">
      <c r="A11" s="107">
        <v>30508</v>
      </c>
      <c r="B11" s="96" t="s">
        <v>46</v>
      </c>
      <c r="C11" s="95">
        <v>0</v>
      </c>
      <c r="D11" s="96">
        <v>22</v>
      </c>
      <c r="E11" s="97">
        <f t="shared" si="0"/>
        <v>0</v>
      </c>
      <c r="F11" s="105">
        <v>0</v>
      </c>
      <c r="G11" s="95">
        <v>3</v>
      </c>
      <c r="H11" s="96">
        <v>19</v>
      </c>
      <c r="I11" s="97">
        <f t="shared" si="1"/>
        <v>15.789473684210526</v>
      </c>
      <c r="J11" s="105">
        <v>48000</v>
      </c>
      <c r="K11" s="96">
        <v>3</v>
      </c>
      <c r="L11" s="96">
        <v>24</v>
      </c>
      <c r="M11" s="97">
        <f t="shared" si="2"/>
        <v>12.5</v>
      </c>
      <c r="N11" s="106">
        <v>84000</v>
      </c>
      <c r="O11" s="95">
        <v>0</v>
      </c>
      <c r="P11" s="96">
        <v>25</v>
      </c>
      <c r="Q11" s="97">
        <f t="shared" si="3"/>
        <v>0</v>
      </c>
      <c r="R11" s="106">
        <v>0</v>
      </c>
      <c r="S11" s="96"/>
    </row>
    <row r="12" spans="1:19" x14ac:dyDescent="0.25">
      <c r="A12" s="39">
        <v>30509</v>
      </c>
      <c r="B12" s="96" t="s">
        <v>39</v>
      </c>
      <c r="C12" s="95">
        <v>3</v>
      </c>
      <c r="D12" s="96">
        <v>30</v>
      </c>
      <c r="E12" s="97">
        <f t="shared" si="0"/>
        <v>10</v>
      </c>
      <c r="F12" s="105">
        <v>47000</v>
      </c>
      <c r="G12" s="95">
        <v>3</v>
      </c>
      <c r="H12" s="96">
        <v>41</v>
      </c>
      <c r="I12" s="97">
        <f t="shared" si="1"/>
        <v>7.3170731707317076</v>
      </c>
      <c r="J12" s="105">
        <v>49000</v>
      </c>
      <c r="K12" s="96">
        <v>3</v>
      </c>
      <c r="L12" s="96">
        <v>46</v>
      </c>
      <c r="M12" s="97">
        <f t="shared" si="2"/>
        <v>6.5217391304347823</v>
      </c>
      <c r="N12" s="106">
        <v>75000</v>
      </c>
      <c r="O12" s="95">
        <v>5</v>
      </c>
      <c r="P12" s="96">
        <v>49</v>
      </c>
      <c r="Q12" s="97">
        <f t="shared" si="3"/>
        <v>10.204081632653061</v>
      </c>
      <c r="R12" s="106">
        <v>128000</v>
      </c>
      <c r="S12" s="96"/>
    </row>
    <row r="13" spans="1:19" x14ac:dyDescent="0.25">
      <c r="A13" s="107">
        <v>51105</v>
      </c>
      <c r="B13" s="107" t="s">
        <v>5</v>
      </c>
      <c r="C13" s="95" t="s">
        <v>108</v>
      </c>
      <c r="D13" s="96" t="s">
        <v>108</v>
      </c>
      <c r="E13" s="96" t="s">
        <v>108</v>
      </c>
      <c r="F13" s="108"/>
      <c r="G13" s="95" t="s">
        <v>108</v>
      </c>
      <c r="H13" s="96" t="s">
        <v>108</v>
      </c>
      <c r="I13" s="96" t="s">
        <v>108</v>
      </c>
      <c r="J13" s="109"/>
      <c r="K13" s="39" t="s">
        <v>108</v>
      </c>
      <c r="L13" s="39" t="s">
        <v>108</v>
      </c>
      <c r="M13" s="39" t="s">
        <v>108</v>
      </c>
      <c r="N13" s="97"/>
      <c r="O13" s="95" t="s">
        <v>108</v>
      </c>
      <c r="P13" s="39" t="s">
        <v>108</v>
      </c>
      <c r="Q13" s="39" t="s">
        <v>108</v>
      </c>
      <c r="R13" s="97"/>
      <c r="S13" s="96"/>
    </row>
    <row r="14" spans="1:19" x14ac:dyDescent="0.25">
      <c r="A14" s="39">
        <v>51401</v>
      </c>
      <c r="B14" s="96" t="s">
        <v>28</v>
      </c>
      <c r="C14" s="95">
        <v>10</v>
      </c>
      <c r="D14" s="96">
        <v>91</v>
      </c>
      <c r="E14" s="97">
        <f t="shared" ref="E14:E40" si="4">C14*100/D14</f>
        <v>10.989010989010989</v>
      </c>
      <c r="F14" s="105">
        <v>151000</v>
      </c>
      <c r="G14" s="95">
        <v>7</v>
      </c>
      <c r="H14" s="96">
        <v>91</v>
      </c>
      <c r="I14" s="97">
        <f t="shared" ref="I14:I50" si="5">G14*100/H14</f>
        <v>7.6923076923076925</v>
      </c>
      <c r="J14" s="105">
        <v>126000</v>
      </c>
      <c r="K14" s="96">
        <v>10</v>
      </c>
      <c r="L14" s="96">
        <v>85</v>
      </c>
      <c r="M14" s="97">
        <f t="shared" ref="M14:M50" si="6">K14*100/L14</f>
        <v>11.764705882352942</v>
      </c>
      <c r="N14" s="106">
        <v>260000</v>
      </c>
      <c r="O14" s="95">
        <v>9</v>
      </c>
      <c r="P14" s="96">
        <v>82</v>
      </c>
      <c r="Q14" s="97">
        <f t="shared" ref="Q14:Q50" si="7">O14*100/P14</f>
        <v>10.975609756097562</v>
      </c>
      <c r="R14" s="106">
        <v>230000</v>
      </c>
      <c r="S14" s="96"/>
    </row>
    <row r="15" spans="1:19" x14ac:dyDescent="0.25">
      <c r="A15" s="107">
        <v>51402</v>
      </c>
      <c r="B15" s="96" t="s">
        <v>30</v>
      </c>
      <c r="C15" s="95">
        <v>3</v>
      </c>
      <c r="D15" s="96">
        <v>38</v>
      </c>
      <c r="E15" s="97">
        <f t="shared" si="4"/>
        <v>7.8947368421052628</v>
      </c>
      <c r="F15" s="105">
        <v>44000</v>
      </c>
      <c r="G15" s="95">
        <v>3</v>
      </c>
      <c r="H15" s="96">
        <v>34</v>
      </c>
      <c r="I15" s="97">
        <f t="shared" si="5"/>
        <v>8.8235294117647065</v>
      </c>
      <c r="J15" s="105">
        <v>131000</v>
      </c>
      <c r="K15" s="96">
        <v>4</v>
      </c>
      <c r="L15" s="96">
        <v>34</v>
      </c>
      <c r="M15" s="97">
        <f t="shared" si="6"/>
        <v>11.764705882352942</v>
      </c>
      <c r="N15" s="106">
        <v>103000</v>
      </c>
      <c r="O15" s="95">
        <v>5</v>
      </c>
      <c r="P15" s="96">
        <v>38</v>
      </c>
      <c r="Q15" s="97">
        <f t="shared" si="7"/>
        <v>13.157894736842104</v>
      </c>
      <c r="R15" s="106">
        <v>135000</v>
      </c>
      <c r="S15" s="96"/>
    </row>
    <row r="16" spans="1:19" x14ac:dyDescent="0.25">
      <c r="A16" s="107">
        <v>51404</v>
      </c>
      <c r="B16" s="96" t="s">
        <v>31</v>
      </c>
      <c r="C16" s="95">
        <v>7</v>
      </c>
      <c r="D16" s="96">
        <v>110</v>
      </c>
      <c r="E16" s="97">
        <f t="shared" si="4"/>
        <v>6.3636363636363633</v>
      </c>
      <c r="F16" s="105">
        <v>105000</v>
      </c>
      <c r="G16" s="95">
        <v>8</v>
      </c>
      <c r="H16" s="96">
        <v>100</v>
      </c>
      <c r="I16" s="97">
        <f t="shared" si="5"/>
        <v>8</v>
      </c>
      <c r="J16" s="105">
        <v>138000</v>
      </c>
      <c r="K16" s="96">
        <v>6</v>
      </c>
      <c r="L16" s="96">
        <v>113</v>
      </c>
      <c r="M16" s="97">
        <f t="shared" si="6"/>
        <v>5.3097345132743365</v>
      </c>
      <c r="N16" s="106">
        <v>161000</v>
      </c>
      <c r="O16" s="95">
        <v>3</v>
      </c>
      <c r="P16" s="96">
        <v>106</v>
      </c>
      <c r="Q16" s="97">
        <f t="shared" si="7"/>
        <v>2.8301886792452828</v>
      </c>
      <c r="R16" s="106">
        <v>85000</v>
      </c>
      <c r="S16" s="96"/>
    </row>
    <row r="17" spans="1:19" x14ac:dyDescent="0.25">
      <c r="A17" s="107">
        <v>51405</v>
      </c>
      <c r="B17" s="96" t="s">
        <v>34</v>
      </c>
      <c r="C17" s="95">
        <v>21</v>
      </c>
      <c r="D17" s="96">
        <v>139</v>
      </c>
      <c r="E17" s="97">
        <f t="shared" si="4"/>
        <v>15.107913669064748</v>
      </c>
      <c r="F17" s="105">
        <v>422000</v>
      </c>
      <c r="G17" s="95">
        <v>18</v>
      </c>
      <c r="H17" s="96">
        <v>122</v>
      </c>
      <c r="I17" s="97">
        <f t="shared" si="5"/>
        <v>14.754098360655737</v>
      </c>
      <c r="J17" s="105">
        <v>376000</v>
      </c>
      <c r="K17" s="96">
        <v>16</v>
      </c>
      <c r="L17" s="96">
        <v>133</v>
      </c>
      <c r="M17" s="97">
        <f t="shared" si="6"/>
        <v>12.030075187969924</v>
      </c>
      <c r="N17" s="106">
        <v>433000</v>
      </c>
      <c r="O17" s="95">
        <v>24</v>
      </c>
      <c r="P17" s="96">
        <v>145</v>
      </c>
      <c r="Q17" s="97">
        <f t="shared" si="7"/>
        <v>16.551724137931036</v>
      </c>
      <c r="R17" s="106">
        <v>651000</v>
      </c>
      <c r="S17" s="96"/>
    </row>
    <row r="18" spans="1:19" x14ac:dyDescent="0.25">
      <c r="A18" s="107">
        <v>51406</v>
      </c>
      <c r="B18" s="96" t="s">
        <v>32</v>
      </c>
      <c r="C18" s="95">
        <v>12</v>
      </c>
      <c r="D18" s="96">
        <v>98</v>
      </c>
      <c r="E18" s="97">
        <f t="shared" si="4"/>
        <v>12.244897959183673</v>
      </c>
      <c r="F18" s="105">
        <v>179000</v>
      </c>
      <c r="G18" s="95">
        <v>7</v>
      </c>
      <c r="H18" s="96">
        <v>90</v>
      </c>
      <c r="I18" s="97">
        <f t="shared" si="5"/>
        <v>7.7777777777777777</v>
      </c>
      <c r="J18" s="105">
        <v>384000</v>
      </c>
      <c r="K18" s="96">
        <v>13</v>
      </c>
      <c r="L18" s="96">
        <v>75</v>
      </c>
      <c r="M18" s="97">
        <f t="shared" si="6"/>
        <v>17.333333333333332</v>
      </c>
      <c r="N18" s="106">
        <v>343000</v>
      </c>
      <c r="O18" s="95">
        <v>13</v>
      </c>
      <c r="P18" s="96">
        <v>70</v>
      </c>
      <c r="Q18" s="97">
        <f t="shared" si="7"/>
        <v>18.571428571428573</v>
      </c>
      <c r="R18" s="106">
        <v>362000</v>
      </c>
      <c r="S18" s="96"/>
    </row>
    <row r="19" spans="1:19" x14ac:dyDescent="0.25">
      <c r="A19" s="107">
        <v>51407</v>
      </c>
      <c r="B19" s="96" t="s">
        <v>33</v>
      </c>
      <c r="C19" s="95">
        <v>7</v>
      </c>
      <c r="D19" s="96">
        <v>79</v>
      </c>
      <c r="E19" s="97">
        <f t="shared" si="4"/>
        <v>8.8607594936708853</v>
      </c>
      <c r="F19" s="105">
        <v>101000</v>
      </c>
      <c r="G19" s="95">
        <v>5</v>
      </c>
      <c r="H19" s="96">
        <v>80</v>
      </c>
      <c r="I19" s="97">
        <f t="shared" si="5"/>
        <v>6.25</v>
      </c>
      <c r="J19" s="105">
        <v>86000</v>
      </c>
      <c r="K19" s="96">
        <v>7</v>
      </c>
      <c r="L19" s="96">
        <v>84</v>
      </c>
      <c r="M19" s="97">
        <f t="shared" si="6"/>
        <v>8.3333333333333339</v>
      </c>
      <c r="N19" s="106">
        <v>188000</v>
      </c>
      <c r="O19" s="95">
        <v>3</v>
      </c>
      <c r="P19" s="96">
        <v>85</v>
      </c>
      <c r="Q19" s="97">
        <f t="shared" si="7"/>
        <v>3.5294117647058822</v>
      </c>
      <c r="R19" s="106">
        <v>77000</v>
      </c>
      <c r="S19" s="96"/>
    </row>
    <row r="20" spans="1:19" x14ac:dyDescent="0.25">
      <c r="A20" s="107">
        <v>51409</v>
      </c>
      <c r="B20" s="96" t="s">
        <v>35</v>
      </c>
      <c r="C20" s="95">
        <v>8</v>
      </c>
      <c r="D20" s="96">
        <v>101</v>
      </c>
      <c r="E20" s="97">
        <f t="shared" si="4"/>
        <v>7.9207920792079207</v>
      </c>
      <c r="F20" s="105">
        <v>123000</v>
      </c>
      <c r="G20" s="95">
        <v>5</v>
      </c>
      <c r="H20" s="96">
        <v>102</v>
      </c>
      <c r="I20" s="97">
        <f t="shared" si="5"/>
        <v>4.9019607843137258</v>
      </c>
      <c r="J20" s="105">
        <v>87000</v>
      </c>
      <c r="K20" s="96">
        <v>3</v>
      </c>
      <c r="L20" s="96">
        <v>99</v>
      </c>
      <c r="M20" s="97">
        <f t="shared" si="6"/>
        <v>3.0303030303030303</v>
      </c>
      <c r="N20" s="106">
        <v>74000</v>
      </c>
      <c r="O20" s="95">
        <v>3</v>
      </c>
      <c r="P20" s="96">
        <v>113</v>
      </c>
      <c r="Q20" s="97">
        <f t="shared" si="7"/>
        <v>2.6548672566371683</v>
      </c>
      <c r="R20" s="106">
        <v>80000</v>
      </c>
      <c r="S20" s="96"/>
    </row>
    <row r="21" spans="1:19" x14ac:dyDescent="0.25">
      <c r="A21" s="107">
        <v>51410</v>
      </c>
      <c r="B21" s="96" t="s">
        <v>36</v>
      </c>
      <c r="C21" s="95">
        <v>4</v>
      </c>
      <c r="D21" s="96">
        <v>64</v>
      </c>
      <c r="E21" s="97">
        <f t="shared" si="4"/>
        <v>6.25</v>
      </c>
      <c r="F21" s="105">
        <v>60000</v>
      </c>
      <c r="G21" s="95">
        <v>3</v>
      </c>
      <c r="H21" s="96">
        <v>51</v>
      </c>
      <c r="I21" s="97">
        <f t="shared" si="5"/>
        <v>5.882352941176471</v>
      </c>
      <c r="J21" s="105">
        <v>52000</v>
      </c>
      <c r="K21" s="96">
        <v>3</v>
      </c>
      <c r="L21" s="96">
        <v>53</v>
      </c>
      <c r="M21" s="97">
        <f t="shared" si="6"/>
        <v>5.6603773584905657</v>
      </c>
      <c r="N21" s="106">
        <v>81000</v>
      </c>
      <c r="O21" s="95">
        <v>3</v>
      </c>
      <c r="P21" s="96">
        <v>59</v>
      </c>
      <c r="Q21" s="97">
        <f t="shared" si="7"/>
        <v>5.0847457627118642</v>
      </c>
      <c r="R21" s="106">
        <v>81000</v>
      </c>
      <c r="S21" s="96"/>
    </row>
    <row r="22" spans="1:19" x14ac:dyDescent="0.25">
      <c r="A22" s="39">
        <v>51411</v>
      </c>
      <c r="B22" s="96" t="s">
        <v>1</v>
      </c>
      <c r="C22" s="95">
        <v>3</v>
      </c>
      <c r="D22" s="96">
        <v>21</v>
      </c>
      <c r="E22" s="97">
        <f t="shared" si="4"/>
        <v>14.285714285714286</v>
      </c>
      <c r="F22" s="105">
        <v>49000</v>
      </c>
      <c r="G22" s="95">
        <v>3</v>
      </c>
      <c r="H22" s="96">
        <v>15</v>
      </c>
      <c r="I22" s="97">
        <f t="shared" si="5"/>
        <v>20</v>
      </c>
      <c r="J22" s="105">
        <v>100000</v>
      </c>
      <c r="K22" s="96">
        <v>3</v>
      </c>
      <c r="L22" s="96">
        <v>16</v>
      </c>
      <c r="M22" s="97">
        <f t="shared" si="6"/>
        <v>18.75</v>
      </c>
      <c r="N22" s="106">
        <v>76000</v>
      </c>
      <c r="O22" s="95">
        <v>3</v>
      </c>
      <c r="P22" s="96">
        <v>20</v>
      </c>
      <c r="Q22" s="97">
        <f t="shared" si="7"/>
        <v>15</v>
      </c>
      <c r="R22" s="106">
        <v>78000</v>
      </c>
      <c r="S22" s="96"/>
    </row>
    <row r="23" spans="1:19" x14ac:dyDescent="0.25">
      <c r="A23" s="107">
        <v>51416</v>
      </c>
      <c r="B23" s="96" t="s">
        <v>37</v>
      </c>
      <c r="C23" s="95">
        <v>3</v>
      </c>
      <c r="D23" s="96">
        <v>71</v>
      </c>
      <c r="E23" s="97">
        <f t="shared" si="4"/>
        <v>4.225352112676056</v>
      </c>
      <c r="F23" s="105">
        <v>41000</v>
      </c>
      <c r="G23" s="95">
        <v>0</v>
      </c>
      <c r="H23" s="96">
        <v>58</v>
      </c>
      <c r="I23" s="97">
        <f t="shared" si="5"/>
        <v>0</v>
      </c>
      <c r="J23" s="105">
        <v>0</v>
      </c>
      <c r="K23" s="96">
        <v>0</v>
      </c>
      <c r="L23" s="96">
        <v>66</v>
      </c>
      <c r="M23" s="97">
        <f t="shared" si="6"/>
        <v>0</v>
      </c>
      <c r="N23" s="106">
        <v>0</v>
      </c>
      <c r="O23" s="95">
        <v>3</v>
      </c>
      <c r="P23" s="96">
        <v>76</v>
      </c>
      <c r="Q23" s="97">
        <f t="shared" si="7"/>
        <v>3.9473684210526314</v>
      </c>
      <c r="R23" s="106">
        <v>77000</v>
      </c>
      <c r="S23" s="96"/>
    </row>
    <row r="24" spans="1:19" x14ac:dyDescent="0.25">
      <c r="A24" s="39">
        <v>51418</v>
      </c>
      <c r="B24" s="96" t="s">
        <v>26</v>
      </c>
      <c r="C24" s="95">
        <v>3</v>
      </c>
      <c r="D24" s="96">
        <v>36</v>
      </c>
      <c r="E24" s="97">
        <f t="shared" si="4"/>
        <v>8.3333333333333339</v>
      </c>
      <c r="F24" s="105">
        <v>45000</v>
      </c>
      <c r="G24" s="95">
        <v>3</v>
      </c>
      <c r="H24" s="96">
        <v>38</v>
      </c>
      <c r="I24" s="97">
        <f t="shared" si="5"/>
        <v>7.8947368421052628</v>
      </c>
      <c r="J24" s="105">
        <v>54000</v>
      </c>
      <c r="K24" s="96">
        <v>3</v>
      </c>
      <c r="L24" s="96">
        <v>36</v>
      </c>
      <c r="M24" s="97">
        <f t="shared" si="6"/>
        <v>8.3333333333333339</v>
      </c>
      <c r="N24" s="106">
        <v>75000</v>
      </c>
      <c r="O24" s="95">
        <v>3</v>
      </c>
      <c r="P24" s="96">
        <v>38</v>
      </c>
      <c r="Q24" s="97">
        <f t="shared" si="7"/>
        <v>7.8947368421052628</v>
      </c>
      <c r="R24" s="106">
        <v>91000</v>
      </c>
      <c r="S24" s="96"/>
    </row>
    <row r="25" spans="1:19" x14ac:dyDescent="0.25">
      <c r="A25" s="96">
        <v>51420</v>
      </c>
      <c r="B25" s="96" t="s">
        <v>109</v>
      </c>
      <c r="C25" s="95">
        <v>18</v>
      </c>
      <c r="D25" s="96">
        <v>131</v>
      </c>
      <c r="E25" s="97">
        <f t="shared" si="4"/>
        <v>13.740458015267176</v>
      </c>
      <c r="F25" s="105">
        <v>858000</v>
      </c>
      <c r="G25" s="95">
        <v>15</v>
      </c>
      <c r="H25" s="96">
        <v>129</v>
      </c>
      <c r="I25" s="97">
        <f t="shared" si="5"/>
        <v>11.627906976744185</v>
      </c>
      <c r="J25" s="105">
        <v>630000</v>
      </c>
      <c r="K25" s="96">
        <v>14</v>
      </c>
      <c r="L25" s="96">
        <v>122</v>
      </c>
      <c r="M25" s="97">
        <f t="shared" si="6"/>
        <v>11.475409836065573</v>
      </c>
      <c r="N25" s="106">
        <v>378000</v>
      </c>
      <c r="O25" s="95">
        <v>16</v>
      </c>
      <c r="P25" s="96">
        <v>128</v>
      </c>
      <c r="Q25" s="97">
        <f t="shared" si="7"/>
        <v>12.5</v>
      </c>
      <c r="R25" s="106">
        <v>434000</v>
      </c>
      <c r="S25" s="96"/>
    </row>
    <row r="26" spans="1:19" x14ac:dyDescent="0.25">
      <c r="A26" s="107">
        <v>51421</v>
      </c>
      <c r="B26" s="96" t="s">
        <v>29</v>
      </c>
      <c r="C26" s="95">
        <v>3</v>
      </c>
      <c r="D26" s="96">
        <v>122</v>
      </c>
      <c r="E26" s="97">
        <f t="shared" si="4"/>
        <v>2.459016393442623</v>
      </c>
      <c r="F26" s="105">
        <v>42000</v>
      </c>
      <c r="G26" s="95">
        <v>3</v>
      </c>
      <c r="H26" s="96">
        <v>124</v>
      </c>
      <c r="I26" s="97">
        <f t="shared" si="5"/>
        <v>2.4193548387096775</v>
      </c>
      <c r="J26" s="105">
        <v>55000</v>
      </c>
      <c r="K26" s="96">
        <v>3</v>
      </c>
      <c r="L26" s="96">
        <v>157</v>
      </c>
      <c r="M26" s="97">
        <f t="shared" si="6"/>
        <v>1.910828025477707</v>
      </c>
      <c r="N26" s="106">
        <v>72000</v>
      </c>
      <c r="O26" s="95">
        <v>3</v>
      </c>
      <c r="P26" s="96">
        <v>159</v>
      </c>
      <c r="Q26" s="97">
        <f t="shared" si="7"/>
        <v>1.8867924528301887</v>
      </c>
      <c r="R26" s="106">
        <v>77000</v>
      </c>
      <c r="S26" s="96"/>
    </row>
    <row r="27" spans="1:19" x14ac:dyDescent="0.25">
      <c r="A27" s="39">
        <v>51422</v>
      </c>
      <c r="B27" s="96" t="s">
        <v>105</v>
      </c>
      <c r="C27" s="95">
        <v>0</v>
      </c>
      <c r="D27" s="96">
        <v>159</v>
      </c>
      <c r="E27" s="97">
        <f t="shared" si="4"/>
        <v>0</v>
      </c>
      <c r="F27" s="105">
        <v>41000</v>
      </c>
      <c r="G27" s="95">
        <v>3</v>
      </c>
      <c r="H27" s="96">
        <v>161</v>
      </c>
      <c r="I27" s="97">
        <f t="shared" si="5"/>
        <v>1.8633540372670807</v>
      </c>
      <c r="J27" s="105">
        <v>48000</v>
      </c>
      <c r="K27" s="96">
        <v>3</v>
      </c>
      <c r="L27" s="96">
        <v>179</v>
      </c>
      <c r="M27" s="97">
        <f t="shared" si="6"/>
        <v>1.6759776536312849</v>
      </c>
      <c r="N27" s="106">
        <v>79000</v>
      </c>
      <c r="O27" s="95">
        <v>5</v>
      </c>
      <c r="P27" s="96">
        <v>191</v>
      </c>
      <c r="Q27" s="97">
        <f t="shared" si="7"/>
        <v>2.6178010471204187</v>
      </c>
      <c r="R27" s="106">
        <v>135000</v>
      </c>
      <c r="S27" s="96"/>
    </row>
    <row r="28" spans="1:19" x14ac:dyDescent="0.25">
      <c r="A28" s="107">
        <v>51423</v>
      </c>
      <c r="B28" s="96" t="s">
        <v>60</v>
      </c>
      <c r="C28" s="95">
        <v>3</v>
      </c>
      <c r="D28" s="96">
        <v>42</v>
      </c>
      <c r="E28" s="97">
        <f t="shared" si="4"/>
        <v>7.1428571428571432</v>
      </c>
      <c r="F28" s="105">
        <v>45000</v>
      </c>
      <c r="G28" s="95">
        <v>3</v>
      </c>
      <c r="H28" s="96">
        <v>46</v>
      </c>
      <c r="I28" s="97">
        <f t="shared" si="5"/>
        <v>6.5217391304347823</v>
      </c>
      <c r="J28" s="105">
        <v>55000</v>
      </c>
      <c r="K28" s="96">
        <v>7</v>
      </c>
      <c r="L28" s="96">
        <v>44</v>
      </c>
      <c r="M28" s="97">
        <f t="shared" si="6"/>
        <v>15.909090909090908</v>
      </c>
      <c r="N28" s="106">
        <v>184000</v>
      </c>
      <c r="O28" s="95">
        <v>4</v>
      </c>
      <c r="P28" s="96">
        <v>42</v>
      </c>
      <c r="Q28" s="97">
        <f t="shared" si="7"/>
        <v>9.5238095238095237</v>
      </c>
      <c r="R28" s="106">
        <v>120000</v>
      </c>
      <c r="S28" s="96"/>
    </row>
    <row r="29" spans="1:19" x14ac:dyDescent="0.25">
      <c r="A29" s="107">
        <v>51424</v>
      </c>
      <c r="B29" s="96" t="s">
        <v>106</v>
      </c>
      <c r="C29" s="95">
        <v>16</v>
      </c>
      <c r="D29" s="96">
        <v>193</v>
      </c>
      <c r="E29" s="97">
        <f t="shared" si="4"/>
        <v>8.290155440414507</v>
      </c>
      <c r="F29" s="105">
        <v>263000</v>
      </c>
      <c r="G29" s="95">
        <v>21</v>
      </c>
      <c r="H29" s="96">
        <v>188</v>
      </c>
      <c r="I29" s="97">
        <f t="shared" si="5"/>
        <v>11.170212765957446</v>
      </c>
      <c r="J29" s="105">
        <v>355000</v>
      </c>
      <c r="K29" s="96">
        <v>19</v>
      </c>
      <c r="L29" s="96">
        <v>192</v>
      </c>
      <c r="M29" s="97">
        <f t="shared" si="6"/>
        <v>9.8958333333333339</v>
      </c>
      <c r="N29" s="106">
        <v>521000</v>
      </c>
      <c r="O29" s="95">
        <v>29</v>
      </c>
      <c r="P29" s="96">
        <v>205</v>
      </c>
      <c r="Q29" s="97">
        <f t="shared" si="7"/>
        <v>14.146341463414634</v>
      </c>
      <c r="R29" s="106">
        <v>784000</v>
      </c>
      <c r="S29" s="96"/>
    </row>
    <row r="30" spans="1:19" x14ac:dyDescent="0.25">
      <c r="A30" s="107">
        <v>51425</v>
      </c>
      <c r="B30" s="96" t="s">
        <v>50</v>
      </c>
      <c r="C30" s="95">
        <v>3</v>
      </c>
      <c r="D30" s="96">
        <v>133</v>
      </c>
      <c r="E30" s="97">
        <f t="shared" si="4"/>
        <v>2.255639097744361</v>
      </c>
      <c r="F30" s="105">
        <v>45000</v>
      </c>
      <c r="G30" s="95">
        <v>6</v>
      </c>
      <c r="H30" s="96">
        <v>138</v>
      </c>
      <c r="I30" s="97">
        <f t="shared" si="5"/>
        <v>4.3478260869565215</v>
      </c>
      <c r="J30" s="105">
        <v>98000</v>
      </c>
      <c r="K30" s="96">
        <v>11</v>
      </c>
      <c r="L30" s="96">
        <v>134</v>
      </c>
      <c r="M30" s="97">
        <f t="shared" si="6"/>
        <v>8.2089552238805972</v>
      </c>
      <c r="N30" s="106">
        <v>272000</v>
      </c>
      <c r="O30" s="95">
        <v>5</v>
      </c>
      <c r="P30" s="96">
        <v>133</v>
      </c>
      <c r="Q30" s="97">
        <f t="shared" si="7"/>
        <v>3.7593984962406015</v>
      </c>
      <c r="R30" s="106">
        <v>132000</v>
      </c>
      <c r="S30" s="96"/>
    </row>
    <row r="31" spans="1:19" x14ac:dyDescent="0.25">
      <c r="A31" s="39">
        <v>51426</v>
      </c>
      <c r="B31" s="96" t="s">
        <v>38</v>
      </c>
      <c r="C31" s="95">
        <v>9</v>
      </c>
      <c r="D31" s="96">
        <v>146</v>
      </c>
      <c r="E31" s="97">
        <f t="shared" si="4"/>
        <v>6.1643835616438354</v>
      </c>
      <c r="F31" s="105">
        <v>126000</v>
      </c>
      <c r="G31" s="95">
        <v>5</v>
      </c>
      <c r="H31" s="96">
        <v>145</v>
      </c>
      <c r="I31" s="97">
        <f t="shared" si="5"/>
        <v>3.4482758620689653</v>
      </c>
      <c r="J31" s="105">
        <v>86000</v>
      </c>
      <c r="K31" s="96">
        <v>12</v>
      </c>
      <c r="L31" s="96">
        <v>140</v>
      </c>
      <c r="M31" s="97">
        <f t="shared" si="6"/>
        <v>8.5714285714285712</v>
      </c>
      <c r="N31" s="106">
        <v>304000</v>
      </c>
      <c r="O31" s="95">
        <v>18</v>
      </c>
      <c r="P31" s="96">
        <v>143</v>
      </c>
      <c r="Q31" s="97">
        <f t="shared" si="7"/>
        <v>12.587412587412587</v>
      </c>
      <c r="R31" s="106">
        <v>478000</v>
      </c>
      <c r="S31" s="96"/>
    </row>
    <row r="32" spans="1:19" x14ac:dyDescent="0.25">
      <c r="A32" s="107">
        <v>51427</v>
      </c>
      <c r="B32" s="96" t="s">
        <v>66</v>
      </c>
      <c r="C32" s="95">
        <v>0</v>
      </c>
      <c r="D32" s="96">
        <v>81</v>
      </c>
      <c r="E32" s="97">
        <f t="shared" si="4"/>
        <v>0</v>
      </c>
      <c r="F32" s="105">
        <v>0</v>
      </c>
      <c r="G32" s="95">
        <v>3</v>
      </c>
      <c r="H32" s="96">
        <v>81</v>
      </c>
      <c r="I32" s="97">
        <f t="shared" si="5"/>
        <v>3.7037037037037037</v>
      </c>
      <c r="J32" s="105">
        <v>53000</v>
      </c>
      <c r="K32" s="96">
        <v>3</v>
      </c>
      <c r="L32" s="96">
        <v>92</v>
      </c>
      <c r="M32" s="97">
        <f t="shared" si="6"/>
        <v>3.2608695652173911</v>
      </c>
      <c r="N32" s="106">
        <v>76000</v>
      </c>
      <c r="O32" s="95">
        <v>3</v>
      </c>
      <c r="P32" s="96">
        <v>103</v>
      </c>
      <c r="Q32" s="97">
        <f t="shared" si="7"/>
        <v>2.912621359223301</v>
      </c>
      <c r="R32" s="106">
        <v>77000</v>
      </c>
      <c r="S32" s="96"/>
    </row>
    <row r="33" spans="1:19" x14ac:dyDescent="0.25">
      <c r="A33" s="107">
        <v>51428</v>
      </c>
      <c r="B33" s="96" t="s">
        <v>48</v>
      </c>
      <c r="C33" s="95">
        <v>5</v>
      </c>
      <c r="D33" s="96">
        <v>76</v>
      </c>
      <c r="E33" s="97">
        <f t="shared" si="4"/>
        <v>6.5789473684210522</v>
      </c>
      <c r="F33" s="105">
        <v>72000</v>
      </c>
      <c r="G33" s="95">
        <v>8</v>
      </c>
      <c r="H33" s="96">
        <v>83</v>
      </c>
      <c r="I33" s="97">
        <f t="shared" si="5"/>
        <v>9.6385542168674707</v>
      </c>
      <c r="J33" s="105">
        <v>132000</v>
      </c>
      <c r="K33" s="96">
        <v>6</v>
      </c>
      <c r="L33" s="96">
        <v>81</v>
      </c>
      <c r="M33" s="97">
        <f t="shared" si="6"/>
        <v>7.4074074074074074</v>
      </c>
      <c r="N33" s="106">
        <v>149000</v>
      </c>
      <c r="O33" s="95">
        <v>8</v>
      </c>
      <c r="P33" s="96">
        <v>85</v>
      </c>
      <c r="Q33" s="97">
        <f t="shared" si="7"/>
        <v>9.4117647058823533</v>
      </c>
      <c r="R33" s="106">
        <v>206000</v>
      </c>
      <c r="S33" s="96"/>
    </row>
    <row r="34" spans="1:19" x14ac:dyDescent="0.25">
      <c r="A34" s="107">
        <v>51429</v>
      </c>
      <c r="B34" s="96" t="s">
        <v>49</v>
      </c>
      <c r="C34" s="95">
        <v>3</v>
      </c>
      <c r="D34" s="96">
        <v>63</v>
      </c>
      <c r="E34" s="97">
        <f t="shared" si="4"/>
        <v>4.7619047619047619</v>
      </c>
      <c r="F34" s="105">
        <v>44000</v>
      </c>
      <c r="G34" s="95">
        <v>3</v>
      </c>
      <c r="H34" s="96">
        <v>55</v>
      </c>
      <c r="I34" s="97">
        <f t="shared" si="5"/>
        <v>5.4545454545454541</v>
      </c>
      <c r="J34" s="105">
        <v>50000</v>
      </c>
      <c r="K34" s="96">
        <v>3</v>
      </c>
      <c r="L34" s="96">
        <v>68</v>
      </c>
      <c r="M34" s="97">
        <f t="shared" si="6"/>
        <v>4.4117647058823533</v>
      </c>
      <c r="N34" s="106">
        <v>76000</v>
      </c>
      <c r="O34" s="95">
        <v>3</v>
      </c>
      <c r="P34" s="96">
        <v>71</v>
      </c>
      <c r="Q34" s="97">
        <f t="shared" si="7"/>
        <v>4.225352112676056</v>
      </c>
      <c r="R34" s="106">
        <v>75000</v>
      </c>
      <c r="S34" s="96"/>
    </row>
    <row r="35" spans="1:19" x14ac:dyDescent="0.25">
      <c r="A35" s="107">
        <v>51430</v>
      </c>
      <c r="B35" s="96" t="s">
        <v>59</v>
      </c>
      <c r="C35" s="95">
        <v>0</v>
      </c>
      <c r="D35" s="96">
        <v>68</v>
      </c>
      <c r="E35" s="97">
        <f t="shared" si="4"/>
        <v>0</v>
      </c>
      <c r="F35" s="105">
        <v>0</v>
      </c>
      <c r="G35" s="95">
        <v>3</v>
      </c>
      <c r="H35" s="96">
        <v>71</v>
      </c>
      <c r="I35" s="97">
        <f t="shared" si="5"/>
        <v>4.225352112676056</v>
      </c>
      <c r="J35" s="105">
        <v>48000</v>
      </c>
      <c r="K35" s="96">
        <v>3</v>
      </c>
      <c r="L35" s="96">
        <v>69</v>
      </c>
      <c r="M35" s="97">
        <f t="shared" si="6"/>
        <v>4.3478260869565215</v>
      </c>
      <c r="N35" s="106">
        <v>82000</v>
      </c>
      <c r="O35" s="95">
        <v>3</v>
      </c>
      <c r="P35" s="96">
        <v>71</v>
      </c>
      <c r="Q35" s="97">
        <f t="shared" si="7"/>
        <v>4.225352112676056</v>
      </c>
      <c r="R35" s="106">
        <v>95000</v>
      </c>
      <c r="S35" s="96"/>
    </row>
    <row r="36" spans="1:19" x14ac:dyDescent="0.25">
      <c r="A36" s="107">
        <v>51431</v>
      </c>
      <c r="B36" s="96" t="s">
        <v>58</v>
      </c>
      <c r="C36" s="95">
        <v>29</v>
      </c>
      <c r="D36" s="96">
        <v>206</v>
      </c>
      <c r="E36" s="97">
        <f t="shared" si="4"/>
        <v>14.077669902912621</v>
      </c>
      <c r="F36" s="105">
        <v>561000</v>
      </c>
      <c r="G36" s="95">
        <v>20</v>
      </c>
      <c r="H36" s="96">
        <v>207</v>
      </c>
      <c r="I36" s="97">
        <f t="shared" si="5"/>
        <v>9.6618357487922708</v>
      </c>
      <c r="J36" s="105">
        <v>416000</v>
      </c>
      <c r="K36" s="96">
        <v>24</v>
      </c>
      <c r="L36" s="96">
        <v>237</v>
      </c>
      <c r="M36" s="97">
        <f t="shared" si="6"/>
        <v>10.126582278481013</v>
      </c>
      <c r="N36" s="106">
        <v>661000</v>
      </c>
      <c r="O36" s="95">
        <v>24</v>
      </c>
      <c r="P36" s="96">
        <v>242</v>
      </c>
      <c r="Q36" s="97">
        <f t="shared" si="7"/>
        <v>9.9173553719008272</v>
      </c>
      <c r="R36" s="106">
        <v>659000</v>
      </c>
      <c r="S36" s="96"/>
    </row>
    <row r="37" spans="1:19" x14ac:dyDescent="0.25">
      <c r="A37" s="107">
        <v>51432</v>
      </c>
      <c r="B37" s="96" t="s">
        <v>51</v>
      </c>
      <c r="C37" s="95">
        <v>29</v>
      </c>
      <c r="D37" s="96">
        <v>133</v>
      </c>
      <c r="E37" s="97">
        <f t="shared" si="4"/>
        <v>21.804511278195488</v>
      </c>
      <c r="F37" s="105">
        <v>936000</v>
      </c>
      <c r="G37" s="95">
        <v>24</v>
      </c>
      <c r="H37" s="96">
        <v>137</v>
      </c>
      <c r="I37" s="97">
        <f t="shared" si="5"/>
        <v>17.518248175182482</v>
      </c>
      <c r="J37" s="105">
        <v>903000</v>
      </c>
      <c r="K37" s="96">
        <v>25</v>
      </c>
      <c r="L37" s="96">
        <v>144</v>
      </c>
      <c r="M37" s="97">
        <f t="shared" si="6"/>
        <v>17.361111111111111</v>
      </c>
      <c r="N37" s="106">
        <v>653000</v>
      </c>
      <c r="O37" s="95">
        <v>26</v>
      </c>
      <c r="P37" s="96">
        <v>149</v>
      </c>
      <c r="Q37" s="97">
        <f t="shared" si="7"/>
        <v>17.449664429530202</v>
      </c>
      <c r="R37" s="106">
        <v>684000</v>
      </c>
      <c r="S37" s="96"/>
    </row>
    <row r="38" spans="1:19" x14ac:dyDescent="0.25">
      <c r="A38" s="39">
        <v>51433</v>
      </c>
      <c r="B38" s="96" t="s">
        <v>40</v>
      </c>
      <c r="C38" s="95">
        <v>12</v>
      </c>
      <c r="D38" s="96">
        <v>125</v>
      </c>
      <c r="E38" s="97">
        <f t="shared" si="4"/>
        <v>9.6</v>
      </c>
      <c r="F38" s="105">
        <v>183000</v>
      </c>
      <c r="G38" s="95">
        <v>24</v>
      </c>
      <c r="H38" s="96">
        <v>120</v>
      </c>
      <c r="I38" s="97">
        <f t="shared" si="5"/>
        <v>20</v>
      </c>
      <c r="J38" s="105">
        <v>880000</v>
      </c>
      <c r="K38" s="96">
        <v>27</v>
      </c>
      <c r="L38" s="96">
        <v>122</v>
      </c>
      <c r="M38" s="97">
        <f t="shared" si="6"/>
        <v>22.131147540983605</v>
      </c>
      <c r="N38" s="106">
        <v>732000</v>
      </c>
      <c r="O38" s="95">
        <v>31</v>
      </c>
      <c r="P38" s="96">
        <v>117</v>
      </c>
      <c r="Q38" s="97">
        <f t="shared" si="7"/>
        <v>26.495726495726494</v>
      </c>
      <c r="R38" s="106">
        <v>855000</v>
      </c>
      <c r="S38" s="96"/>
    </row>
    <row r="39" spans="1:19" x14ac:dyDescent="0.25">
      <c r="A39" s="39">
        <v>51434</v>
      </c>
      <c r="B39" s="96" t="s">
        <v>107</v>
      </c>
      <c r="C39" s="95">
        <v>20</v>
      </c>
      <c r="D39" s="96">
        <v>88</v>
      </c>
      <c r="E39" s="97">
        <f t="shared" si="4"/>
        <v>22.727272727272727</v>
      </c>
      <c r="F39" s="105">
        <v>852000</v>
      </c>
      <c r="G39" s="95">
        <v>15</v>
      </c>
      <c r="H39" s="96">
        <v>90</v>
      </c>
      <c r="I39" s="97">
        <f t="shared" si="5"/>
        <v>16.666666666666668</v>
      </c>
      <c r="J39" s="105">
        <v>637000</v>
      </c>
      <c r="K39" s="96">
        <v>21</v>
      </c>
      <c r="L39" s="96">
        <v>92</v>
      </c>
      <c r="M39" s="97">
        <f t="shared" si="6"/>
        <v>22.826086956521738</v>
      </c>
      <c r="N39" s="106">
        <v>563000</v>
      </c>
      <c r="O39" s="95">
        <v>19</v>
      </c>
      <c r="P39" s="96">
        <v>92</v>
      </c>
      <c r="Q39" s="97">
        <f t="shared" si="7"/>
        <v>20.652173913043477</v>
      </c>
      <c r="R39" s="106">
        <v>492000</v>
      </c>
      <c r="S39" s="96"/>
    </row>
    <row r="40" spans="1:19" x14ac:dyDescent="0.25">
      <c r="A40" s="39">
        <v>51435</v>
      </c>
      <c r="B40" s="96" t="s">
        <v>41</v>
      </c>
      <c r="C40" s="95">
        <v>40</v>
      </c>
      <c r="D40" s="96">
        <v>79</v>
      </c>
      <c r="E40" s="97">
        <f t="shared" si="4"/>
        <v>50.632911392405063</v>
      </c>
      <c r="F40" s="105">
        <v>1456000</v>
      </c>
      <c r="G40" s="95">
        <v>37</v>
      </c>
      <c r="H40" s="96">
        <v>72</v>
      </c>
      <c r="I40" s="97">
        <f t="shared" si="5"/>
        <v>51.388888888888886</v>
      </c>
      <c r="J40" s="105">
        <v>1202000</v>
      </c>
      <c r="K40" s="96">
        <v>29</v>
      </c>
      <c r="L40" s="96">
        <v>66</v>
      </c>
      <c r="M40" s="97">
        <f t="shared" si="6"/>
        <v>43.939393939393938</v>
      </c>
      <c r="N40" s="106">
        <v>804000</v>
      </c>
      <c r="O40" s="95">
        <v>31</v>
      </c>
      <c r="P40" s="96">
        <v>75</v>
      </c>
      <c r="Q40" s="97">
        <f t="shared" si="7"/>
        <v>41.333333333333336</v>
      </c>
      <c r="R40" s="106">
        <v>870000</v>
      </c>
      <c r="S40" s="96"/>
    </row>
    <row r="41" spans="1:19" x14ac:dyDescent="0.25">
      <c r="A41" s="107">
        <v>51436</v>
      </c>
      <c r="B41" s="96" t="s">
        <v>67</v>
      </c>
      <c r="C41" s="95">
        <v>6</v>
      </c>
      <c r="D41" s="96">
        <v>0</v>
      </c>
      <c r="E41" s="97"/>
      <c r="F41" s="105">
        <v>98000</v>
      </c>
      <c r="G41" s="95">
        <v>10</v>
      </c>
      <c r="H41" s="96">
        <v>141</v>
      </c>
      <c r="I41" s="97">
        <f t="shared" si="5"/>
        <v>7.0921985815602833</v>
      </c>
      <c r="J41" s="105">
        <v>168000</v>
      </c>
      <c r="K41" s="96">
        <v>8</v>
      </c>
      <c r="L41" s="96">
        <v>137</v>
      </c>
      <c r="M41" s="97">
        <f t="shared" si="6"/>
        <v>5.8394160583941606</v>
      </c>
      <c r="N41" s="106">
        <v>221000</v>
      </c>
      <c r="O41" s="95">
        <v>7</v>
      </c>
      <c r="P41" s="96">
        <v>144</v>
      </c>
      <c r="Q41" s="97">
        <f t="shared" si="7"/>
        <v>4.8611111111111107</v>
      </c>
      <c r="R41" s="106">
        <v>185000</v>
      </c>
      <c r="S41" s="96"/>
    </row>
    <row r="42" spans="1:19" x14ac:dyDescent="0.25">
      <c r="A42" s="39">
        <v>51437</v>
      </c>
      <c r="B42" s="96" t="s">
        <v>0</v>
      </c>
      <c r="C42" s="95">
        <v>48</v>
      </c>
      <c r="D42" s="96">
        <v>117</v>
      </c>
      <c r="E42" s="97">
        <f t="shared" ref="E42:E50" si="8">C42*100/D42</f>
        <v>41.025641025641029</v>
      </c>
      <c r="F42" s="105">
        <v>1728000</v>
      </c>
      <c r="G42" s="95">
        <v>56</v>
      </c>
      <c r="H42" s="96">
        <v>110</v>
      </c>
      <c r="I42" s="97">
        <f t="shared" si="5"/>
        <v>50.909090909090907</v>
      </c>
      <c r="J42" s="105">
        <v>1750000</v>
      </c>
      <c r="K42" s="96">
        <v>54</v>
      </c>
      <c r="L42" s="96">
        <v>111</v>
      </c>
      <c r="M42" s="97">
        <f t="shared" si="6"/>
        <v>48.648648648648646</v>
      </c>
      <c r="N42" s="106">
        <v>1476000</v>
      </c>
      <c r="O42" s="95">
        <v>45</v>
      </c>
      <c r="P42" s="96">
        <v>105</v>
      </c>
      <c r="Q42" s="97">
        <f t="shared" si="7"/>
        <v>42.857142857142854</v>
      </c>
      <c r="R42" s="106">
        <v>1250000</v>
      </c>
      <c r="S42" s="96"/>
    </row>
    <row r="43" spans="1:19" x14ac:dyDescent="0.25">
      <c r="A43" s="107">
        <v>51438</v>
      </c>
      <c r="B43" s="96" t="s">
        <v>52</v>
      </c>
      <c r="C43" s="95">
        <v>21</v>
      </c>
      <c r="D43" s="96">
        <v>69</v>
      </c>
      <c r="E43" s="97">
        <f t="shared" si="8"/>
        <v>30.434782608695652</v>
      </c>
      <c r="F43" s="105">
        <v>631000</v>
      </c>
      <c r="G43" s="95">
        <v>21</v>
      </c>
      <c r="H43" s="96">
        <v>70</v>
      </c>
      <c r="I43" s="97">
        <f t="shared" si="5"/>
        <v>30</v>
      </c>
      <c r="J43" s="105">
        <v>641000</v>
      </c>
      <c r="K43" s="96">
        <v>16</v>
      </c>
      <c r="L43" s="96">
        <v>60</v>
      </c>
      <c r="M43" s="97">
        <f t="shared" si="6"/>
        <v>26.666666666666668</v>
      </c>
      <c r="N43" s="106">
        <v>428000</v>
      </c>
      <c r="O43" s="95">
        <v>10</v>
      </c>
      <c r="P43" s="96">
        <v>60</v>
      </c>
      <c r="Q43" s="97">
        <f t="shared" si="7"/>
        <v>16.666666666666668</v>
      </c>
      <c r="R43" s="106">
        <v>268000</v>
      </c>
      <c r="S43" s="96"/>
    </row>
    <row r="44" spans="1:19" x14ac:dyDescent="0.25">
      <c r="A44" s="107">
        <v>51439</v>
      </c>
      <c r="B44" s="96" t="s">
        <v>53</v>
      </c>
      <c r="C44" s="95">
        <v>3</v>
      </c>
      <c r="D44" s="96">
        <v>39</v>
      </c>
      <c r="E44" s="97">
        <f t="shared" si="8"/>
        <v>7.6923076923076925</v>
      </c>
      <c r="F44" s="105">
        <v>40000</v>
      </c>
      <c r="G44" s="95">
        <v>3</v>
      </c>
      <c r="H44" s="96">
        <v>43</v>
      </c>
      <c r="I44" s="97">
        <f t="shared" si="5"/>
        <v>6.9767441860465116</v>
      </c>
      <c r="J44" s="105">
        <v>52000</v>
      </c>
      <c r="K44" s="96">
        <v>3</v>
      </c>
      <c r="L44" s="96">
        <v>48</v>
      </c>
      <c r="M44" s="97">
        <f t="shared" si="6"/>
        <v>6.25</v>
      </c>
      <c r="N44" s="106">
        <v>76000</v>
      </c>
      <c r="O44" s="95">
        <v>3</v>
      </c>
      <c r="P44" s="96">
        <v>41</v>
      </c>
      <c r="Q44" s="97">
        <f t="shared" si="7"/>
        <v>7.3170731707317076</v>
      </c>
      <c r="R44" s="106">
        <v>84000</v>
      </c>
      <c r="S44" s="96"/>
    </row>
    <row r="45" spans="1:19" x14ac:dyDescent="0.25">
      <c r="A45" s="107">
        <v>51440</v>
      </c>
      <c r="B45" s="96" t="s">
        <v>68</v>
      </c>
      <c r="C45" s="95">
        <v>6</v>
      </c>
      <c r="D45" s="96">
        <v>67</v>
      </c>
      <c r="E45" s="97">
        <f t="shared" si="8"/>
        <v>8.9552238805970141</v>
      </c>
      <c r="F45" s="105">
        <v>92000</v>
      </c>
      <c r="G45" s="95">
        <v>6</v>
      </c>
      <c r="H45" s="96">
        <v>69</v>
      </c>
      <c r="I45" s="97">
        <f t="shared" si="5"/>
        <v>8.695652173913043</v>
      </c>
      <c r="J45" s="105">
        <v>110000</v>
      </c>
      <c r="K45" s="96">
        <v>8</v>
      </c>
      <c r="L45" s="96">
        <v>71</v>
      </c>
      <c r="M45" s="97">
        <f t="shared" si="6"/>
        <v>11.267605633802816</v>
      </c>
      <c r="N45" s="106">
        <v>209000</v>
      </c>
      <c r="O45" s="95">
        <v>7</v>
      </c>
      <c r="P45" s="96">
        <v>82</v>
      </c>
      <c r="Q45" s="97">
        <f t="shared" si="7"/>
        <v>8.536585365853659</v>
      </c>
      <c r="R45" s="106">
        <v>185000</v>
      </c>
      <c r="S45" s="96"/>
    </row>
    <row r="46" spans="1:19" x14ac:dyDescent="0.25">
      <c r="A46" s="107">
        <v>51441</v>
      </c>
      <c r="B46" s="96" t="s">
        <v>54</v>
      </c>
      <c r="C46" s="95">
        <v>0</v>
      </c>
      <c r="D46" s="96">
        <v>99</v>
      </c>
      <c r="E46" s="97">
        <f t="shared" si="8"/>
        <v>0</v>
      </c>
      <c r="F46" s="105">
        <v>0</v>
      </c>
      <c r="G46" s="95">
        <v>3</v>
      </c>
      <c r="H46" s="96">
        <v>100</v>
      </c>
      <c r="I46" s="97">
        <f t="shared" si="5"/>
        <v>3</v>
      </c>
      <c r="J46" s="105">
        <v>53000</v>
      </c>
      <c r="K46" s="96">
        <v>0</v>
      </c>
      <c r="L46" s="96">
        <v>95</v>
      </c>
      <c r="M46" s="97">
        <f t="shared" si="6"/>
        <v>0</v>
      </c>
      <c r="N46" s="106">
        <v>0</v>
      </c>
      <c r="O46" s="95">
        <v>3</v>
      </c>
      <c r="P46" s="96">
        <v>92</v>
      </c>
      <c r="Q46" s="97">
        <f t="shared" si="7"/>
        <v>3.2608695652173911</v>
      </c>
      <c r="R46" s="106">
        <v>83000</v>
      </c>
      <c r="S46" s="96"/>
    </row>
    <row r="47" spans="1:19" x14ac:dyDescent="0.25">
      <c r="A47" s="107">
        <v>51442</v>
      </c>
      <c r="B47" s="96" t="s">
        <v>55</v>
      </c>
      <c r="C47" s="95">
        <v>5</v>
      </c>
      <c r="D47" s="96">
        <v>99</v>
      </c>
      <c r="E47" s="97">
        <f t="shared" si="8"/>
        <v>5.0505050505050502</v>
      </c>
      <c r="F47" s="105">
        <v>74000</v>
      </c>
      <c r="G47" s="95">
        <v>5</v>
      </c>
      <c r="H47" s="95">
        <v>96</v>
      </c>
      <c r="I47" s="97">
        <f t="shared" si="5"/>
        <v>5.208333333333333</v>
      </c>
      <c r="J47" s="105">
        <v>82000</v>
      </c>
      <c r="K47" s="95">
        <v>5</v>
      </c>
      <c r="L47" s="95">
        <v>90</v>
      </c>
      <c r="M47" s="97">
        <f t="shared" si="6"/>
        <v>5.5555555555555554</v>
      </c>
      <c r="N47" s="106">
        <v>132000</v>
      </c>
      <c r="O47" s="95">
        <v>8</v>
      </c>
      <c r="P47" s="95">
        <v>93</v>
      </c>
      <c r="Q47" s="97">
        <f t="shared" si="7"/>
        <v>8.6021505376344081</v>
      </c>
      <c r="R47" s="106">
        <v>207000</v>
      </c>
      <c r="S47" s="96"/>
    </row>
    <row r="48" spans="1:19" x14ac:dyDescent="0.25">
      <c r="A48" s="107">
        <v>60000</v>
      </c>
      <c r="B48" s="107" t="s">
        <v>111</v>
      </c>
      <c r="C48" s="95">
        <f>SUM(C4:C47)</f>
        <v>375</v>
      </c>
      <c r="D48" s="106">
        <f>SUM(D4:D47)</f>
        <v>3549</v>
      </c>
      <c r="E48" s="97">
        <f t="shared" si="8"/>
        <v>10.566356720202874</v>
      </c>
      <c r="F48" s="105">
        <f>SUM(F4:F47)</f>
        <v>9727000</v>
      </c>
      <c r="G48" s="95">
        <f>SUM(G4:G47)</f>
        <v>377</v>
      </c>
      <c r="H48" s="95">
        <f>SUM(H4:H47)</f>
        <v>3638</v>
      </c>
      <c r="I48" s="97">
        <f t="shared" si="5"/>
        <v>10.362836723474436</v>
      </c>
      <c r="J48" s="105">
        <f>SUM(J4:J47)</f>
        <v>10330000</v>
      </c>
      <c r="K48" s="95">
        <f>SUM(K4:K47)</f>
        <v>393</v>
      </c>
      <c r="L48" s="95">
        <f>SUM(L4:L47)</f>
        <v>3758</v>
      </c>
      <c r="M48" s="97">
        <f t="shared" si="6"/>
        <v>10.457690260777008</v>
      </c>
      <c r="N48" s="106">
        <f>SUM(N4:N47)</f>
        <v>10478000</v>
      </c>
      <c r="O48" s="95">
        <f>SUM(O4:O47)</f>
        <v>406</v>
      </c>
      <c r="P48" s="95">
        <f>SUM(P4:P47)</f>
        <v>3874</v>
      </c>
      <c r="Q48" s="97">
        <f t="shared" si="7"/>
        <v>10.480123902942696</v>
      </c>
      <c r="R48" s="106">
        <f>SUM(R4:R47)</f>
        <v>10983000</v>
      </c>
    </row>
    <row r="49" spans="1:18" x14ac:dyDescent="0.25">
      <c r="A49" s="96" t="s">
        <v>135</v>
      </c>
      <c r="B49" s="107" t="s">
        <v>136</v>
      </c>
      <c r="C49" s="95">
        <f>SUM(C12:C47)</f>
        <v>363</v>
      </c>
      <c r="D49" s="106">
        <f>SUM(D12:D47)</f>
        <v>3213</v>
      </c>
      <c r="E49" s="97">
        <f t="shared" si="8"/>
        <v>11.297852474323063</v>
      </c>
      <c r="F49" s="105">
        <f>SUM(F12:F47)</f>
        <v>9554000</v>
      </c>
      <c r="G49" s="95">
        <f>SUM(G12:G47)</f>
        <v>362</v>
      </c>
      <c r="H49" s="95">
        <f>SUM(H12:H47)</f>
        <v>3298</v>
      </c>
      <c r="I49" s="97">
        <f t="shared" si="5"/>
        <v>10.976349302607641</v>
      </c>
      <c r="J49" s="105">
        <f>SUM(J12:J47)</f>
        <v>10087000</v>
      </c>
      <c r="K49" s="95">
        <f>SUM(K12:K47)</f>
        <v>375</v>
      </c>
      <c r="L49" s="95">
        <f>SUM(L12:L47)</f>
        <v>3391</v>
      </c>
      <c r="M49" s="97">
        <f t="shared" si="6"/>
        <v>11.058684753759954</v>
      </c>
      <c r="N49" s="106">
        <f>SUM(N12:N47)</f>
        <v>10017000</v>
      </c>
      <c r="O49" s="95">
        <f>SUM(O12:O47)</f>
        <v>388</v>
      </c>
      <c r="P49" s="95">
        <f>SUM(P12:P47)</f>
        <v>3504</v>
      </c>
      <c r="Q49" s="97">
        <f t="shared" si="7"/>
        <v>11.073059360730594</v>
      </c>
      <c r="R49" s="106">
        <f>SUM(R12:R47)</f>
        <v>10510000</v>
      </c>
    </row>
    <row r="50" spans="1:18" x14ac:dyDescent="0.25">
      <c r="A50" s="96" t="s">
        <v>137</v>
      </c>
      <c r="B50" s="107" t="s">
        <v>138</v>
      </c>
      <c r="C50" s="110">
        <f>SUM(C4:C11)</f>
        <v>12</v>
      </c>
      <c r="D50" s="111">
        <f>SUM(D4:D11)</f>
        <v>336</v>
      </c>
      <c r="E50" s="112">
        <f t="shared" si="8"/>
        <v>3.5714285714285716</v>
      </c>
      <c r="F50" s="113">
        <f>SUM(F4:F11)</f>
        <v>173000</v>
      </c>
      <c r="G50" s="110">
        <f>SUM(G4:G11)</f>
        <v>15</v>
      </c>
      <c r="H50" s="114">
        <f>SUM(H4:H11)</f>
        <v>340</v>
      </c>
      <c r="I50" s="112">
        <f t="shared" si="5"/>
        <v>4.4117647058823533</v>
      </c>
      <c r="J50" s="113">
        <f>SUM(J4:J11)</f>
        <v>243000</v>
      </c>
      <c r="K50" s="96">
        <f>SUM(K4:K11)</f>
        <v>18</v>
      </c>
      <c r="L50" s="96">
        <f>SUM(L4:L11)</f>
        <v>367</v>
      </c>
      <c r="M50" s="97">
        <f t="shared" si="6"/>
        <v>4.9046321525885554</v>
      </c>
      <c r="N50" s="106">
        <f>SUM(N4:N11)</f>
        <v>461000</v>
      </c>
      <c r="O50" s="95">
        <f>SUM(O4:O11)</f>
        <v>18</v>
      </c>
      <c r="P50" s="96">
        <f>SUM(P4:P11)</f>
        <v>370</v>
      </c>
      <c r="Q50" s="97">
        <f t="shared" si="7"/>
        <v>4.8648648648648649</v>
      </c>
      <c r="R50" s="106">
        <f>SUM(R4:R11)</f>
        <v>473000</v>
      </c>
    </row>
    <row r="51" spans="1:18" x14ac:dyDescent="0.25">
      <c r="F51" s="97"/>
      <c r="J51" s="97"/>
      <c r="N51" s="97"/>
      <c r="R51" s="97"/>
    </row>
    <row r="52" spans="1:18" x14ac:dyDescent="0.25">
      <c r="F52" s="106">
        <f>10397000-F47</f>
        <v>10323000</v>
      </c>
      <c r="J52" s="97"/>
      <c r="N52" s="97"/>
      <c r="R52" s="97"/>
    </row>
    <row r="53" spans="1:18" x14ac:dyDescent="0.25">
      <c r="F53" s="97"/>
      <c r="J53" s="97"/>
      <c r="N53" s="97"/>
      <c r="R53" s="97"/>
    </row>
    <row r="54" spans="1:18" x14ac:dyDescent="0.25">
      <c r="F54" s="97"/>
      <c r="J54" s="97"/>
      <c r="N54" s="97"/>
      <c r="R54" s="97"/>
    </row>
    <row r="55" spans="1:18" x14ac:dyDescent="0.25">
      <c r="F55" s="97"/>
      <c r="J55" s="97"/>
      <c r="N55" s="97"/>
      <c r="R55" s="97"/>
    </row>
    <row r="56" spans="1:18" x14ac:dyDescent="0.25">
      <c r="F56" s="97"/>
      <c r="J56" s="97"/>
      <c r="N56" s="97"/>
      <c r="R56" s="97"/>
    </row>
  </sheetData>
  <sortState ref="A3:N50">
    <sortCondition ref="A3"/>
  </sortState>
  <mergeCells count="4">
    <mergeCell ref="C1:F1"/>
    <mergeCell ref="G1:J1"/>
    <mergeCell ref="K1:N1"/>
    <mergeCell ref="O1:R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P60"/>
  <sheetViews>
    <sheetView workbookViewId="0">
      <pane xSplit="7" ySplit="2" topLeftCell="H3" activePane="bottomRight" state="frozen"/>
      <selection activeCell="C1" sqref="C1:F1"/>
      <selection pane="topRight" activeCell="C1" sqref="C1:F1"/>
      <selection pane="bottomLeft" activeCell="C1" sqref="C1:F1"/>
      <selection pane="bottomRight" activeCell="C1" sqref="C1:F1"/>
    </sheetView>
  </sheetViews>
  <sheetFormatPr defaultRowHeight="15" x14ac:dyDescent="0.25"/>
  <cols>
    <col min="2" max="2" width="51.85546875" bestFit="1" customWidth="1"/>
    <col min="3" max="3" width="21.85546875" bestFit="1" customWidth="1"/>
    <col min="4" max="4" width="9" customWidth="1"/>
    <col min="5" max="6" width="10.7109375" customWidth="1"/>
    <col min="7" max="7" width="21.85546875" bestFit="1" customWidth="1"/>
    <col min="8" max="15" width="10.7109375" customWidth="1"/>
  </cols>
  <sheetData>
    <row r="1" spans="1:16" s="1" customFormat="1" x14ac:dyDescent="0.25">
      <c r="C1" s="1" t="s">
        <v>94</v>
      </c>
      <c r="D1" s="1" t="s">
        <v>96</v>
      </c>
      <c r="G1" s="39" t="s">
        <v>100</v>
      </c>
      <c r="H1" s="1" t="s">
        <v>96</v>
      </c>
      <c r="K1" s="1" t="s">
        <v>101</v>
      </c>
    </row>
    <row r="2" spans="1:16" x14ac:dyDescent="0.25">
      <c r="A2" s="26" t="s">
        <v>23</v>
      </c>
      <c r="B2" s="26" t="s">
        <v>74</v>
      </c>
      <c r="C2" t="s">
        <v>95</v>
      </c>
      <c r="D2" t="s">
        <v>97</v>
      </c>
      <c r="E2" t="s">
        <v>98</v>
      </c>
      <c r="F2" t="s">
        <v>99</v>
      </c>
      <c r="G2" s="39" t="s">
        <v>95</v>
      </c>
      <c r="H2" s="1" t="s">
        <v>97</v>
      </c>
      <c r="I2" s="1" t="s">
        <v>98</v>
      </c>
      <c r="J2" s="1" t="s">
        <v>99</v>
      </c>
      <c r="K2" s="1" t="s">
        <v>95</v>
      </c>
      <c r="L2" s="1" t="s">
        <v>97</v>
      </c>
      <c r="M2" s="1" t="s">
        <v>98</v>
      </c>
      <c r="N2" s="1" t="s">
        <v>99</v>
      </c>
      <c r="P2" t="s">
        <v>99</v>
      </c>
    </row>
    <row r="3" spans="1:16" x14ac:dyDescent="0.25">
      <c r="A3" s="22">
        <v>51401</v>
      </c>
      <c r="B3" s="22" t="s">
        <v>28</v>
      </c>
      <c r="C3" s="139" t="s">
        <v>208</v>
      </c>
      <c r="D3" s="139" t="s">
        <v>208</v>
      </c>
      <c r="E3" s="139" t="s">
        <v>208</v>
      </c>
      <c r="F3" s="139" t="s">
        <v>208</v>
      </c>
      <c r="G3" s="39">
        <f>22+6</f>
        <v>28</v>
      </c>
      <c r="H3" s="39">
        <f t="shared" ref="H3:H8" si="0">+G3-I3-J3</f>
        <v>18</v>
      </c>
      <c r="I3" s="39">
        <f>3+1</f>
        <v>4</v>
      </c>
      <c r="J3" s="39">
        <f>3+2+1</f>
        <v>6</v>
      </c>
      <c r="K3" s="2"/>
      <c r="L3" s="2"/>
      <c r="M3" s="2"/>
      <c r="N3" s="2"/>
      <c r="O3" s="22"/>
    </row>
    <row r="4" spans="1:16" x14ac:dyDescent="0.25">
      <c r="A4" s="22">
        <v>51421</v>
      </c>
      <c r="B4" s="22" t="s">
        <v>29</v>
      </c>
      <c r="C4" s="139" t="s">
        <v>208</v>
      </c>
      <c r="D4" s="139" t="s">
        <v>208</v>
      </c>
      <c r="E4" s="139" t="s">
        <v>208</v>
      </c>
      <c r="F4" s="139" t="s">
        <v>208</v>
      </c>
      <c r="G4" s="39">
        <v>167</v>
      </c>
      <c r="H4" s="39">
        <f t="shared" si="0"/>
        <v>143</v>
      </c>
      <c r="I4" s="39">
        <v>10</v>
      </c>
      <c r="J4" s="39">
        <f>1+5+8</f>
        <v>14</v>
      </c>
      <c r="K4" s="2"/>
      <c r="L4" s="2"/>
      <c r="M4" s="2"/>
      <c r="N4" s="2"/>
      <c r="O4" s="22"/>
    </row>
    <row r="5" spans="1:16" x14ac:dyDescent="0.25">
      <c r="A5" s="22">
        <v>51402</v>
      </c>
      <c r="B5" s="22" t="s">
        <v>30</v>
      </c>
      <c r="C5" s="139" t="s">
        <v>208</v>
      </c>
      <c r="D5" s="139" t="s">
        <v>208</v>
      </c>
      <c r="E5" s="139" t="s">
        <v>208</v>
      </c>
      <c r="F5" s="139" t="s">
        <v>208</v>
      </c>
      <c r="G5" s="39">
        <v>22</v>
      </c>
      <c r="H5" s="39">
        <f t="shared" si="0"/>
        <v>20</v>
      </c>
      <c r="I5" s="39">
        <v>0</v>
      </c>
      <c r="J5" s="39">
        <f>1+1</f>
        <v>2</v>
      </c>
      <c r="K5" s="2"/>
      <c r="L5" s="2"/>
      <c r="M5" s="2"/>
      <c r="N5" s="2"/>
      <c r="O5" s="22"/>
    </row>
    <row r="6" spans="1:16" x14ac:dyDescent="0.25">
      <c r="A6" s="22">
        <v>51404</v>
      </c>
      <c r="B6" s="22" t="s">
        <v>31</v>
      </c>
      <c r="C6" s="139" t="s">
        <v>208</v>
      </c>
      <c r="D6" s="139" t="s">
        <v>208</v>
      </c>
      <c r="E6" s="139" t="s">
        <v>208</v>
      </c>
      <c r="F6" s="139" t="s">
        <v>208</v>
      </c>
      <c r="G6" s="39">
        <v>71</v>
      </c>
      <c r="H6" s="39">
        <f t="shared" si="0"/>
        <v>20</v>
      </c>
      <c r="I6" s="39">
        <v>2</v>
      </c>
      <c r="J6" s="39">
        <f>34+9+6</f>
        <v>49</v>
      </c>
      <c r="K6" s="2"/>
      <c r="L6" s="2"/>
      <c r="M6" s="2"/>
      <c r="N6" s="2"/>
      <c r="O6" s="22"/>
    </row>
    <row r="7" spans="1:16" x14ac:dyDescent="0.25">
      <c r="A7" s="22">
        <v>51406</v>
      </c>
      <c r="B7" s="22" t="s">
        <v>32</v>
      </c>
      <c r="C7" s="139" t="s">
        <v>208</v>
      </c>
      <c r="D7" s="139" t="s">
        <v>208</v>
      </c>
      <c r="E7" s="139" t="s">
        <v>208</v>
      </c>
      <c r="F7" s="139" t="s">
        <v>208</v>
      </c>
      <c r="G7" s="39">
        <v>43</v>
      </c>
      <c r="H7" s="39">
        <f t="shared" si="0"/>
        <v>31</v>
      </c>
      <c r="I7" s="39">
        <v>2</v>
      </c>
      <c r="J7" s="39">
        <f>2+4+4</f>
        <v>10</v>
      </c>
      <c r="K7" s="2"/>
      <c r="L7" s="2"/>
      <c r="M7" s="2"/>
      <c r="N7" s="2"/>
      <c r="O7" s="22"/>
    </row>
    <row r="8" spans="1:16" x14ac:dyDescent="0.25">
      <c r="A8" s="22">
        <v>51407</v>
      </c>
      <c r="B8" s="22" t="s">
        <v>33</v>
      </c>
      <c r="C8" s="139" t="s">
        <v>208</v>
      </c>
      <c r="D8" s="139" t="s">
        <v>208</v>
      </c>
      <c r="E8" s="139" t="s">
        <v>208</v>
      </c>
      <c r="F8" s="139" t="s">
        <v>208</v>
      </c>
      <c r="G8" s="39">
        <v>24</v>
      </c>
      <c r="H8" s="39">
        <f t="shared" si="0"/>
        <v>15</v>
      </c>
      <c r="I8" s="39">
        <v>0</v>
      </c>
      <c r="J8" s="39">
        <f>1+3+5</f>
        <v>9</v>
      </c>
      <c r="K8" s="2"/>
      <c r="L8" s="2"/>
      <c r="M8" s="2"/>
      <c r="N8" s="2"/>
      <c r="O8" s="22"/>
    </row>
    <row r="9" spans="1:16" x14ac:dyDescent="0.25">
      <c r="A9" s="22">
        <v>51422</v>
      </c>
      <c r="B9" s="22" t="s">
        <v>105</v>
      </c>
      <c r="C9" s="139" t="s">
        <v>208</v>
      </c>
      <c r="D9" s="139" t="s">
        <v>208</v>
      </c>
      <c r="E9" s="139" t="s">
        <v>208</v>
      </c>
      <c r="F9" s="139" t="s">
        <v>208</v>
      </c>
      <c r="G9" s="39">
        <f>1+6+11+7+36+10+16+6+1</f>
        <v>94</v>
      </c>
      <c r="H9" s="1">
        <f t="shared" ref="H9:H19" si="1">+G9-I9-J9</f>
        <v>69</v>
      </c>
      <c r="I9" s="39">
        <v>7</v>
      </c>
      <c r="J9" s="39">
        <f>1+6+11</f>
        <v>18</v>
      </c>
      <c r="K9" s="2"/>
      <c r="L9" s="2"/>
      <c r="M9" s="2"/>
      <c r="N9" s="2"/>
      <c r="O9" s="22"/>
    </row>
    <row r="10" spans="1:16" x14ac:dyDescent="0.25">
      <c r="A10" s="22">
        <v>51432</v>
      </c>
      <c r="B10" s="22" t="s">
        <v>51</v>
      </c>
      <c r="C10" s="139" t="s">
        <v>208</v>
      </c>
      <c r="D10" s="139" t="s">
        <v>208</v>
      </c>
      <c r="E10" s="139" t="s">
        <v>208</v>
      </c>
      <c r="F10" s="139" t="s">
        <v>208</v>
      </c>
      <c r="G10" s="39">
        <f>4+10+9+8+24+7+13+4+0</f>
        <v>79</v>
      </c>
      <c r="H10" s="39">
        <f t="shared" si="1"/>
        <v>48</v>
      </c>
      <c r="I10" s="39">
        <v>8</v>
      </c>
      <c r="J10" s="39">
        <f>4+10+9</f>
        <v>23</v>
      </c>
      <c r="K10" s="2"/>
      <c r="L10" s="2"/>
      <c r="M10" s="2"/>
      <c r="N10" s="2"/>
      <c r="O10" s="22"/>
    </row>
    <row r="11" spans="1:16" x14ac:dyDescent="0.25">
      <c r="A11" s="22">
        <v>51428</v>
      </c>
      <c r="B11" s="22" t="s">
        <v>48</v>
      </c>
      <c r="C11" s="139" t="s">
        <v>208</v>
      </c>
      <c r="D11" s="139" t="s">
        <v>208</v>
      </c>
      <c r="E11" s="139" t="s">
        <v>208</v>
      </c>
      <c r="F11" s="139" t="s">
        <v>208</v>
      </c>
      <c r="G11" s="39">
        <f>0+0+2+2+15+4+4+0+1</f>
        <v>28</v>
      </c>
      <c r="H11" s="39">
        <f t="shared" si="1"/>
        <v>24</v>
      </c>
      <c r="I11" s="39">
        <v>2</v>
      </c>
      <c r="J11" s="39">
        <v>2</v>
      </c>
      <c r="K11" s="2"/>
      <c r="L11" s="2"/>
      <c r="M11" s="2"/>
      <c r="N11" s="2"/>
      <c r="O11" s="22"/>
    </row>
    <row r="12" spans="1:16" x14ac:dyDescent="0.25">
      <c r="A12" s="22">
        <v>51438</v>
      </c>
      <c r="B12" s="22" t="s">
        <v>52</v>
      </c>
      <c r="C12" s="139" t="s">
        <v>208</v>
      </c>
      <c r="D12" s="139" t="s">
        <v>208</v>
      </c>
      <c r="E12" s="139" t="s">
        <v>208</v>
      </c>
      <c r="F12" s="139" t="s">
        <v>208</v>
      </c>
      <c r="G12" s="39">
        <f>3+2+8+3+37+7+5+2+0</f>
        <v>67</v>
      </c>
      <c r="H12" s="39">
        <f t="shared" si="1"/>
        <v>51</v>
      </c>
      <c r="I12" s="39">
        <v>3</v>
      </c>
      <c r="J12" s="39">
        <f>3+2+8</f>
        <v>13</v>
      </c>
      <c r="K12" s="2"/>
      <c r="L12" s="2"/>
      <c r="M12" s="2"/>
      <c r="N12" s="2"/>
      <c r="O12" s="22"/>
    </row>
    <row r="13" spans="1:16" x14ac:dyDescent="0.25">
      <c r="A13" s="22">
        <v>51405</v>
      </c>
      <c r="B13" s="22" t="s">
        <v>34</v>
      </c>
      <c r="C13" s="139" t="s">
        <v>208</v>
      </c>
      <c r="D13" s="139" t="s">
        <v>208</v>
      </c>
      <c r="E13" s="139" t="s">
        <v>208</v>
      </c>
      <c r="F13" s="139" t="s">
        <v>208</v>
      </c>
      <c r="G13" s="39">
        <v>134</v>
      </c>
      <c r="H13" s="39">
        <f t="shared" si="1"/>
        <v>77</v>
      </c>
      <c r="I13" s="39">
        <v>13</v>
      </c>
      <c r="J13" s="39">
        <f>12+17+15</f>
        <v>44</v>
      </c>
      <c r="K13" s="2"/>
      <c r="L13" s="2"/>
      <c r="M13" s="2"/>
      <c r="N13" s="2"/>
      <c r="O13" s="22"/>
    </row>
    <row r="14" spans="1:16" x14ac:dyDescent="0.25">
      <c r="A14" s="22">
        <v>30824</v>
      </c>
      <c r="B14" s="22" t="s">
        <v>62</v>
      </c>
      <c r="C14" s="139" t="s">
        <v>208</v>
      </c>
      <c r="D14" s="139" t="s">
        <v>208</v>
      </c>
      <c r="E14" s="139" t="s">
        <v>208</v>
      </c>
      <c r="F14" s="139" t="s">
        <v>208</v>
      </c>
      <c r="G14" s="39">
        <v>10</v>
      </c>
      <c r="H14" s="1">
        <f t="shared" si="1"/>
        <v>2</v>
      </c>
      <c r="I14" s="39">
        <v>0</v>
      </c>
      <c r="J14">
        <f>4+4</f>
        <v>8</v>
      </c>
      <c r="O14" s="27"/>
    </row>
    <row r="15" spans="1:16" x14ac:dyDescent="0.25">
      <c r="A15" s="22">
        <v>51409</v>
      </c>
      <c r="B15" s="22" t="s">
        <v>35</v>
      </c>
      <c r="C15" s="139" t="s">
        <v>208</v>
      </c>
      <c r="D15" s="139" t="s">
        <v>208</v>
      </c>
      <c r="E15" s="139" t="s">
        <v>208</v>
      </c>
      <c r="F15" s="139" t="s">
        <v>208</v>
      </c>
      <c r="G15" s="39">
        <v>44</v>
      </c>
      <c r="H15" s="1">
        <f t="shared" si="1"/>
        <v>37</v>
      </c>
      <c r="I15" s="39">
        <v>1</v>
      </c>
      <c r="J15">
        <f>3+3</f>
        <v>6</v>
      </c>
      <c r="O15" s="22"/>
      <c r="P15" t="s">
        <v>98</v>
      </c>
    </row>
    <row r="16" spans="1:16" x14ac:dyDescent="0.25">
      <c r="A16" s="22">
        <v>51423</v>
      </c>
      <c r="B16" s="22" t="s">
        <v>60</v>
      </c>
      <c r="C16" s="139" t="s">
        <v>208</v>
      </c>
      <c r="D16" s="139" t="s">
        <v>208</v>
      </c>
      <c r="E16" s="139" t="s">
        <v>208</v>
      </c>
      <c r="F16" s="139" t="s">
        <v>208</v>
      </c>
      <c r="G16" s="39">
        <f>1+1+7+4+6+4</f>
        <v>23</v>
      </c>
      <c r="H16" s="39">
        <f t="shared" si="1"/>
        <v>21</v>
      </c>
      <c r="I16" s="39">
        <v>1</v>
      </c>
      <c r="J16" s="39">
        <v>1</v>
      </c>
      <c r="O16" s="22"/>
    </row>
    <row r="17" spans="1:16" x14ac:dyDescent="0.25">
      <c r="A17" s="22">
        <v>51410</v>
      </c>
      <c r="B17" s="22" t="s">
        <v>36</v>
      </c>
      <c r="C17" s="139" t="s">
        <v>208</v>
      </c>
      <c r="D17" s="139" t="s">
        <v>208</v>
      </c>
      <c r="E17" s="139" t="s">
        <v>208</v>
      </c>
      <c r="F17" s="139" t="s">
        <v>208</v>
      </c>
      <c r="G17" s="39">
        <v>46</v>
      </c>
      <c r="H17" s="1">
        <f t="shared" si="1"/>
        <v>32</v>
      </c>
      <c r="I17" s="39">
        <v>3</v>
      </c>
      <c r="J17">
        <f>5+6</f>
        <v>11</v>
      </c>
      <c r="O17" s="22"/>
    </row>
    <row r="18" spans="1:16" x14ac:dyDescent="0.25">
      <c r="A18" s="22">
        <v>51424</v>
      </c>
      <c r="B18" s="22" t="s">
        <v>106</v>
      </c>
      <c r="C18" s="139" t="s">
        <v>208</v>
      </c>
      <c r="D18" s="139" t="s">
        <v>208</v>
      </c>
      <c r="E18" s="139" t="s">
        <v>208</v>
      </c>
      <c r="F18" s="139" t="s">
        <v>208</v>
      </c>
      <c r="G18" s="39">
        <v>213</v>
      </c>
      <c r="H18" s="1">
        <f t="shared" si="1"/>
        <v>182</v>
      </c>
      <c r="I18">
        <v>15</v>
      </c>
      <c r="J18">
        <f>1+6+9</f>
        <v>16</v>
      </c>
      <c r="O18" s="22"/>
    </row>
    <row r="19" spans="1:16" x14ac:dyDescent="0.25">
      <c r="A19" s="22">
        <v>51416</v>
      </c>
      <c r="B19" s="22" t="s">
        <v>37</v>
      </c>
      <c r="C19" s="139" t="s">
        <v>208</v>
      </c>
      <c r="D19" s="139" t="s">
        <v>208</v>
      </c>
      <c r="E19" s="139" t="s">
        <v>208</v>
      </c>
      <c r="F19" s="139" t="s">
        <v>208</v>
      </c>
      <c r="G19" s="39">
        <v>10</v>
      </c>
      <c r="H19" s="1">
        <f t="shared" si="1"/>
        <v>5</v>
      </c>
      <c r="I19" s="39">
        <v>2</v>
      </c>
      <c r="J19">
        <f>1+2</f>
        <v>3</v>
      </c>
      <c r="O19" s="22"/>
    </row>
    <row r="20" spans="1:16" x14ac:dyDescent="0.25">
      <c r="A20" s="22">
        <v>51420</v>
      </c>
      <c r="B20" s="22" t="s">
        <v>109</v>
      </c>
      <c r="C20" s="139" t="s">
        <v>208</v>
      </c>
      <c r="D20" s="139" t="s">
        <v>208</v>
      </c>
      <c r="E20" s="139" t="s">
        <v>208</v>
      </c>
      <c r="F20" s="139" t="s">
        <v>208</v>
      </c>
      <c r="G20" s="39">
        <f>2+8+6+4+8+6+5+3</f>
        <v>42</v>
      </c>
      <c r="H20" s="1">
        <f>+G20-I20-J20</f>
        <v>22</v>
      </c>
      <c r="I20" s="1">
        <v>4</v>
      </c>
      <c r="J20" s="1">
        <f>2+8+6</f>
        <v>16</v>
      </c>
      <c r="O20" s="22"/>
    </row>
    <row r="21" spans="1:16" x14ac:dyDescent="0.25">
      <c r="A21" s="22">
        <v>51425</v>
      </c>
      <c r="B21" s="22" t="s">
        <v>50</v>
      </c>
      <c r="C21" s="139" t="s">
        <v>208</v>
      </c>
      <c r="D21" s="139" t="s">
        <v>208</v>
      </c>
      <c r="E21" s="139" t="s">
        <v>208</v>
      </c>
      <c r="F21" s="139" t="s">
        <v>208</v>
      </c>
      <c r="G21" s="39">
        <v>106</v>
      </c>
      <c r="H21" s="1">
        <f t="shared" ref="H21:H51" si="2">+G21-I21-J21</f>
        <v>76</v>
      </c>
      <c r="I21">
        <v>11</v>
      </c>
      <c r="J21">
        <f>5+6+8</f>
        <v>19</v>
      </c>
      <c r="O21" s="22"/>
    </row>
    <row r="22" spans="1:16" x14ac:dyDescent="0.25">
      <c r="A22" s="22">
        <v>51427</v>
      </c>
      <c r="B22" s="22" t="s">
        <v>66</v>
      </c>
      <c r="C22" s="139" t="s">
        <v>208</v>
      </c>
      <c r="D22" s="139" t="s">
        <v>208</v>
      </c>
      <c r="E22" s="139" t="s">
        <v>208</v>
      </c>
      <c r="F22" s="139" t="s">
        <v>208</v>
      </c>
      <c r="G22" s="39">
        <f>2+3+2+2+1</f>
        <v>10</v>
      </c>
      <c r="H22" s="1">
        <f t="shared" si="2"/>
        <v>5</v>
      </c>
      <c r="I22">
        <v>3</v>
      </c>
      <c r="J22">
        <v>2</v>
      </c>
      <c r="O22" s="22"/>
    </row>
    <row r="23" spans="1:16" x14ac:dyDescent="0.25">
      <c r="A23" s="22">
        <v>51429</v>
      </c>
      <c r="B23" s="22" t="s">
        <v>49</v>
      </c>
      <c r="C23" s="139" t="s">
        <v>208</v>
      </c>
      <c r="D23" s="139" t="s">
        <v>208</v>
      </c>
      <c r="E23" s="139" t="s">
        <v>208</v>
      </c>
      <c r="F23" s="139" t="s">
        <v>208</v>
      </c>
      <c r="G23" s="39">
        <v>52</v>
      </c>
      <c r="H23" s="1">
        <f t="shared" si="2"/>
        <v>42</v>
      </c>
      <c r="I23">
        <v>3</v>
      </c>
      <c r="J23">
        <f>6+1</f>
        <v>7</v>
      </c>
      <c r="O23" s="22"/>
    </row>
    <row r="24" spans="1:16" x14ac:dyDescent="0.25">
      <c r="A24" s="22">
        <v>51430</v>
      </c>
      <c r="B24" s="22" t="s">
        <v>59</v>
      </c>
      <c r="C24" s="139" t="s">
        <v>208</v>
      </c>
      <c r="D24" s="139" t="s">
        <v>208</v>
      </c>
      <c r="E24" s="139" t="s">
        <v>208</v>
      </c>
      <c r="F24" s="139" t="s">
        <v>208</v>
      </c>
      <c r="G24" s="39">
        <v>10</v>
      </c>
      <c r="H24" s="1">
        <f t="shared" si="2"/>
        <v>8</v>
      </c>
      <c r="I24">
        <v>0</v>
      </c>
      <c r="J24">
        <v>2</v>
      </c>
      <c r="O24" s="22"/>
    </row>
    <row r="25" spans="1:16" x14ac:dyDescent="0.25">
      <c r="A25" s="22">
        <v>51431</v>
      </c>
      <c r="B25" s="22" t="s">
        <v>58</v>
      </c>
      <c r="C25" s="139" t="s">
        <v>208</v>
      </c>
      <c r="D25" s="139" t="s">
        <v>208</v>
      </c>
      <c r="E25" s="139" t="s">
        <v>208</v>
      </c>
      <c r="F25" s="139" t="s">
        <v>208</v>
      </c>
      <c r="G25" s="39">
        <f>9+7+9+5+22+9+8+2</f>
        <v>71</v>
      </c>
      <c r="H25" s="1">
        <f t="shared" si="2"/>
        <v>41</v>
      </c>
      <c r="I25">
        <v>5</v>
      </c>
      <c r="J25">
        <f>9+7+9</f>
        <v>25</v>
      </c>
      <c r="O25" s="22"/>
    </row>
    <row r="26" spans="1:16" x14ac:dyDescent="0.25">
      <c r="A26" s="22">
        <v>51436</v>
      </c>
      <c r="B26" s="22" t="s">
        <v>67</v>
      </c>
      <c r="C26" s="139" t="s">
        <v>208</v>
      </c>
      <c r="D26" s="139" t="s">
        <v>208</v>
      </c>
      <c r="E26" s="139" t="s">
        <v>208</v>
      </c>
      <c r="F26" s="139" t="s">
        <v>208</v>
      </c>
      <c r="G26" s="39">
        <v>38</v>
      </c>
      <c r="H26" s="1">
        <f t="shared" si="2"/>
        <v>29</v>
      </c>
      <c r="I26">
        <v>2</v>
      </c>
      <c r="J26">
        <f>1+2+4</f>
        <v>7</v>
      </c>
      <c r="O26" s="22"/>
      <c r="P26" t="s">
        <v>97</v>
      </c>
    </row>
    <row r="27" spans="1:16" x14ac:dyDescent="0.25">
      <c r="A27" s="22">
        <v>51434</v>
      </c>
      <c r="B27" s="22" t="s">
        <v>107</v>
      </c>
      <c r="C27" s="139" t="s">
        <v>208</v>
      </c>
      <c r="D27" s="139" t="s">
        <v>208</v>
      </c>
      <c r="E27" s="139" t="s">
        <v>208</v>
      </c>
      <c r="F27" s="139" t="s">
        <v>208</v>
      </c>
      <c r="G27" s="39">
        <v>72</v>
      </c>
      <c r="H27" s="1">
        <f t="shared" si="2"/>
        <v>46</v>
      </c>
      <c r="I27">
        <v>5</v>
      </c>
      <c r="J27">
        <f>14+7</f>
        <v>21</v>
      </c>
      <c r="O27" s="22"/>
    </row>
    <row r="28" spans="1:16" x14ac:dyDescent="0.25">
      <c r="A28" s="22">
        <v>51439</v>
      </c>
      <c r="B28" s="22" t="s">
        <v>53</v>
      </c>
      <c r="C28" s="139" t="s">
        <v>208</v>
      </c>
      <c r="D28" s="139" t="s">
        <v>208</v>
      </c>
      <c r="E28" s="139" t="s">
        <v>208</v>
      </c>
      <c r="F28" s="139" t="s">
        <v>208</v>
      </c>
      <c r="G28" s="39">
        <v>35</v>
      </c>
      <c r="H28" s="1">
        <f t="shared" si="2"/>
        <v>26</v>
      </c>
      <c r="I28">
        <v>2</v>
      </c>
      <c r="J28">
        <f>2+5</f>
        <v>7</v>
      </c>
      <c r="O28" s="22"/>
    </row>
    <row r="29" spans="1:16" x14ac:dyDescent="0.25">
      <c r="A29" s="22">
        <v>51440</v>
      </c>
      <c r="B29" s="22" t="s">
        <v>68</v>
      </c>
      <c r="C29" s="139" t="s">
        <v>208</v>
      </c>
      <c r="D29" s="139" t="s">
        <v>208</v>
      </c>
      <c r="E29" s="139" t="s">
        <v>208</v>
      </c>
      <c r="F29" s="139" t="s">
        <v>208</v>
      </c>
      <c r="G29" s="39">
        <v>20</v>
      </c>
      <c r="H29" s="1">
        <f t="shared" si="2"/>
        <v>17</v>
      </c>
      <c r="I29">
        <v>1</v>
      </c>
      <c r="J29">
        <f>1+1</f>
        <v>2</v>
      </c>
      <c r="O29" s="22"/>
    </row>
    <row r="30" spans="1:16" x14ac:dyDescent="0.25">
      <c r="A30" s="22">
        <v>51441</v>
      </c>
      <c r="B30" s="22" t="s">
        <v>54</v>
      </c>
      <c r="C30" s="139" t="s">
        <v>208</v>
      </c>
      <c r="D30" s="139" t="s">
        <v>208</v>
      </c>
      <c r="E30" s="139" t="s">
        <v>208</v>
      </c>
      <c r="F30" s="139" t="s">
        <v>208</v>
      </c>
      <c r="G30" s="39">
        <v>70</v>
      </c>
      <c r="H30" s="1">
        <f t="shared" si="2"/>
        <v>65</v>
      </c>
      <c r="I30">
        <v>1</v>
      </c>
      <c r="J30">
        <f>2+2</f>
        <v>4</v>
      </c>
      <c r="O30" s="22"/>
    </row>
    <row r="31" spans="1:16" x14ac:dyDescent="0.25">
      <c r="A31" s="22">
        <v>51442</v>
      </c>
      <c r="B31" s="22" t="s">
        <v>55</v>
      </c>
      <c r="C31" s="139" t="s">
        <v>208</v>
      </c>
      <c r="D31" s="139" t="s">
        <v>208</v>
      </c>
      <c r="E31" s="139" t="s">
        <v>208</v>
      </c>
      <c r="F31" s="139" t="s">
        <v>208</v>
      </c>
      <c r="G31" s="39">
        <v>27</v>
      </c>
      <c r="H31" s="1">
        <f t="shared" si="2"/>
        <v>21</v>
      </c>
      <c r="I31">
        <v>4</v>
      </c>
      <c r="J31">
        <v>2</v>
      </c>
      <c r="O31" s="22"/>
    </row>
    <row r="32" spans="1:16" x14ac:dyDescent="0.25">
      <c r="A32" s="27">
        <v>51105</v>
      </c>
      <c r="B32" s="27" t="s">
        <v>5</v>
      </c>
      <c r="C32" s="139" t="s">
        <v>208</v>
      </c>
      <c r="D32" s="139" t="s">
        <v>208</v>
      </c>
      <c r="E32" s="139" t="s">
        <v>208</v>
      </c>
      <c r="F32" s="139" t="s">
        <v>208</v>
      </c>
      <c r="G32" s="118" t="s">
        <v>27</v>
      </c>
      <c r="H32" s="118" t="s">
        <v>27</v>
      </c>
      <c r="I32" s="118" t="s">
        <v>27</v>
      </c>
      <c r="J32" s="118" t="s">
        <v>27</v>
      </c>
      <c r="O32" s="22"/>
    </row>
    <row r="33" spans="1:15" x14ac:dyDescent="0.25">
      <c r="A33" s="22">
        <v>30508</v>
      </c>
      <c r="B33" s="22" t="s">
        <v>46</v>
      </c>
      <c r="C33" s="139" t="s">
        <v>208</v>
      </c>
      <c r="D33" s="139" t="s">
        <v>208</v>
      </c>
      <c r="E33" s="139" t="s">
        <v>208</v>
      </c>
      <c r="F33" s="139" t="s">
        <v>208</v>
      </c>
      <c r="G33" s="39">
        <v>6</v>
      </c>
      <c r="H33" s="1">
        <f t="shared" si="2"/>
        <v>4</v>
      </c>
      <c r="I33">
        <v>0</v>
      </c>
      <c r="J33">
        <v>2</v>
      </c>
      <c r="O33" s="22"/>
    </row>
    <row r="34" spans="1:15" x14ac:dyDescent="0.25">
      <c r="A34" s="22">
        <v>51426</v>
      </c>
      <c r="B34" s="22" t="s">
        <v>38</v>
      </c>
      <c r="C34" s="139" t="s">
        <v>208</v>
      </c>
      <c r="D34" s="139" t="s">
        <v>208</v>
      </c>
      <c r="E34" s="139" t="s">
        <v>208</v>
      </c>
      <c r="F34" s="139" t="s">
        <v>208</v>
      </c>
      <c r="G34" s="39">
        <v>116</v>
      </c>
      <c r="H34" s="1">
        <f t="shared" si="2"/>
        <v>92</v>
      </c>
      <c r="I34">
        <v>9</v>
      </c>
      <c r="J34">
        <f>7+8</f>
        <v>15</v>
      </c>
      <c r="O34" s="22"/>
    </row>
    <row r="35" spans="1:15" x14ac:dyDescent="0.25">
      <c r="A35" s="22">
        <v>30509</v>
      </c>
      <c r="B35" s="22" t="s">
        <v>39</v>
      </c>
      <c r="C35" s="139" t="s">
        <v>208</v>
      </c>
      <c r="D35" s="139" t="s">
        <v>208</v>
      </c>
      <c r="E35" s="139" t="s">
        <v>208</v>
      </c>
      <c r="F35" s="139" t="s">
        <v>208</v>
      </c>
      <c r="G35" s="39">
        <v>10</v>
      </c>
      <c r="H35" s="1">
        <f t="shared" si="2"/>
        <v>6</v>
      </c>
      <c r="I35">
        <v>2</v>
      </c>
      <c r="J35">
        <f>1+1</f>
        <v>2</v>
      </c>
      <c r="O35" s="22"/>
    </row>
    <row r="36" spans="1:15" x14ac:dyDescent="0.25">
      <c r="A36" s="27">
        <v>60000</v>
      </c>
      <c r="B36" s="27" t="s">
        <v>111</v>
      </c>
      <c r="C36" s="139" t="s">
        <v>208</v>
      </c>
      <c r="D36" s="139" t="s">
        <v>208</v>
      </c>
      <c r="E36" s="139" t="s">
        <v>208</v>
      </c>
      <c r="F36" s="139" t="s">
        <v>208</v>
      </c>
      <c r="G36" s="118" t="s">
        <v>27</v>
      </c>
      <c r="H36" s="118" t="s">
        <v>27</v>
      </c>
      <c r="I36" s="118" t="s">
        <v>27</v>
      </c>
      <c r="J36" s="118" t="s">
        <v>27</v>
      </c>
      <c r="O36" s="22"/>
    </row>
    <row r="37" spans="1:15" x14ac:dyDescent="0.25">
      <c r="A37" s="22" t="s">
        <v>135</v>
      </c>
      <c r="B37" s="27" t="s">
        <v>136</v>
      </c>
      <c r="C37" s="139" t="s">
        <v>208</v>
      </c>
      <c r="D37" s="139" t="s">
        <v>208</v>
      </c>
      <c r="E37" s="139" t="s">
        <v>208</v>
      </c>
      <c r="F37" s="139" t="s">
        <v>208</v>
      </c>
      <c r="G37" s="39">
        <v>2041</v>
      </c>
      <c r="H37" s="1">
        <f t="shared" si="2"/>
        <v>1449</v>
      </c>
      <c r="I37">
        <v>146</v>
      </c>
      <c r="J37">
        <v>446</v>
      </c>
      <c r="O37" s="22"/>
    </row>
    <row r="38" spans="1:15" x14ac:dyDescent="0.25">
      <c r="A38" s="22">
        <v>51433</v>
      </c>
      <c r="B38" s="22" t="s">
        <v>40</v>
      </c>
      <c r="C38" s="139" t="s">
        <v>208</v>
      </c>
      <c r="D38" s="139" t="s">
        <v>208</v>
      </c>
      <c r="E38" s="139" t="s">
        <v>208</v>
      </c>
      <c r="F38" s="139" t="s">
        <v>208</v>
      </c>
      <c r="G38" s="39">
        <v>85</v>
      </c>
      <c r="H38" s="1">
        <f t="shared" si="2"/>
        <v>60</v>
      </c>
      <c r="I38">
        <v>3</v>
      </c>
      <c r="J38">
        <f>2+11+9</f>
        <v>22</v>
      </c>
      <c r="O38" s="22"/>
    </row>
    <row r="39" spans="1:15" x14ac:dyDescent="0.25">
      <c r="A39" s="22">
        <v>51435</v>
      </c>
      <c r="B39" s="22" t="s">
        <v>41</v>
      </c>
      <c r="C39" s="139" t="s">
        <v>208</v>
      </c>
      <c r="D39" s="139" t="s">
        <v>208</v>
      </c>
      <c r="E39" s="139" t="s">
        <v>208</v>
      </c>
      <c r="F39" s="139" t="s">
        <v>208</v>
      </c>
      <c r="G39" s="39">
        <v>57</v>
      </c>
      <c r="H39" s="1">
        <f t="shared" si="2"/>
        <v>28</v>
      </c>
      <c r="I39">
        <v>4</v>
      </c>
      <c r="J39">
        <f>1+16+8</f>
        <v>25</v>
      </c>
      <c r="O39" s="22"/>
    </row>
    <row r="40" spans="1:15" x14ac:dyDescent="0.25">
      <c r="A40" s="22">
        <v>51437</v>
      </c>
      <c r="B40" s="22" t="s">
        <v>0</v>
      </c>
      <c r="C40" s="139" t="s">
        <v>208</v>
      </c>
      <c r="D40" s="139" t="s">
        <v>208</v>
      </c>
      <c r="E40" s="139" t="s">
        <v>208</v>
      </c>
      <c r="F40" s="139" t="s">
        <v>208</v>
      </c>
      <c r="G40" s="39">
        <v>120</v>
      </c>
      <c r="H40" s="1">
        <f t="shared" si="2"/>
        <v>59</v>
      </c>
      <c r="I40">
        <v>14</v>
      </c>
      <c r="J40">
        <f>10+16+21</f>
        <v>47</v>
      </c>
      <c r="O40" s="22"/>
    </row>
    <row r="41" spans="1:15" x14ac:dyDescent="0.25">
      <c r="A41" s="22">
        <v>1</v>
      </c>
      <c r="B41" s="22" t="s">
        <v>45</v>
      </c>
      <c r="C41" s="139" t="s">
        <v>208</v>
      </c>
      <c r="D41" s="139" t="s">
        <v>208</v>
      </c>
      <c r="E41" s="139" t="s">
        <v>208</v>
      </c>
      <c r="F41" s="139" t="s">
        <v>208</v>
      </c>
      <c r="G41" s="118" t="s">
        <v>27</v>
      </c>
      <c r="H41" s="118" t="s">
        <v>27</v>
      </c>
      <c r="I41" s="118" t="s">
        <v>27</v>
      </c>
      <c r="J41" s="118" t="s">
        <v>27</v>
      </c>
      <c r="O41" s="22"/>
    </row>
    <row r="42" spans="1:15" x14ac:dyDescent="0.25">
      <c r="A42" s="22">
        <v>2</v>
      </c>
      <c r="B42" s="22" t="s">
        <v>47</v>
      </c>
      <c r="C42" s="139" t="s">
        <v>208</v>
      </c>
      <c r="D42" s="139" t="s">
        <v>208</v>
      </c>
      <c r="E42" s="139" t="s">
        <v>208</v>
      </c>
      <c r="F42" s="139" t="s">
        <v>208</v>
      </c>
      <c r="G42" s="118" t="s">
        <v>27</v>
      </c>
      <c r="H42" s="118" t="s">
        <v>27</v>
      </c>
      <c r="I42" s="118" t="s">
        <v>27</v>
      </c>
      <c r="J42" s="118" t="s">
        <v>27</v>
      </c>
      <c r="O42" s="22"/>
    </row>
    <row r="43" spans="1:15" x14ac:dyDescent="0.25">
      <c r="A43" s="22" t="s">
        <v>137</v>
      </c>
      <c r="B43" s="27" t="s">
        <v>138</v>
      </c>
      <c r="C43" s="139" t="s">
        <v>208</v>
      </c>
      <c r="D43" s="139" t="s">
        <v>208</v>
      </c>
      <c r="E43" s="139" t="s">
        <v>208</v>
      </c>
      <c r="F43" s="139" t="s">
        <v>208</v>
      </c>
      <c r="G43" s="118" t="s">
        <v>27</v>
      </c>
      <c r="H43" s="118" t="s">
        <v>27</v>
      </c>
      <c r="I43" s="118" t="s">
        <v>27</v>
      </c>
      <c r="J43" s="118" t="s">
        <v>27</v>
      </c>
      <c r="O43" s="22"/>
    </row>
    <row r="44" spans="1:15" x14ac:dyDescent="0.25">
      <c r="A44" s="22">
        <v>3</v>
      </c>
      <c r="B44" s="22" t="s">
        <v>57</v>
      </c>
      <c r="C44" s="139" t="s">
        <v>208</v>
      </c>
      <c r="D44" s="139" t="s">
        <v>208</v>
      </c>
      <c r="E44" s="139" t="s">
        <v>208</v>
      </c>
      <c r="F44" s="139" t="s">
        <v>208</v>
      </c>
      <c r="G44" s="118" t="s">
        <v>27</v>
      </c>
      <c r="H44" s="118" t="s">
        <v>27</v>
      </c>
      <c r="I44" s="118" t="s">
        <v>27</v>
      </c>
      <c r="J44" s="118" t="s">
        <v>27</v>
      </c>
      <c r="O44" s="22"/>
    </row>
    <row r="45" spans="1:15" x14ac:dyDescent="0.25">
      <c r="A45" s="22">
        <v>4</v>
      </c>
      <c r="B45" s="22" t="s">
        <v>56</v>
      </c>
      <c r="C45" s="139" t="s">
        <v>208</v>
      </c>
      <c r="D45" s="139" t="s">
        <v>208</v>
      </c>
      <c r="E45" s="139" t="s">
        <v>208</v>
      </c>
      <c r="F45" s="139" t="s">
        <v>208</v>
      </c>
      <c r="G45" s="118" t="s">
        <v>27</v>
      </c>
      <c r="H45" s="118" t="s">
        <v>27</v>
      </c>
      <c r="I45" s="118" t="s">
        <v>27</v>
      </c>
      <c r="J45" s="118" t="s">
        <v>27</v>
      </c>
      <c r="O45" s="22"/>
    </row>
    <row r="46" spans="1:15" x14ac:dyDescent="0.25">
      <c r="A46" s="22">
        <v>5</v>
      </c>
      <c r="B46" s="22" t="s">
        <v>65</v>
      </c>
      <c r="C46" s="139" t="s">
        <v>208</v>
      </c>
      <c r="D46" s="139" t="s">
        <v>208</v>
      </c>
      <c r="E46" s="139" t="s">
        <v>208</v>
      </c>
      <c r="F46" s="139" t="s">
        <v>208</v>
      </c>
      <c r="G46" s="118" t="s">
        <v>27</v>
      </c>
      <c r="H46" s="118" t="s">
        <v>27</v>
      </c>
      <c r="I46" s="118" t="s">
        <v>27</v>
      </c>
      <c r="J46" s="118" t="s">
        <v>27</v>
      </c>
      <c r="O46" s="22"/>
    </row>
    <row r="47" spans="1:15" x14ac:dyDescent="0.25">
      <c r="A47" s="22">
        <v>6</v>
      </c>
      <c r="B47" s="22" t="s">
        <v>61</v>
      </c>
      <c r="C47" s="139" t="s">
        <v>208</v>
      </c>
      <c r="D47" s="139" t="s">
        <v>208</v>
      </c>
      <c r="E47" s="139" t="s">
        <v>208</v>
      </c>
      <c r="F47" s="139" t="s">
        <v>208</v>
      </c>
      <c r="G47" s="118" t="s">
        <v>27</v>
      </c>
      <c r="H47" s="118" t="s">
        <v>27</v>
      </c>
      <c r="I47" s="118" t="s">
        <v>27</v>
      </c>
      <c r="J47" s="118" t="s">
        <v>27</v>
      </c>
      <c r="O47" s="22"/>
    </row>
    <row r="48" spans="1:15" x14ac:dyDescent="0.25">
      <c r="A48" s="22">
        <v>7</v>
      </c>
      <c r="B48" s="22" t="s">
        <v>64</v>
      </c>
      <c r="C48" s="139" t="s">
        <v>208</v>
      </c>
      <c r="D48" s="139" t="s">
        <v>208</v>
      </c>
      <c r="E48" s="139" t="s">
        <v>208</v>
      </c>
      <c r="F48" s="139" t="s">
        <v>208</v>
      </c>
      <c r="G48" s="118" t="s">
        <v>27</v>
      </c>
      <c r="H48" s="118" t="s">
        <v>27</v>
      </c>
      <c r="I48" s="118" t="s">
        <v>27</v>
      </c>
      <c r="J48" s="118" t="s">
        <v>27</v>
      </c>
      <c r="O48" s="22"/>
    </row>
    <row r="49" spans="1:14" x14ac:dyDescent="0.25">
      <c r="A49" s="22">
        <v>8</v>
      </c>
      <c r="B49" s="22" t="s">
        <v>63</v>
      </c>
      <c r="C49" s="139" t="s">
        <v>208</v>
      </c>
      <c r="D49" s="139" t="s">
        <v>208</v>
      </c>
      <c r="E49" s="139" t="s">
        <v>208</v>
      </c>
      <c r="F49" s="139" t="s">
        <v>208</v>
      </c>
      <c r="G49" s="118" t="s">
        <v>27</v>
      </c>
      <c r="H49" s="118" t="s">
        <v>27</v>
      </c>
      <c r="I49" s="118" t="s">
        <v>27</v>
      </c>
      <c r="J49" s="118" t="s">
        <v>27</v>
      </c>
    </row>
    <row r="50" spans="1:14" x14ac:dyDescent="0.25">
      <c r="A50" s="22">
        <v>51418</v>
      </c>
      <c r="B50" s="22" t="s">
        <v>26</v>
      </c>
      <c r="C50" s="139" t="s">
        <v>208</v>
      </c>
      <c r="D50" s="139" t="s">
        <v>208</v>
      </c>
      <c r="E50" s="139" t="s">
        <v>208</v>
      </c>
      <c r="F50" s="139" t="s">
        <v>208</v>
      </c>
      <c r="G50" s="39">
        <v>4</v>
      </c>
      <c r="H50" s="1">
        <f t="shared" si="2"/>
        <v>1</v>
      </c>
      <c r="I50">
        <v>2</v>
      </c>
      <c r="J50">
        <v>1</v>
      </c>
    </row>
    <row r="51" spans="1:14" x14ac:dyDescent="0.25">
      <c r="A51" s="22">
        <v>51411</v>
      </c>
      <c r="B51" s="22" t="s">
        <v>1</v>
      </c>
      <c r="C51" s="139" t="s">
        <v>208</v>
      </c>
      <c r="D51" s="139" t="s">
        <v>208</v>
      </c>
      <c r="E51" s="139" t="s">
        <v>208</v>
      </c>
      <c r="F51" s="139" t="s">
        <v>208</v>
      </c>
      <c r="G51" s="39">
        <v>13</v>
      </c>
      <c r="H51" s="1">
        <f t="shared" si="2"/>
        <v>12</v>
      </c>
      <c r="I51">
        <v>0</v>
      </c>
      <c r="J51">
        <v>1</v>
      </c>
    </row>
    <row r="60" spans="1:14" x14ac:dyDescent="0.25">
      <c r="N60">
        <f>3494-1981</f>
        <v>1513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H51"/>
  <sheetViews>
    <sheetView workbookViewId="0">
      <selection activeCell="C1" sqref="C1:F1"/>
    </sheetView>
  </sheetViews>
  <sheetFormatPr defaultRowHeight="15" x14ac:dyDescent="0.25"/>
  <cols>
    <col min="1" max="1" width="33" bestFit="1" customWidth="1"/>
    <col min="2" max="2" width="51.85546875" bestFit="1" customWidth="1"/>
    <col min="3" max="3" width="21.85546875" bestFit="1" customWidth="1"/>
    <col min="4" max="4" width="20" bestFit="1" customWidth="1"/>
    <col min="5" max="5" width="20" style="1" bestFit="1" customWidth="1"/>
  </cols>
  <sheetData>
    <row r="1" spans="1:8" x14ac:dyDescent="0.25">
      <c r="A1" s="24"/>
      <c r="B1" s="24"/>
      <c r="C1" s="25" t="s">
        <v>94</v>
      </c>
      <c r="D1" t="s">
        <v>100</v>
      </c>
      <c r="E1" s="1" t="s">
        <v>101</v>
      </c>
    </row>
    <row r="2" spans="1:8" x14ac:dyDescent="0.25">
      <c r="A2" s="26" t="s">
        <v>23</v>
      </c>
      <c r="B2" s="26" t="s">
        <v>74</v>
      </c>
      <c r="C2" t="s">
        <v>4</v>
      </c>
      <c r="D2" t="s">
        <v>4</v>
      </c>
      <c r="E2" s="1" t="s">
        <v>4</v>
      </c>
    </row>
    <row r="3" spans="1:8" x14ac:dyDescent="0.25">
      <c r="A3" s="22">
        <v>51401</v>
      </c>
      <c r="B3" s="22" t="s">
        <v>28</v>
      </c>
      <c r="C3" s="138" t="s">
        <v>209</v>
      </c>
      <c r="D3" s="39"/>
      <c r="E3" s="2"/>
      <c r="F3" t="s">
        <v>167</v>
      </c>
      <c r="H3" s="22"/>
    </row>
    <row r="4" spans="1:8" x14ac:dyDescent="0.25">
      <c r="A4" s="22">
        <v>51421</v>
      </c>
      <c r="B4" s="22" t="s">
        <v>29</v>
      </c>
      <c r="C4" s="138" t="s">
        <v>209</v>
      </c>
      <c r="D4" s="39"/>
      <c r="E4" s="2"/>
      <c r="H4" s="22"/>
    </row>
    <row r="5" spans="1:8" x14ac:dyDescent="0.25">
      <c r="A5" s="22">
        <v>51402</v>
      </c>
      <c r="B5" s="22" t="s">
        <v>30</v>
      </c>
      <c r="C5" s="138" t="s">
        <v>209</v>
      </c>
      <c r="D5" s="39"/>
      <c r="E5" s="2"/>
      <c r="H5" s="22"/>
    </row>
    <row r="6" spans="1:8" x14ac:dyDescent="0.25">
      <c r="A6" s="22">
        <v>51404</v>
      </c>
      <c r="B6" s="22" t="s">
        <v>31</v>
      </c>
      <c r="C6" s="138" t="s">
        <v>209</v>
      </c>
      <c r="D6" s="39">
        <v>5</v>
      </c>
      <c r="E6" s="2"/>
      <c r="H6" s="22"/>
    </row>
    <row r="7" spans="1:8" x14ac:dyDescent="0.25">
      <c r="A7" s="22">
        <v>51406</v>
      </c>
      <c r="B7" s="22" t="s">
        <v>32</v>
      </c>
      <c r="C7" s="138" t="s">
        <v>209</v>
      </c>
      <c r="D7" s="39">
        <v>1</v>
      </c>
      <c r="E7" s="2"/>
      <c r="H7" s="22"/>
    </row>
    <row r="8" spans="1:8" x14ac:dyDescent="0.25">
      <c r="A8" s="22">
        <v>51407</v>
      </c>
      <c r="B8" s="22" t="s">
        <v>33</v>
      </c>
      <c r="C8" s="138" t="s">
        <v>209</v>
      </c>
      <c r="D8" s="39">
        <v>1</v>
      </c>
      <c r="E8" s="2"/>
      <c r="H8" s="22"/>
    </row>
    <row r="9" spans="1:8" x14ac:dyDescent="0.25">
      <c r="A9" s="22">
        <v>51422</v>
      </c>
      <c r="B9" s="22" t="s">
        <v>105</v>
      </c>
      <c r="C9" s="138" t="s">
        <v>209</v>
      </c>
      <c r="D9" s="39"/>
      <c r="E9" s="2"/>
      <c r="H9" s="22"/>
    </row>
    <row r="10" spans="1:8" x14ac:dyDescent="0.25">
      <c r="A10" s="22">
        <v>51432</v>
      </c>
      <c r="B10" s="22" t="s">
        <v>51</v>
      </c>
      <c r="C10" s="138" t="s">
        <v>209</v>
      </c>
      <c r="D10" s="39">
        <f>3+2</f>
        <v>5</v>
      </c>
      <c r="E10" s="2"/>
      <c r="H10" s="22"/>
    </row>
    <row r="11" spans="1:8" x14ac:dyDescent="0.25">
      <c r="A11" s="22">
        <v>51428</v>
      </c>
      <c r="B11" s="22" t="s">
        <v>48</v>
      </c>
      <c r="C11" s="138" t="s">
        <v>209</v>
      </c>
      <c r="D11" s="39"/>
      <c r="E11" s="2"/>
      <c r="H11" s="22"/>
    </row>
    <row r="12" spans="1:8" x14ac:dyDescent="0.25">
      <c r="A12" s="22">
        <v>51438</v>
      </c>
      <c r="B12" s="22" t="s">
        <v>52</v>
      </c>
      <c r="C12" s="138" t="s">
        <v>209</v>
      </c>
      <c r="D12" s="39">
        <v>4</v>
      </c>
      <c r="E12" s="2"/>
      <c r="H12" s="22"/>
    </row>
    <row r="13" spans="1:8" x14ac:dyDescent="0.25">
      <c r="A13" s="22">
        <v>51405</v>
      </c>
      <c r="B13" s="22" t="s">
        <v>34</v>
      </c>
      <c r="C13" s="138" t="s">
        <v>209</v>
      </c>
      <c r="D13" s="39">
        <f>1+5</f>
        <v>6</v>
      </c>
      <c r="E13" s="2"/>
      <c r="H13" s="22"/>
    </row>
    <row r="14" spans="1:8" x14ac:dyDescent="0.25">
      <c r="A14" s="22">
        <v>30824</v>
      </c>
      <c r="B14" s="22" t="s">
        <v>62</v>
      </c>
      <c r="C14" s="138" t="s">
        <v>209</v>
      </c>
      <c r="D14" s="39">
        <v>4</v>
      </c>
      <c r="E14" s="2"/>
      <c r="H14" s="27"/>
    </row>
    <row r="15" spans="1:8" x14ac:dyDescent="0.25">
      <c r="A15" s="22">
        <v>51409</v>
      </c>
      <c r="B15" s="22" t="s">
        <v>35</v>
      </c>
      <c r="C15" s="138" t="s">
        <v>209</v>
      </c>
      <c r="D15" s="39"/>
      <c r="E15" s="2"/>
      <c r="H15" s="22"/>
    </row>
    <row r="16" spans="1:8" x14ac:dyDescent="0.25">
      <c r="A16" s="22">
        <v>51423</v>
      </c>
      <c r="B16" s="22" t="s">
        <v>60</v>
      </c>
      <c r="C16" s="138" t="s">
        <v>209</v>
      </c>
      <c r="D16" s="39"/>
      <c r="E16" s="2"/>
      <c r="H16" s="22"/>
    </row>
    <row r="17" spans="1:8" x14ac:dyDescent="0.25">
      <c r="A17" s="22">
        <v>51410</v>
      </c>
      <c r="B17" s="22" t="s">
        <v>36</v>
      </c>
      <c r="C17" s="138" t="s">
        <v>209</v>
      </c>
      <c r="D17" s="39"/>
      <c r="H17" s="22"/>
    </row>
    <row r="18" spans="1:8" x14ac:dyDescent="0.25">
      <c r="A18" s="22">
        <v>51424</v>
      </c>
      <c r="B18" s="22" t="s">
        <v>106</v>
      </c>
      <c r="C18" s="138" t="s">
        <v>209</v>
      </c>
      <c r="D18" s="39">
        <v>4</v>
      </c>
      <c r="H18" s="22"/>
    </row>
    <row r="19" spans="1:8" x14ac:dyDescent="0.25">
      <c r="A19" s="22">
        <v>51416</v>
      </c>
      <c r="B19" s="22" t="s">
        <v>37</v>
      </c>
      <c r="C19" s="138" t="s">
        <v>209</v>
      </c>
      <c r="D19" s="39"/>
      <c r="H19" s="22"/>
    </row>
    <row r="20" spans="1:8" x14ac:dyDescent="0.25">
      <c r="A20" s="22">
        <v>51420</v>
      </c>
      <c r="B20" s="22" t="s">
        <v>109</v>
      </c>
      <c r="C20" s="138" t="s">
        <v>209</v>
      </c>
      <c r="D20" s="39">
        <f>1+1</f>
        <v>2</v>
      </c>
      <c r="H20" s="22"/>
    </row>
    <row r="21" spans="1:8" x14ac:dyDescent="0.25">
      <c r="A21" s="22">
        <v>51425</v>
      </c>
      <c r="B21" s="22" t="s">
        <v>50</v>
      </c>
      <c r="C21" s="138" t="s">
        <v>209</v>
      </c>
      <c r="D21" s="39"/>
      <c r="H21" s="22"/>
    </row>
    <row r="22" spans="1:8" x14ac:dyDescent="0.25">
      <c r="A22" s="22">
        <v>51427</v>
      </c>
      <c r="B22" s="22" t="s">
        <v>66</v>
      </c>
      <c r="C22" s="138" t="s">
        <v>209</v>
      </c>
      <c r="D22" s="39"/>
      <c r="H22" s="22"/>
    </row>
    <row r="23" spans="1:8" x14ac:dyDescent="0.25">
      <c r="A23" s="22">
        <v>51429</v>
      </c>
      <c r="B23" s="22" t="s">
        <v>49</v>
      </c>
      <c r="C23" s="138" t="s">
        <v>209</v>
      </c>
      <c r="D23" s="39">
        <v>2</v>
      </c>
      <c r="H23" s="22"/>
    </row>
    <row r="24" spans="1:8" x14ac:dyDescent="0.25">
      <c r="A24" s="22">
        <v>51430</v>
      </c>
      <c r="B24" s="22" t="s">
        <v>59</v>
      </c>
      <c r="C24" s="138" t="s">
        <v>209</v>
      </c>
      <c r="D24" s="39"/>
      <c r="H24" s="22"/>
    </row>
    <row r="25" spans="1:8" x14ac:dyDescent="0.25">
      <c r="A25" s="22">
        <v>51431</v>
      </c>
      <c r="B25" s="22" t="s">
        <v>58</v>
      </c>
      <c r="C25" s="138" t="s">
        <v>209</v>
      </c>
      <c r="D25" s="39">
        <v>5</v>
      </c>
      <c r="H25" s="22"/>
    </row>
    <row r="26" spans="1:8" x14ac:dyDescent="0.25">
      <c r="A26" s="22">
        <v>51436</v>
      </c>
      <c r="B26" s="22" t="s">
        <v>67</v>
      </c>
      <c r="C26" s="138" t="s">
        <v>209</v>
      </c>
      <c r="D26" s="39">
        <v>1</v>
      </c>
      <c r="H26" s="22"/>
    </row>
    <row r="27" spans="1:8" x14ac:dyDescent="0.25">
      <c r="A27" s="22">
        <v>51434</v>
      </c>
      <c r="B27" s="22" t="s">
        <v>107</v>
      </c>
      <c r="C27" s="138" t="s">
        <v>209</v>
      </c>
      <c r="D27" s="39">
        <v>1</v>
      </c>
      <c r="H27" s="22"/>
    </row>
    <row r="28" spans="1:8" x14ac:dyDescent="0.25">
      <c r="A28" s="22">
        <v>51439</v>
      </c>
      <c r="B28" s="22" t="s">
        <v>53</v>
      </c>
      <c r="C28" s="138" t="s">
        <v>209</v>
      </c>
      <c r="D28" s="39">
        <v>2</v>
      </c>
      <c r="H28" s="22"/>
    </row>
    <row r="29" spans="1:8" x14ac:dyDescent="0.25">
      <c r="A29" s="22">
        <v>51440</v>
      </c>
      <c r="B29" s="22" t="s">
        <v>68</v>
      </c>
      <c r="C29" s="138" t="s">
        <v>209</v>
      </c>
      <c r="D29" s="39">
        <v>1</v>
      </c>
      <c r="H29" s="22"/>
    </row>
    <row r="30" spans="1:8" x14ac:dyDescent="0.25">
      <c r="A30" s="22">
        <v>51441</v>
      </c>
      <c r="B30" s="22" t="s">
        <v>54</v>
      </c>
      <c r="C30" s="138" t="s">
        <v>209</v>
      </c>
      <c r="D30" s="39">
        <v>2</v>
      </c>
      <c r="H30" s="22"/>
    </row>
    <row r="31" spans="1:8" x14ac:dyDescent="0.25">
      <c r="A31" s="22">
        <v>51442</v>
      </c>
      <c r="B31" s="22" t="s">
        <v>55</v>
      </c>
      <c r="C31" s="138" t="s">
        <v>209</v>
      </c>
      <c r="D31" s="39"/>
      <c r="H31" s="22"/>
    </row>
    <row r="32" spans="1:8" x14ac:dyDescent="0.25">
      <c r="A32" s="27">
        <v>51105</v>
      </c>
      <c r="B32" s="27" t="s">
        <v>5</v>
      </c>
      <c r="C32" s="138" t="s">
        <v>209</v>
      </c>
      <c r="D32" s="39">
        <v>5</v>
      </c>
      <c r="H32" s="22"/>
    </row>
    <row r="33" spans="1:8" x14ac:dyDescent="0.25">
      <c r="A33" s="22">
        <v>30508</v>
      </c>
      <c r="B33" s="22" t="s">
        <v>46</v>
      </c>
      <c r="C33" s="138" t="s">
        <v>209</v>
      </c>
      <c r="D33" s="39"/>
      <c r="H33" s="22"/>
    </row>
    <row r="34" spans="1:8" x14ac:dyDescent="0.25">
      <c r="A34" s="22">
        <v>51426</v>
      </c>
      <c r="B34" s="22" t="s">
        <v>38</v>
      </c>
      <c r="C34" s="138" t="s">
        <v>209</v>
      </c>
      <c r="D34" s="39">
        <v>1</v>
      </c>
      <c r="H34" s="22"/>
    </row>
    <row r="35" spans="1:8" x14ac:dyDescent="0.25">
      <c r="A35" s="22">
        <v>30509</v>
      </c>
      <c r="B35" s="22" t="s">
        <v>39</v>
      </c>
      <c r="C35" s="138" t="s">
        <v>209</v>
      </c>
      <c r="D35" s="39">
        <v>1</v>
      </c>
      <c r="H35" s="22"/>
    </row>
    <row r="36" spans="1:8" x14ac:dyDescent="0.25">
      <c r="A36" s="27">
        <v>60000</v>
      </c>
      <c r="B36" s="27" t="s">
        <v>111</v>
      </c>
      <c r="C36" s="138" t="s">
        <v>209</v>
      </c>
      <c r="D36" s="39" t="s">
        <v>164</v>
      </c>
      <c r="H36" s="22"/>
    </row>
    <row r="37" spans="1:8" x14ac:dyDescent="0.25">
      <c r="A37" s="22" t="s">
        <v>135</v>
      </c>
      <c r="B37" s="27" t="s">
        <v>136</v>
      </c>
      <c r="C37" s="138" t="s">
        <v>209</v>
      </c>
      <c r="D37" s="39" t="s">
        <v>165</v>
      </c>
      <c r="H37" s="22"/>
    </row>
    <row r="38" spans="1:8" x14ac:dyDescent="0.25">
      <c r="A38" s="22">
        <v>51433</v>
      </c>
      <c r="B38" s="22" t="s">
        <v>40</v>
      </c>
      <c r="C38" s="138" t="s">
        <v>209</v>
      </c>
      <c r="D38" s="39">
        <v>8</v>
      </c>
      <c r="H38" s="22"/>
    </row>
    <row r="39" spans="1:8" x14ac:dyDescent="0.25">
      <c r="A39" s="22">
        <v>51435</v>
      </c>
      <c r="B39" s="22" t="s">
        <v>41</v>
      </c>
      <c r="C39" s="138" t="s">
        <v>209</v>
      </c>
      <c r="D39" s="39">
        <v>2</v>
      </c>
      <c r="H39" s="22"/>
    </row>
    <row r="40" spans="1:8" x14ac:dyDescent="0.25">
      <c r="A40" s="22">
        <v>51437</v>
      </c>
      <c r="B40" s="22" t="s">
        <v>0</v>
      </c>
      <c r="C40" s="138" t="s">
        <v>209</v>
      </c>
      <c r="D40" s="39"/>
      <c r="H40" s="22"/>
    </row>
    <row r="41" spans="1:8" x14ac:dyDescent="0.25">
      <c r="A41" s="22">
        <v>1</v>
      </c>
      <c r="B41" s="22" t="s">
        <v>45</v>
      </c>
      <c r="C41" s="138" t="s">
        <v>209</v>
      </c>
      <c r="D41" s="39">
        <v>2</v>
      </c>
      <c r="H41" s="22"/>
    </row>
    <row r="42" spans="1:8" x14ac:dyDescent="0.25">
      <c r="A42" s="22">
        <v>2</v>
      </c>
      <c r="B42" s="22" t="s">
        <v>47</v>
      </c>
      <c r="C42" s="138" t="s">
        <v>209</v>
      </c>
      <c r="D42" s="39"/>
      <c r="H42" s="22"/>
    </row>
    <row r="43" spans="1:8" x14ac:dyDescent="0.25">
      <c r="A43" s="22" t="s">
        <v>137</v>
      </c>
      <c r="B43" s="27" t="s">
        <v>138</v>
      </c>
      <c r="C43" s="138" t="s">
        <v>209</v>
      </c>
      <c r="D43" s="39" t="s">
        <v>180</v>
      </c>
      <c r="H43" s="22"/>
    </row>
    <row r="44" spans="1:8" x14ac:dyDescent="0.25">
      <c r="A44" s="22">
        <v>3</v>
      </c>
      <c r="B44" s="22" t="s">
        <v>57</v>
      </c>
      <c r="C44" s="138" t="s">
        <v>209</v>
      </c>
      <c r="D44" s="39"/>
      <c r="H44" s="22"/>
    </row>
    <row r="45" spans="1:8" x14ac:dyDescent="0.25">
      <c r="A45" s="22">
        <v>4</v>
      </c>
      <c r="B45" s="22" t="s">
        <v>56</v>
      </c>
      <c r="C45" s="138" t="s">
        <v>209</v>
      </c>
      <c r="D45" s="39"/>
      <c r="H45" s="22"/>
    </row>
    <row r="46" spans="1:8" x14ac:dyDescent="0.25">
      <c r="A46" s="22">
        <v>5</v>
      </c>
      <c r="B46" s="22" t="s">
        <v>65</v>
      </c>
      <c r="C46" s="138" t="s">
        <v>209</v>
      </c>
      <c r="D46" s="39">
        <v>1</v>
      </c>
      <c r="H46" s="22"/>
    </row>
    <row r="47" spans="1:8" x14ac:dyDescent="0.25">
      <c r="A47" s="22">
        <v>6</v>
      </c>
      <c r="B47" s="22" t="s">
        <v>61</v>
      </c>
      <c r="C47" s="138" t="s">
        <v>209</v>
      </c>
      <c r="D47" s="39"/>
      <c r="H47" s="22"/>
    </row>
    <row r="48" spans="1:8" x14ac:dyDescent="0.25">
      <c r="A48" s="22">
        <v>7</v>
      </c>
      <c r="B48" s="22" t="s">
        <v>64</v>
      </c>
      <c r="C48" s="138" t="s">
        <v>209</v>
      </c>
      <c r="D48" s="39">
        <v>1</v>
      </c>
      <c r="H48" s="22"/>
    </row>
    <row r="49" spans="1:4" x14ac:dyDescent="0.25">
      <c r="A49" s="22">
        <v>8</v>
      </c>
      <c r="B49" s="22" t="s">
        <v>63</v>
      </c>
      <c r="C49" s="138" t="s">
        <v>209</v>
      </c>
      <c r="D49" s="39"/>
    </row>
    <row r="50" spans="1:4" x14ac:dyDescent="0.25">
      <c r="A50" s="22">
        <v>51418</v>
      </c>
      <c r="B50" s="22" t="s">
        <v>26</v>
      </c>
      <c r="C50" s="138" t="s">
        <v>209</v>
      </c>
      <c r="D50" s="39"/>
    </row>
    <row r="51" spans="1:4" x14ac:dyDescent="0.25">
      <c r="A51" s="22">
        <v>51411</v>
      </c>
      <c r="B51" s="22" t="s">
        <v>1</v>
      </c>
      <c r="C51" s="138" t="s">
        <v>209</v>
      </c>
      <c r="D51" s="3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5 5 3 3 8 7 - 7 b e 6 - 4 e 0 5 - 9 c 6 4 - 1 6 5 d 0 4 2 d 1 1 1 5 "   x m l n s = " h t t p : / / s c h e m a s . m i c r o s o f t . c o m / D a t a M a s h u p " > A A A A A L Q F A A B Q S w M E F A A C A A g A E G P p U h o D + 5 K o A A A A + A A A A B I A H A B D b 2 5 m a W c v U G F j a 2 F n Z S 5 4 b W w g o h g A K K A U A A A A A A A A A A A A A A A A A A A A A A A A A A A A h Y 9 B D o I w F E S v Q r q n p V W J m k 9 Z 6 E 5 J T E y M 2 6 Z U a I R i a L H c z Y V H 8 g q S K O r O 5 U z e J G 8 e t z u k f V 0 F V 9 V a 3 Z g E U R y h Q B n Z 5 N o U C e r c K Z y j l M N O y L M o V D D A x i 5 7 q x N U O n d Z E u K 9 x 3 6 C m 7 Y g L I o o O W b b v S x V L U J t r B N G K v R Z 5 f 9 X i M P h J c M Z j i m e 0 Q X D 0 5 g C G W v I t P k i b D D G E Z C f E l Z d 5 b p W 8 V y E 6 w 2 Q M Q J 5 v + B P U E s D B B Q A A g A I A B B j 6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Y + l S N e R J + q o C A A B Z B w A A E w A c A E Z v c m 1 1 b G F z L 1 N l Y 3 R p b 2 4 x L m 0 g o h g A K K A U A A A A A A A A A A A A A A A A A A A A A A A A A A A A j V T N T t t A E L 5 H y j u s 3 E s q p a m g V S + I A z + h V C l Q Q a A H x G H N T p x 1 1 r P R 7 D o l Q h z p m 7 T P k L t f r G N H + c F r U H N x N N / 8 f P P N 7 D i 4 9 9 q i u F p + d / b a r X b L j S W B E k M Z g 9 k V + 8 K A b 7 c E / w b a K G B D / + E e T O 8 o J w L 0 P y 1 N Y m s n n f e P t + c y g / 1 o G R j d P d 0 e W f T s c t d d x r + L i t + o C L z w 8 y l E n I l d D f S G J N G N L G V H 1 u Q Z D h l 0 n a p Y 9 / E x G l h j E W E n 6 l Z h w s O D f + q K N b D 7 G v C J g W / o v 3 z u l R k r 5 C D x l E 9 n k H 4 U h 5 Q j x C l Q s o q X O K + c D k l m i t 1 E P J 6 F m A U M j M U i g d h I B b 4 O H R O k g K 5 u 7 h s v M S j c x 8 Q V i z D / i a a J K R Y z o L D A V 9 M T A 4 s J c F N 1 7 B R S E 5 Q + L R b p r K H 4 Q D r m p O G D S I o / p E I W A y C E c e 5 C D t W o M u s a Y o x t y H Q m S c M k L f 5 S I 2 J y V A G g l Y / n Y a r v p S z M O w g 4 t 6 S c T 0 v O Q d A F K y l u y s H U k R / g g a q l q E Q I Y I 1 p K T R P V P D Q l 3 r U n S 4 h w T g P c 1 8 p 6 o n D M r c 4 A 9 T J G J S L e 4 H X V F N D r O c n o k r x A 6 R Y x L b B i A r I Q N D B U E 7 X 1 O U s y D Y k W G 1 a w G F I 1 q j Y 2 M w F C z D M n U Y 1 o n l Y b x Z y u C 6 5 i X 4 S l r j h s 1 M 8 N 9 k d z 0 W c A x + W A L P o e P / q 5 u J Z S R N m O p b J 1 N Q n / / R + f a C u 1 W h u l B c I S q r N h T r R x h z b X 9 i p n b D u i / O 0 u U h b G S 8 y x S P y I C Z L k D Z Z L w H 5 Y C 6 P n u v U i 9 d u X z S R H h J L O q o f v w g y h B f W 8 v J F v M D 8 o k 2 0 3 d 5 J 9 S C 8 m O q Z Z U U 1 J k K O W A P u q I H f N V Z + F 3 4 M t G E Z N l R W X r N b 8 d l m w P 8 P v C c d 5 + X q R D f 8 8 p W O 3 t B o 5 3 W R / q u F U r v t i j x 2 r 0 2 c q 6 V M 2 2 Q H L 2 R d U e + v J V 0 1 U f b z v F a 0 3 d L 4 B v u 9 f 1 B L A Q I t A B Q A A g A I A B B j 6 V I a A / u S q A A A A P g A A A A S A A A A A A A A A A A A A A A A A A A A A A B D b 2 5 m a W c v U G F j a 2 F n Z S 5 4 b W x Q S w E C L Q A U A A I A C A A Q Y + l S D 8 r p q 6 Q A A A D p A A A A E w A A A A A A A A A A A A A A A A D 0 A A A A W 0 N v b n R l b n R f V H l w Z X N d L n h t b F B L A Q I t A B Q A A g A I A B B j 6 V I 1 5 E n 6 q g I A A F k H A A A T A A A A A A A A A A A A A A A A A O U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O A A A A A A A A 7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y a z I i I C 8 + P E V u d H J 5 I F R 5 c G U 9 I k Z p b G x F c n J v c k N v Z G U i I F Z h b H V l P S J z V W 5 r b m 9 3 b i I g L z 4 8 R W 5 0 c n k g V H l w Z T 0 i R m l s b E N v d W 5 0 I i B W Y W x 1 Z T 0 i b D I 1 M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M t M D F U M T Y 6 M j g 6 N D g u N D A 0 N z E z O V o i I C 8 + P E V u d H J 5 I F R 5 c G U 9 I k Z p b G x D b 2 x 1 b W 5 U e X B l c y I g V m F s d W U 9 I n N C Z 1 l E Q m d B P S I g L z 4 8 R W 5 0 c n k g V H l w Z T 0 i R m l s b E N v b H V t b k 5 h b W V z I i B W Y W x 1 Z T 0 i c 1 s m c X V v d D t L Y X R l Z 2 9 y a S Z x d W 9 0 O y w m c X V v d D t F b W 5 l J n F 1 b 3 Q 7 L C Z x d W 9 0 O 8 O F c n N 0 Y W w m c X V v d D s s J n F 1 b 3 Q 7 R G F n d G l s Y n V k J n F 1 b 3 Q 7 L C Z x d W 9 0 O 1 b D p n J k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M i 9 G a m V y b m V 0 I H B p d m 9 0 Z X J p b m c g Y W Y g Y W 5 k c m U g a 2 9 s b 2 5 u Z X I u e 2 t h d G V n b 3 J p L D B 9 J n F 1 b 3 Q 7 L C Z x d W 9 0 O 1 N l Y 3 R p b 2 4 x L 1 R h Y m V s M i 9 G a m V y b m V 0 I H B p d m 9 0 Z X J p b m c g Y W Y g Y W 5 k c m U g a 2 9 s b 2 5 u Z X I u e 2 V t b m U s M X 0 m c X V v d D s s J n F 1 b 3 Q 7 U 2 V j d G l v b j E v V G F i Z W w y L 0 Z q Z X J u Z X Q g c G l 2 b 3 R l c m l u Z y B h Z i B h b m R y Z S B r b 2 x v b m 5 l c i 5 7 w 6 V y c 3 R h b C w y f S Z x d W 9 0 O y w m c X V v d D t T Z W N 0 a W 9 u M S 9 U Y W J l b D I v R m p l c m 5 l d C B w a X Z v d G V y a W 5 n I G F m I G F u Z H J l I G t v b G 9 u b m V y L n t B d H R y a W J 1 d C w z f S Z x d W 9 0 O y w m c X V v d D t T Z W N 0 a W 9 u M S 9 U Y W J l b D I v R m p l c m 5 l d C B w a X Z v d G V y a W 5 n I G F m I G F u Z H J l I G t v b G 9 u b m V y L n t W w 6 Z y Z G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w y L 0 Z q Z X J u Z X Q g c G l 2 b 3 R l c m l u Z y B h Z i B h b m R y Z S B r b 2 x v b m 5 l c i 5 7 a 2 F 0 Z W d v c m k s M H 0 m c X V v d D s s J n F 1 b 3 Q 7 U 2 V j d G l v b j E v V G F i Z W w y L 0 Z q Z X J u Z X Q g c G l 2 b 3 R l c m l u Z y B h Z i B h b m R y Z S B r b 2 x v b m 5 l c i 5 7 Z W 1 u Z S w x f S Z x d W 9 0 O y w m c X V v d D t T Z W N 0 a W 9 u M S 9 U Y W J l b D I v R m p l c m 5 l d C B w a X Z v d G V y a W 5 n I G F m I G F u Z H J l I G t v b G 9 u b m V y L n v D p X J z d G F s L D J 9 J n F 1 b 3 Q 7 L C Z x d W 9 0 O 1 N l Y 3 R p b 2 4 x L 1 R h Y m V s M i 9 G a m V y b m V 0 I H B p d m 9 0 Z X J p b m c g Y W Y g Y W 5 k c m U g a 2 9 s b 2 5 u Z X I u e 0 F 0 d H J p Y n V 0 L D N 9 J n F 1 b 3 Q 7 L C Z x d W 9 0 O 1 N l Y 3 R p b 2 4 x L 1 R h Y m V s M i 9 G a m V y b m V 0 I H B p d m 9 0 Z X J p b m c g Y W Y g Y W 5 k c m U g a 2 9 s b 2 5 u Z X I u e 1 b D p n J k a S w 0 f S Z x d W 9 0 O 1 0 s J n F 1 b 3 Q 7 U m V s Y X R p b 2 5 z a G l w S W 5 m b y Z x d W 9 0 O z p b X X 0 i I C 8 + P E V u d H J 5 I F R 5 c G U 9 I l F 1 Z X J 5 S U Q i I F Z h b H V l P S J z N 2 Y 5 O W Q 0 Z G Q t N D g x M S 0 0 N 2 J k L T h h N z Q t N j B l Y 2 Q 4 N m Z l M G N k I i A v P j w v U 3 R h Y m x l R W 5 0 c m l l c z 4 8 L 0 l 0 Z W 0 + P E l 0 Z W 0 + P E l 0 Z W 1 M b 2 N h d G l v b j 4 8 S X R l b V R 5 c G U + R m 9 y b X V s Y T w v S X R l b V R 5 c G U + P E l 0 Z W 1 Q Y X R o P l N l Y 3 R p b 2 4 x L 1 R h Y m V s M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M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V W R m e W x k d C U y M G 5 l Z G F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9 t Z C V D M y V C O G J 0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Z q Z X J u Z X Q l M j B w a X Z v d G V y a W 5 n J T I w Y W Y l M j B h b m R y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y L 0 9 t Z C V D M y V C O G J 0 Z S U y M G t v b G 9 u b m V y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p j B O 9 5 6 q g T b F x j j p m E z H n A A A A A A I A A A A A A A N m A A D A A A A A E A A A A E X + F X v a P z 7 B Z t s c 3 L N v e l Q A A A A A B I A A A K A A A A A Q A A A A x B 3 i 3 c a K + H h q n 1 c Q K Q 0 A q l A A A A A R + F 6 s q j B 0 1 P z 9 0 e z x L Y 8 K 7 6 l y z e i 8 v H f u z S / 7 G N c f r a B b s 6 X + L I g i m K S w 1 t X K u R B g H / N T q N n M w s n + T O q / U 3 L s 7 q f Y j + 1 D i B H d + 4 i u H 7 + f A h Q A A A A k v F a h E o d 8 l l F J K t W r 9 2 A f 6 C D x A A = = < / D a t a M a s h u p > 
</file>

<file path=customXml/itemProps1.xml><?xml version="1.0" encoding="utf-8"?>
<ds:datastoreItem xmlns:ds="http://schemas.openxmlformats.org/officeDocument/2006/customXml" ds:itemID="{D2B3AF71-4112-4409-A0B1-0549498EB6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16</vt:i4>
      </vt:variant>
      <vt:variant>
        <vt:lpstr>Navngivne områder</vt:lpstr>
      </vt:variant>
      <vt:variant>
        <vt:i4>2</vt:i4>
      </vt:variant>
    </vt:vector>
  </HeadingPairs>
  <TitlesOfParts>
    <vt:vector size="18" baseType="lpstr">
      <vt:lpstr>Rapport</vt:lpstr>
      <vt:lpstr>RapportSammenlign</vt:lpstr>
      <vt:lpstr>OBS</vt:lpstr>
      <vt:lpstr>OPS</vt:lpstr>
      <vt:lpstr>Dagtilbud</vt:lpstr>
      <vt:lpstr>børn oktober</vt:lpstr>
      <vt:lpstr>socioøkonomi</vt:lpstr>
      <vt:lpstr>Sprogvurderinger</vt:lpstr>
      <vt:lpstr>underretninger</vt:lpstr>
      <vt:lpstr>magtanvendelser</vt:lpstr>
      <vt:lpstr>timer</vt:lpstr>
      <vt:lpstr>fravær</vt:lpstr>
      <vt:lpstr>trivsel</vt:lpstr>
      <vt:lpstr>KIDS</vt:lpstr>
      <vt:lpstr>kortlægning</vt:lpstr>
      <vt:lpstr>nat brug 21</vt:lpstr>
      <vt:lpstr>Dagtilbud</vt:lpstr>
      <vt:lpstr>Dagtilbud!Uddrag</vt:lpstr>
    </vt:vector>
  </TitlesOfParts>
  <Company>Kolding 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Bitten Bunkenborg</dc:creator>
  <cp:lastModifiedBy>Bitten Bunkenborg</cp:lastModifiedBy>
  <cp:lastPrinted>2023-08-11T14:12:27Z</cp:lastPrinted>
  <dcterms:created xsi:type="dcterms:W3CDTF">2014-01-09T07:31:12Z</dcterms:created>
  <dcterms:modified xsi:type="dcterms:W3CDTF">2024-07-01T11:39:16Z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cadreDocumentId">
    <vt:i4>5844112</vt:i4>
  </property>
  <property fmtid="{D5CDD505-2E9C-101B-9397-08002B2CF9AE}" pid="3" name="AcadreCaseId">
    <vt:i4>535246</vt:i4>
  </property>
</Properties>
</file>