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User\Documents\Sadie's Job\For SMU\Courses to Teach\6371 Spring 2018 Statistical Foundations of Data Science\Week 10\"/>
    </mc:Choice>
  </mc:AlternateContent>
  <xr:revisionPtr revIDLastSave="0" documentId="13_ncr:1_{760EAB04-5622-4A59-9421-B871EAB0639F}" xr6:coauthVersionLast="28" xr6:coauthVersionMax="28" xr10:uidLastSave="{00000000-0000-0000-0000-000000000000}"/>
  <bookViews>
    <workbookView xWindow="0" yWindow="0" windowWidth="18750" windowHeight="841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K4" i="1" l="1"/>
  <c r="H7" i="1" s="1"/>
  <c r="J4" i="1"/>
  <c r="G6" i="1" s="1"/>
  <c r="H6" i="1" l="1"/>
  <c r="G10" i="1"/>
  <c r="H5" i="1"/>
  <c r="H4" i="1"/>
  <c r="I5" i="1"/>
  <c r="I4" i="1"/>
  <c r="G4" i="1"/>
  <c r="H10" i="1"/>
  <c r="I8" i="1"/>
  <c r="G9" i="1"/>
  <c r="I7" i="1"/>
  <c r="G8" i="1"/>
  <c r="H9" i="1"/>
  <c r="H8" i="1"/>
  <c r="I10" i="1"/>
  <c r="I6" i="1"/>
  <c r="G7" i="1"/>
  <c r="G5" i="1"/>
  <c r="I9" i="1"/>
  <c r="G11" i="1" l="1"/>
  <c r="I11" i="1"/>
  <c r="K9" i="1" l="1"/>
  <c r="K11" i="1"/>
  <c r="O4" i="1" l="1"/>
  <c r="P4" i="1" s="1"/>
  <c r="O7" i="1"/>
  <c r="P7" i="1" s="1"/>
  <c r="Q7" i="1" s="1"/>
  <c r="O6" i="1"/>
  <c r="P6" i="1" s="1"/>
  <c r="Q6" i="1" s="1"/>
  <c r="O5" i="1"/>
  <c r="Q4" i="1"/>
  <c r="E29" i="1"/>
  <c r="E20" i="1"/>
  <c r="E32" i="1"/>
  <c r="E28" i="1"/>
  <c r="E21" i="1"/>
  <c r="E31" i="1"/>
  <c r="E27" i="1"/>
  <c r="E18" i="1"/>
  <c r="E22" i="1"/>
  <c r="E30" i="1"/>
  <c r="E26" i="1"/>
  <c r="E19" i="1"/>
  <c r="E16" i="1"/>
  <c r="E17" i="1"/>
  <c r="P5" i="1"/>
  <c r="Q5" i="1" s="1"/>
  <c r="O9" i="1"/>
  <c r="P9" i="1" s="1"/>
  <c r="Q9" i="1" s="1"/>
  <c r="O10" i="1"/>
  <c r="P10" i="1" s="1"/>
  <c r="Q10" i="1" s="1"/>
  <c r="O8" i="1"/>
  <c r="P8" i="1" s="1"/>
  <c r="Q8" i="1" s="1"/>
  <c r="Q11" i="1" l="1"/>
  <c r="R4" i="1" s="1"/>
  <c r="F29" i="1" l="1"/>
  <c r="F26" i="1"/>
  <c r="F18" i="1"/>
  <c r="F22" i="1"/>
  <c r="U4" i="1"/>
  <c r="U7" i="1" s="1"/>
  <c r="F30" i="1"/>
  <c r="F19" i="1"/>
  <c r="F27" i="1"/>
  <c r="F31" i="1"/>
  <c r="F16" i="1"/>
  <c r="F20" i="1"/>
  <c r="F28" i="1"/>
  <c r="F32" i="1"/>
  <c r="F17" i="1"/>
  <c r="F21" i="1"/>
  <c r="T4" i="1"/>
  <c r="T7" i="1" s="1"/>
  <c r="F38" i="1" l="1"/>
  <c r="G17" i="1"/>
  <c r="H17" i="1"/>
  <c r="F48" i="1"/>
  <c r="H26" i="1"/>
  <c r="G26" i="1"/>
  <c r="F54" i="1"/>
  <c r="H32" i="1"/>
  <c r="G32" i="1"/>
  <c r="F50" i="1"/>
  <c r="G28" i="1"/>
  <c r="H28" i="1"/>
  <c r="F49" i="1"/>
  <c r="H27" i="1"/>
  <c r="G27" i="1"/>
  <c r="F43" i="1"/>
  <c r="G22" i="1"/>
  <c r="H22" i="1"/>
  <c r="F42" i="1"/>
  <c r="G21" i="1"/>
  <c r="H21" i="1"/>
  <c r="F41" i="1"/>
  <c r="G20" i="1"/>
  <c r="H20" i="1"/>
  <c r="F40" i="1"/>
  <c r="H19" i="1"/>
  <c r="G19" i="1"/>
  <c r="F39" i="1"/>
  <c r="G18" i="1"/>
  <c r="H18" i="1"/>
  <c r="F37" i="1"/>
  <c r="G16" i="1"/>
  <c r="H16" i="1"/>
  <c r="F52" i="1"/>
  <c r="H30" i="1"/>
  <c r="G30" i="1"/>
  <c r="F53" i="1"/>
  <c r="H31" i="1"/>
  <c r="G31" i="1"/>
  <c r="F51" i="1"/>
  <c r="G29" i="1"/>
  <c r="H29" i="1"/>
  <c r="G48" i="1" l="1"/>
  <c r="H48" i="1"/>
  <c r="H51" i="1"/>
  <c r="G51" i="1"/>
  <c r="G39" i="1"/>
  <c r="H39" i="1"/>
  <c r="G43" i="1"/>
  <c r="H43" i="1"/>
  <c r="G37" i="1"/>
  <c r="H37" i="1"/>
  <c r="H42" i="1"/>
  <c r="G42" i="1"/>
  <c r="H54" i="1"/>
  <c r="G54" i="1"/>
  <c r="H52" i="1"/>
  <c r="G52" i="1"/>
  <c r="G41" i="1"/>
  <c r="H41" i="1"/>
  <c r="H50" i="1"/>
  <c r="G50" i="1"/>
  <c r="H53" i="1"/>
  <c r="G53" i="1"/>
  <c r="G40" i="1"/>
  <c r="H40" i="1"/>
  <c r="H49" i="1"/>
  <c r="G49" i="1"/>
  <c r="H38" i="1"/>
  <c r="G38" i="1"/>
</calcChain>
</file>

<file path=xl/sharedStrings.xml><?xml version="1.0" encoding="utf-8"?>
<sst xmlns="http://schemas.openxmlformats.org/spreadsheetml/2006/main" count="56" uniqueCount="40">
  <si>
    <t>Budget</t>
  </si>
  <si>
    <t>Gross</t>
  </si>
  <si>
    <t>MOVIE DATA</t>
  </si>
  <si>
    <t>CRICKET DATA</t>
  </si>
  <si>
    <t>Chirps</t>
  </si>
  <si>
    <t>Temp</t>
  </si>
  <si>
    <t>Parent Child Heights</t>
  </si>
  <si>
    <t>Mother</t>
  </si>
  <si>
    <t>Daughter</t>
  </si>
  <si>
    <t>Marathons</t>
  </si>
  <si>
    <t>Time</t>
  </si>
  <si>
    <t>Regression Coefficent Calculation Example or Movie Data</t>
  </si>
  <si>
    <t>x</t>
  </si>
  <si>
    <t>y</t>
  </si>
  <si>
    <t>Mean x</t>
  </si>
  <si>
    <t>Mean y</t>
  </si>
  <si>
    <t>(x-xbar)^2</t>
  </si>
  <si>
    <t>(y - ybar)^2</t>
  </si>
  <si>
    <t xml:space="preserve">Beta 1 </t>
  </si>
  <si>
    <t xml:space="preserve">Beta 0 </t>
  </si>
  <si>
    <t>(x-xbar)*(y-ybar)</t>
  </si>
  <si>
    <t>Hypothesis Test for Movie Data</t>
  </si>
  <si>
    <t>sample sd of x</t>
  </si>
  <si>
    <t>Estimated Value</t>
  </si>
  <si>
    <t>Residual</t>
  </si>
  <si>
    <t>Resid^2</t>
  </si>
  <si>
    <t>SE Beta1</t>
  </si>
  <si>
    <t>SE Beta 0</t>
  </si>
  <si>
    <t>t Beta 1</t>
  </si>
  <si>
    <t>t Beta 0</t>
  </si>
  <si>
    <t>Confidence Intervals</t>
  </si>
  <si>
    <t>Budgets</t>
  </si>
  <si>
    <t>Lower Lim</t>
  </si>
  <si>
    <t>Est Value</t>
  </si>
  <si>
    <t>SE Est Value</t>
  </si>
  <si>
    <t>Upper Lim</t>
  </si>
  <si>
    <t>Prediction Intervals</t>
  </si>
  <si>
    <t>Calibration Interval (For Mean of Gross)</t>
  </si>
  <si>
    <t>Calibration Interval (For Individual Gross)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</si>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</sst>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Movie Data Scatter Plot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Est Value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Sheet1!$D$16:$D$22</c:f>
              <c:numCache>
                <c:formatCode>General</c:formatCode>
                <c:ptCount val="7"/>
                <c:pt idx="0">
                  <c:v>35</c:v>
                </c:pt>
                <c:pt idx="1">
                  <c:v>65</c:v>
                </c:pt>
                <c:pt idx="2">
                  <c:v>95</c:v>
                </c:pt>
                <c:pt idx="3">
                  <c:v>125</c:v>
                </c:pt>
                <c:pt idx="4">
                  <c:v>155</c:v>
                </c:pt>
                <c:pt idx="5">
                  <c:v>185</c:v>
                </c:pt>
                <c:pt idx="6">
                  <c:v>200</c:v>
                </c:pt>
              </c:numCache>
            </c:numRef>
          </c:cat>
          <c:val>
            <c:numRef>
              <c:f>Sheet1!$E$16:$E$22</c:f>
              <c:numCache>
                <c:formatCode>General</c:formatCode>
                <c:ptCount val="7"/>
                <c:pt idx="0">
                  <c:v>-42.619777045775393</c:v>
                </c:pt>
                <c:pt idx="1">
                  <c:v>61.542927612896932</c:v>
                </c:pt>
                <c:pt idx="2">
                  <c:v>165.70563227156927</c:v>
                </c:pt>
                <c:pt idx="3">
                  <c:v>269.86833693024164</c:v>
                </c:pt>
                <c:pt idx="4">
                  <c:v>374.03104158891392</c:v>
                </c:pt>
                <c:pt idx="5">
                  <c:v>478.1937462475862</c:v>
                </c:pt>
                <c:pt idx="6">
                  <c:v>530.27509857692246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8-4B61-AC6F-D0C12CAA04E4}"/>
            </c:ext>
          </c:extLst>
        </c:ser>
        <c:ser>
          <c:idx val="1"/>
          <c:order val="1"/>
          <c:tx>
            <c:v>95% Conf Upper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Sheet1!$D$16:$D$22</c:f>
              <c:numCache>
                <c:formatCode>General</c:formatCode>
                <c:ptCount val="7"/>
                <c:pt idx="0">
                  <c:v>35</c:v>
                </c:pt>
                <c:pt idx="1">
                  <c:v>65</c:v>
                </c:pt>
                <c:pt idx="2">
                  <c:v>95</c:v>
                </c:pt>
                <c:pt idx="3">
                  <c:v>125</c:v>
                </c:pt>
                <c:pt idx="4">
                  <c:v>155</c:v>
                </c:pt>
                <c:pt idx="5">
                  <c:v>185</c:v>
                </c:pt>
                <c:pt idx="6">
                  <c:v>200</c:v>
                </c:pt>
              </c:numCache>
            </c:numRef>
          </c:cat>
          <c:val>
            <c:numRef>
              <c:f>Sheet1!$H$16:$H$22</c:f>
              <c:numCache>
                <c:formatCode>General</c:formatCode>
                <c:ptCount val="7"/>
                <c:pt idx="0">
                  <c:v>78.130748820236747</c:v>
                </c:pt>
                <c:pt idx="1">
                  <c:v>152.53109602142996</c:v>
                </c:pt>
                <c:pt idx="2">
                  <c:v>247.89184989184076</c:v>
                </c:pt>
                <c:pt idx="3">
                  <c:v>369.90769031719447</c:v>
                </c:pt>
                <c:pt idx="4">
                  <c:v>508.33941946758011</c:v>
                </c:pt>
                <c:pt idx="5">
                  <c:v>653.82739562515712</c:v>
                </c:pt>
                <c:pt idx="6">
                  <c:v>727.86808140383914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8-4B61-AC6F-D0C12CAA04E4}"/>
            </c:ext>
          </c:extLst>
        </c:ser>
        <c:ser>
          <c:idx val="0"/>
          <c:order val="2"/>
          <c:tx>
            <c:v>95% Conf Lower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Sheet1!$D$16:$D$22</c:f>
              <c:numCache>
                <c:formatCode>General</c:formatCode>
                <c:ptCount val="7"/>
                <c:pt idx="0">
                  <c:v>35</c:v>
                </c:pt>
                <c:pt idx="1">
                  <c:v>65</c:v>
                </c:pt>
                <c:pt idx="2">
                  <c:v>95</c:v>
                </c:pt>
                <c:pt idx="3">
                  <c:v>125</c:v>
                </c:pt>
                <c:pt idx="4">
                  <c:v>155</c:v>
                </c:pt>
                <c:pt idx="5">
                  <c:v>185</c:v>
                </c:pt>
                <c:pt idx="6">
                  <c:v>200</c:v>
                </c:pt>
              </c:numCache>
            </c:numRef>
          </c:cat>
          <c:val>
            <c:numRef>
              <c:f>Sheet1!$G$16:$G$22</c:f>
              <c:numCache>
                <c:formatCode>General</c:formatCode>
                <c:ptCount val="7"/>
                <c:pt idx="0">
                  <c:v>-163.37030291178752</c:v>
                </c:pt>
                <c:pt idx="1">
                  <c:v>-29.44524079563611</c:v>
                </c:pt>
                <c:pt idx="2">
                  <c:v>83.519414651297794</c:v>
                </c:pt>
                <c:pt idx="3">
                  <c:v>169.82898354328881</c:v>
                </c:pt>
                <c:pt idx="4">
                  <c:v>239.72266371024773</c:v>
                </c:pt>
                <c:pt idx="5">
                  <c:v>302.56009687001534</c:v>
                </c:pt>
                <c:pt idx="6">
                  <c:v>332.68211575000578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18-4B61-AC6F-D0C12CAA04E4}"/>
            </c:ext>
          </c:extLst>
        </c:ser>
        <c:ser>
          <c:idx val="3"/>
          <c:order val="3"/>
          <c:tx>
            <c:v>Predict Upper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Sheet1!$H$26:$H$32</c:f>
              <c:numCache>
                <c:formatCode>General</c:formatCode>
                <c:ptCount val="7"/>
                <c:pt idx="0">
                  <c:v>204.99925562878929</c:v>
                </c:pt>
                <c:pt idx="1">
                  <c:v>296.09216047480214</c:v>
                </c:pt>
                <c:pt idx="2">
                  <c:v>396.98267439312383</c:v>
                </c:pt>
                <c:pt idx="3">
                  <c:v>508.07490290156056</c:v>
                </c:pt>
                <c:pt idx="4">
                  <c:v>628.53690834676934</c:v>
                </c:pt>
                <c:pt idx="5">
                  <c:v>756.7286177438715</c:v>
                </c:pt>
                <c:pt idx="6">
                  <c:v>823.15302998898164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18-4B61-AC6F-D0C12CAA04E4}"/>
            </c:ext>
          </c:extLst>
        </c:ser>
        <c:ser>
          <c:idx val="4"/>
          <c:order val="4"/>
          <c:tx>
            <c:v>Predict Lower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Sheet1!$G$26:$G$32</c:f>
              <c:numCache>
                <c:formatCode>General</c:formatCode>
                <c:ptCount val="7"/>
                <c:pt idx="0">
                  <c:v>-290.23880972034004</c:v>
                </c:pt>
                <c:pt idx="1">
                  <c:v>-173.00630524900828</c:v>
                </c:pt>
                <c:pt idx="2">
                  <c:v>-65.571409849985258</c:v>
                </c:pt>
                <c:pt idx="3">
                  <c:v>31.661770958922716</c:v>
                </c:pt>
                <c:pt idx="4">
                  <c:v>119.52517483105848</c:v>
                </c:pt>
                <c:pt idx="5">
                  <c:v>199.65887475130091</c:v>
                </c:pt>
                <c:pt idx="6">
                  <c:v>237.39716716486322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18-4B61-AC6F-D0C12CAA0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534552"/>
        <c:axId val="175319672"/>
      </c:lineChart>
      <c:catAx>
        <c:axId val="24853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Budget ($Millions)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319672"/>
        <c:crossesAt val="-400"/>
        <c:auto val="1"/>
        <c:lblAlgn val="ctr"/>
        <c:lblOffset val="100"/>
        <c:noMultiLvlLbl val="0"/>
      </c:catAx>
      <c:valAx>
        <c:axId val="175319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Gross ($Millions)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53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Movie Data Scatter Plot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Est Value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Sheet1!$D$16:$D$22</c:f>
              <c:numCache>
                <c:formatCode>General</c:formatCode>
                <c:ptCount val="7"/>
                <c:pt idx="0">
                  <c:v>35</c:v>
                </c:pt>
                <c:pt idx="1">
                  <c:v>65</c:v>
                </c:pt>
                <c:pt idx="2">
                  <c:v>95</c:v>
                </c:pt>
                <c:pt idx="3">
                  <c:v>125</c:v>
                </c:pt>
                <c:pt idx="4">
                  <c:v>155</c:v>
                </c:pt>
                <c:pt idx="5">
                  <c:v>185</c:v>
                </c:pt>
                <c:pt idx="6">
                  <c:v>200</c:v>
                </c:pt>
              </c:numCache>
            </c:numRef>
          </c:cat>
          <c:val>
            <c:numRef>
              <c:f>Sheet1!$E$16:$E$22</c:f>
              <c:numCache>
                <c:formatCode>General</c:formatCode>
                <c:ptCount val="7"/>
                <c:pt idx="0">
                  <c:v>-42.619777045775393</c:v>
                </c:pt>
                <c:pt idx="1">
                  <c:v>61.542927612896932</c:v>
                </c:pt>
                <c:pt idx="2">
                  <c:v>165.70563227156927</c:v>
                </c:pt>
                <c:pt idx="3">
                  <c:v>269.86833693024164</c:v>
                </c:pt>
                <c:pt idx="4">
                  <c:v>374.03104158891392</c:v>
                </c:pt>
                <c:pt idx="5">
                  <c:v>478.1937462475862</c:v>
                </c:pt>
                <c:pt idx="6">
                  <c:v>530.27509857692246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B-42B1-A78E-4436FC94C21A}"/>
            </c:ext>
          </c:extLst>
        </c:ser>
        <c:ser>
          <c:idx val="1"/>
          <c:order val="1"/>
          <c:tx>
            <c:v>95% Conf Upper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Sheet1!$D$16:$D$22</c:f>
              <c:numCache>
                <c:formatCode>General</c:formatCode>
                <c:ptCount val="7"/>
                <c:pt idx="0">
                  <c:v>35</c:v>
                </c:pt>
                <c:pt idx="1">
                  <c:v>65</c:v>
                </c:pt>
                <c:pt idx="2">
                  <c:v>95</c:v>
                </c:pt>
                <c:pt idx="3">
                  <c:v>125</c:v>
                </c:pt>
                <c:pt idx="4">
                  <c:v>155</c:v>
                </c:pt>
                <c:pt idx="5">
                  <c:v>185</c:v>
                </c:pt>
                <c:pt idx="6">
                  <c:v>200</c:v>
                </c:pt>
              </c:numCache>
            </c:numRef>
          </c:cat>
          <c:val>
            <c:numRef>
              <c:f>Sheet1!$H$16:$H$22</c:f>
              <c:numCache>
                <c:formatCode>General</c:formatCode>
                <c:ptCount val="7"/>
                <c:pt idx="0">
                  <c:v>78.130748820236747</c:v>
                </c:pt>
                <c:pt idx="1">
                  <c:v>152.53109602142996</c:v>
                </c:pt>
                <c:pt idx="2">
                  <c:v>247.89184989184076</c:v>
                </c:pt>
                <c:pt idx="3">
                  <c:v>369.90769031719447</c:v>
                </c:pt>
                <c:pt idx="4">
                  <c:v>508.33941946758011</c:v>
                </c:pt>
                <c:pt idx="5">
                  <c:v>653.82739562515712</c:v>
                </c:pt>
                <c:pt idx="6">
                  <c:v>727.86808140383914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B-42B1-A78E-4436FC94C21A}"/>
            </c:ext>
          </c:extLst>
        </c:ser>
        <c:ser>
          <c:idx val="0"/>
          <c:order val="2"/>
          <c:tx>
            <c:v>95% Conf Lower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Sheet1!$D$16:$D$22</c:f>
              <c:numCache>
                <c:formatCode>General</c:formatCode>
                <c:ptCount val="7"/>
                <c:pt idx="0">
                  <c:v>35</c:v>
                </c:pt>
                <c:pt idx="1">
                  <c:v>65</c:v>
                </c:pt>
                <c:pt idx="2">
                  <c:v>95</c:v>
                </c:pt>
                <c:pt idx="3">
                  <c:v>125</c:v>
                </c:pt>
                <c:pt idx="4">
                  <c:v>155</c:v>
                </c:pt>
                <c:pt idx="5">
                  <c:v>185</c:v>
                </c:pt>
                <c:pt idx="6">
                  <c:v>200</c:v>
                </c:pt>
              </c:numCache>
            </c:numRef>
          </c:cat>
          <c:val>
            <c:numRef>
              <c:f>Sheet1!$G$16:$G$22</c:f>
              <c:numCache>
                <c:formatCode>General</c:formatCode>
                <c:ptCount val="7"/>
                <c:pt idx="0">
                  <c:v>-163.37030291178752</c:v>
                </c:pt>
                <c:pt idx="1">
                  <c:v>-29.44524079563611</c:v>
                </c:pt>
                <c:pt idx="2">
                  <c:v>83.519414651297794</c:v>
                </c:pt>
                <c:pt idx="3">
                  <c:v>169.82898354328881</c:v>
                </c:pt>
                <c:pt idx="4">
                  <c:v>239.72266371024773</c:v>
                </c:pt>
                <c:pt idx="5">
                  <c:v>302.56009687001534</c:v>
                </c:pt>
                <c:pt idx="6">
                  <c:v>332.68211575000578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CB-42B1-A78E-4436FC94C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75496"/>
        <c:axId val="209698536"/>
      </c:lineChart>
      <c:catAx>
        <c:axId val="7837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Budget ($Millions)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698536"/>
        <c:crossesAt val="-400"/>
        <c:auto val="1"/>
        <c:lblAlgn val="ctr"/>
        <c:lblOffset val="100"/>
        <c:noMultiLvlLbl val="0"/>
      </c:catAx>
      <c:valAx>
        <c:axId val="209698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Gross ($Millions)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7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12</xdr:row>
      <xdr:rowOff>38100</xdr:rowOff>
    </xdr:from>
    <xdr:to>
      <xdr:col>20</xdr:col>
      <xdr:colOff>481012</xdr:colOff>
      <xdr:row>31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704850</xdr:colOff>
      <xdr:row>25</xdr:row>
      <xdr:rowOff>104775</xdr:rowOff>
    </xdr:from>
    <xdr:to>
      <xdr:col>18</xdr:col>
      <xdr:colOff>357187</xdr:colOff>
      <xdr:row>45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90"/>
  <sheetViews>
    <sheetView tabSelected="1" workbookViewId="0"/>
  </sheetViews>
  <sheetFormatPr defaultRowHeight="15" x14ac:dyDescent="0.25"/>
  <cols>
    <col min="5" max="5" width="9.7109375" customWidth="1"/>
    <col min="6" max="7" width="11.42578125" customWidth="1"/>
    <col min="8" max="8" width="12.85546875" customWidth="1"/>
    <col min="9" max="9" width="16.140625" customWidth="1"/>
    <col min="13" max="13" width="13.5703125" customWidth="1"/>
    <col min="15" max="15" width="15" customWidth="1"/>
  </cols>
  <sheetData>
    <row r="2" spans="1:21" ht="21" x14ac:dyDescent="0.35">
      <c r="A2" s="3" t="s">
        <v>2</v>
      </c>
      <c r="E2" t="s">
        <v>11</v>
      </c>
      <c r="M2" t="s">
        <v>21</v>
      </c>
    </row>
    <row r="3" spans="1:21" x14ac:dyDescent="0.25">
      <c r="A3" t="s">
        <v>0</v>
      </c>
      <c r="B3" t="s">
        <v>1</v>
      </c>
      <c r="E3" t="s">
        <v>12</v>
      </c>
      <c r="F3" t="s">
        <v>13</v>
      </c>
      <c r="G3" t="s">
        <v>16</v>
      </c>
      <c r="H3" t="s">
        <v>17</v>
      </c>
      <c r="I3" t="s">
        <v>20</v>
      </c>
      <c r="J3" t="s">
        <v>14</v>
      </c>
      <c r="K3" t="s">
        <v>15</v>
      </c>
      <c r="M3" t="s">
        <v>22</v>
      </c>
      <c r="O3" t="s">
        <v>23</v>
      </c>
      <c r="P3" t="s">
        <v>24</v>
      </c>
      <c r="Q3" t="s">
        <v>25</v>
      </c>
      <c r="R3" s="1" t="s">
        <v>39</v>
      </c>
      <c r="T3" s="1" t="s">
        <v>26</v>
      </c>
      <c r="U3" s="1" t="s">
        <v>27</v>
      </c>
    </row>
    <row r="4" spans="1:21" x14ac:dyDescent="0.25">
      <c r="A4">
        <v>62</v>
      </c>
      <c r="B4">
        <v>65</v>
      </c>
      <c r="E4">
        <v>62</v>
      </c>
      <c r="F4">
        <v>65</v>
      </c>
      <c r="G4">
        <f>(E4 - $J$4)^2</f>
        <v>760.1836734693876</v>
      </c>
      <c r="H4">
        <f t="shared" ref="H4:H10" si="0">(F4 - $K$4)^2</f>
        <v>6700.5918367346949</v>
      </c>
      <c r="I4">
        <f>(E4-$J$4)*(F4 - $K$4)</f>
        <v>2256.9183673469388</v>
      </c>
      <c r="J4">
        <f>AVERAGE(E4:E10)</f>
        <v>89.571428571428569</v>
      </c>
      <c r="K4">
        <f>AVERAGE(F4:F10)</f>
        <v>146.85714285714286</v>
      </c>
      <c r="M4">
        <f>_xlfn.STDEV.S(E4:E10)</f>
        <v>54.172124267182355</v>
      </c>
      <c r="O4">
        <f>$K$11 +$K$9 * E4</f>
        <v>51.126657147029704</v>
      </c>
      <c r="P4">
        <f>F4 - O4</f>
        <v>13.873342852970296</v>
      </c>
      <c r="Q4">
        <f>P4^2</f>
        <v>192.46964191606199</v>
      </c>
      <c r="R4" s="1">
        <f>SQRT(Q11/5)</f>
        <v>84.098325129270052</v>
      </c>
      <c r="T4" s="1">
        <f>R4*SQRT(1/(6*M4^2))</f>
        <v>0.63377609664270951</v>
      </c>
      <c r="U4" s="1">
        <f>R4*SQRT(1/7+J4^2/(6*M4^2))</f>
        <v>65.061456820788649</v>
      </c>
    </row>
    <row r="5" spans="1:21" x14ac:dyDescent="0.25">
      <c r="A5">
        <v>90</v>
      </c>
      <c r="B5">
        <v>64</v>
      </c>
      <c r="E5">
        <v>90</v>
      </c>
      <c r="F5">
        <v>64</v>
      </c>
      <c r="G5">
        <f t="shared" ref="G5:G10" si="1">(E5 - $J$4)^2</f>
        <v>0.18367346938775683</v>
      </c>
      <c r="H5">
        <f t="shared" si="0"/>
        <v>6865.3061224489802</v>
      </c>
      <c r="I5">
        <f t="shared" ref="I5:I10" si="2">(E5-$J$4)*(F5 - $K$4)</f>
        <v>-35.510204081632821</v>
      </c>
      <c r="O5">
        <f>$K$11 +$K$9 * E5</f>
        <v>148.34518149512391</v>
      </c>
      <c r="P5">
        <f t="shared" ref="P5:P10" si="3">F5 - O5</f>
        <v>-84.34518149512391</v>
      </c>
      <c r="Q5">
        <f t="shared" ref="Q5:Q10" si="4">P5^2</f>
        <v>7114.1096414453932</v>
      </c>
    </row>
    <row r="6" spans="1:21" x14ac:dyDescent="0.25">
      <c r="A6">
        <v>50</v>
      </c>
      <c r="B6">
        <v>48</v>
      </c>
      <c r="E6">
        <v>50</v>
      </c>
      <c r="F6">
        <v>48</v>
      </c>
      <c r="G6">
        <f t="shared" si="1"/>
        <v>1565.8979591836733</v>
      </c>
      <c r="H6">
        <f t="shared" si="0"/>
        <v>9772.7346938775518</v>
      </c>
      <c r="I6">
        <f t="shared" si="2"/>
        <v>3911.9183673469388</v>
      </c>
      <c r="O6">
        <f>$K$11 +$K$9 * E6</f>
        <v>9.4615752835607907</v>
      </c>
      <c r="P6">
        <f t="shared" si="3"/>
        <v>38.538424716439209</v>
      </c>
      <c r="Q6">
        <f t="shared" si="4"/>
        <v>1485.2101796246525</v>
      </c>
      <c r="T6" s="1" t="s">
        <v>28</v>
      </c>
      <c r="U6" s="1" t="s">
        <v>29</v>
      </c>
    </row>
    <row r="7" spans="1:21" x14ac:dyDescent="0.25">
      <c r="A7">
        <v>35</v>
      </c>
      <c r="B7">
        <v>57</v>
      </c>
      <c r="E7">
        <v>35</v>
      </c>
      <c r="F7">
        <v>57</v>
      </c>
      <c r="G7">
        <f t="shared" si="1"/>
        <v>2978.0408163265306</v>
      </c>
      <c r="H7">
        <f t="shared" si="0"/>
        <v>8074.3061224489802</v>
      </c>
      <c r="I7">
        <f t="shared" si="2"/>
        <v>4903.6326530612241</v>
      </c>
      <c r="O7">
        <f>$K$11 +$K$9 * E7</f>
        <v>-42.619777045775393</v>
      </c>
      <c r="P7">
        <f t="shared" si="3"/>
        <v>99.619777045775393</v>
      </c>
      <c r="Q7">
        <f t="shared" si="4"/>
        <v>9924.0999786499979</v>
      </c>
      <c r="T7" s="1">
        <f>(K9-0)/T4</f>
        <v>5.4784176520410242</v>
      </c>
      <c r="U7" s="1">
        <f>(K11-0)/U4</f>
        <v>-2.5228905176996532</v>
      </c>
    </row>
    <row r="8" spans="1:21" ht="15.75" x14ac:dyDescent="0.25">
      <c r="A8">
        <v>200</v>
      </c>
      <c r="B8">
        <v>601</v>
      </c>
      <c r="E8">
        <v>200</v>
      </c>
      <c r="F8">
        <v>601</v>
      </c>
      <c r="G8">
        <f t="shared" si="1"/>
        <v>12194.469387755102</v>
      </c>
      <c r="H8">
        <f t="shared" si="0"/>
        <v>206245.73469387752</v>
      </c>
      <c r="I8">
        <f t="shared" si="2"/>
        <v>50150.34693877551</v>
      </c>
      <c r="K8" s="2" t="s">
        <v>18</v>
      </c>
      <c r="O8">
        <f t="shared" ref="O8:O10" si="5">$K$11 +$K$9 * E8</f>
        <v>530.27509857692246</v>
      </c>
      <c r="P8">
        <f t="shared" si="3"/>
        <v>70.72490142307754</v>
      </c>
      <c r="Q8">
        <f t="shared" si="4"/>
        <v>5002.0116813040358</v>
      </c>
    </row>
    <row r="9" spans="1:21" ht="15.75" x14ac:dyDescent="0.25">
      <c r="A9">
        <v>100</v>
      </c>
      <c r="B9">
        <v>146</v>
      </c>
      <c r="E9">
        <v>100</v>
      </c>
      <c r="F9">
        <v>146</v>
      </c>
      <c r="G9">
        <f t="shared" si="1"/>
        <v>108.75510204081637</v>
      </c>
      <c r="H9">
        <f t="shared" si="0"/>
        <v>0.73469387755102733</v>
      </c>
      <c r="I9">
        <f t="shared" si="2"/>
        <v>-8.9387755102041258</v>
      </c>
      <c r="K9" s="2">
        <f>I11/G11</f>
        <v>3.4720901552890777</v>
      </c>
      <c r="O9">
        <f t="shared" si="5"/>
        <v>183.06608304801469</v>
      </c>
      <c r="P9">
        <f t="shared" si="3"/>
        <v>-37.06608304801469</v>
      </c>
      <c r="Q9">
        <f t="shared" si="4"/>
        <v>1373.894512522322</v>
      </c>
    </row>
    <row r="10" spans="1:21" ht="15.75" x14ac:dyDescent="0.25">
      <c r="A10">
        <v>90</v>
      </c>
      <c r="B10">
        <v>47</v>
      </c>
      <c r="E10">
        <v>90</v>
      </c>
      <c r="F10">
        <v>47</v>
      </c>
      <c r="G10">
        <f t="shared" si="1"/>
        <v>0.18367346938775683</v>
      </c>
      <c r="H10">
        <f t="shared" si="0"/>
        <v>9971.448979591838</v>
      </c>
      <c r="I10">
        <f t="shared" si="2"/>
        <v>-42.795918367347141</v>
      </c>
      <c r="K10" s="2" t="s">
        <v>19</v>
      </c>
      <c r="O10">
        <f t="shared" si="5"/>
        <v>148.34518149512391</v>
      </c>
      <c r="P10">
        <f t="shared" si="3"/>
        <v>-101.34518149512391</v>
      </c>
      <c r="Q10">
        <f t="shared" si="4"/>
        <v>10270.845812279606</v>
      </c>
    </row>
    <row r="11" spans="1:21" ht="15.75" x14ac:dyDescent="0.25">
      <c r="G11" s="1">
        <f>SUM(G4:G10)</f>
        <v>17607.714285714286</v>
      </c>
      <c r="H11" s="1"/>
      <c r="I11" s="1">
        <f>SUM(I4:I10)</f>
        <v>61135.571428571428</v>
      </c>
      <c r="K11" s="2">
        <f>AVERAGE(F4:F10) - K9*AVERAGE(E4:E10)</f>
        <v>-164.14293248089311</v>
      </c>
      <c r="Q11" s="2">
        <f>SUM(Q4:Q10)</f>
        <v>35362.641447742069</v>
      </c>
    </row>
    <row r="12" spans="1:21" ht="15.75" x14ac:dyDescent="0.25">
      <c r="G12" s="1"/>
      <c r="H12" s="1"/>
      <c r="I12" s="1"/>
      <c r="K12" s="2"/>
      <c r="Q12" s="2"/>
    </row>
    <row r="13" spans="1:21" ht="15.75" x14ac:dyDescent="0.25">
      <c r="G13" s="1"/>
      <c r="H13" s="1"/>
      <c r="I13" s="1"/>
      <c r="K13" s="2"/>
      <c r="Q13" s="2"/>
    </row>
    <row r="14" spans="1:21" ht="15.75" x14ac:dyDescent="0.25">
      <c r="D14" s="1" t="s">
        <v>30</v>
      </c>
      <c r="G14" s="1"/>
      <c r="H14" s="1"/>
      <c r="I14" s="1"/>
      <c r="K14" s="2"/>
      <c r="Q14" s="2"/>
    </row>
    <row r="15" spans="1:21" ht="15.75" x14ac:dyDescent="0.25">
      <c r="D15" s="1" t="s">
        <v>31</v>
      </c>
      <c r="E15" s="1" t="s">
        <v>33</v>
      </c>
      <c r="F15" s="1" t="s">
        <v>34</v>
      </c>
      <c r="G15" s="1" t="s">
        <v>32</v>
      </c>
      <c r="H15" s="1" t="s">
        <v>35</v>
      </c>
      <c r="I15" s="1"/>
      <c r="K15" s="2"/>
      <c r="Q15" s="2"/>
    </row>
    <row r="16" spans="1:21" x14ac:dyDescent="0.25">
      <c r="D16">
        <v>35</v>
      </c>
      <c r="E16">
        <f>$K$11 +$K$9 *D16</f>
        <v>-42.619777045775393</v>
      </c>
      <c r="F16">
        <f>$R$4 * SQRT(1/7+(D16-$J$4)^2/(6*$M$4^2))</f>
        <v>46.974005725875628</v>
      </c>
      <c r="G16">
        <f>E16+_xlfn.T.INV(0.025,5)*F16</f>
        <v>-163.37030291178752</v>
      </c>
      <c r="H16">
        <f>E16-_xlfn.T.INV(0.025,5)*F16</f>
        <v>78.130748820236747</v>
      </c>
    </row>
    <row r="17" spans="4:8" x14ac:dyDescent="0.25">
      <c r="D17">
        <v>65</v>
      </c>
      <c r="E17">
        <f t="shared" ref="E17:E22" si="6">$K$11 +$K$9 *D17</f>
        <v>61.542927612896932</v>
      </c>
      <c r="F17">
        <f t="shared" ref="F17:F22" si="7">$R$4 * SQRT(1/7+(D17-$J$4)^2/(6*$M$4^2))</f>
        <v>35.395943107957919</v>
      </c>
      <c r="G17">
        <f t="shared" ref="G17:G22" si="8">E17+_xlfn.T.INV(0.025,5)*F17</f>
        <v>-29.44524079563611</v>
      </c>
      <c r="H17">
        <f t="shared" ref="H17:H22" si="9">E17-_xlfn.T.INV(0.025,5)*F17</f>
        <v>152.53109602142996</v>
      </c>
    </row>
    <row r="18" spans="4:8" x14ac:dyDescent="0.25">
      <c r="D18">
        <v>95</v>
      </c>
      <c r="E18">
        <f t="shared" si="6"/>
        <v>165.70563227156927</v>
      </c>
      <c r="F18">
        <f t="shared" si="7"/>
        <v>31.971834734422032</v>
      </c>
      <c r="G18">
        <f t="shared" si="8"/>
        <v>83.519414651297794</v>
      </c>
      <c r="H18">
        <f t="shared" si="9"/>
        <v>247.89184989184076</v>
      </c>
    </row>
    <row r="19" spans="4:8" x14ac:dyDescent="0.25">
      <c r="D19">
        <v>125</v>
      </c>
      <c r="E19">
        <f t="shared" si="6"/>
        <v>269.86833693024164</v>
      </c>
      <c r="F19">
        <f t="shared" si="7"/>
        <v>38.917007815154555</v>
      </c>
      <c r="G19">
        <f t="shared" si="8"/>
        <v>169.82898354328881</v>
      </c>
      <c r="H19">
        <f t="shared" si="9"/>
        <v>369.90769031719447</v>
      </c>
    </row>
    <row r="20" spans="4:8" x14ac:dyDescent="0.25">
      <c r="D20">
        <v>155</v>
      </c>
      <c r="E20">
        <f t="shared" si="6"/>
        <v>374.03104158891392</v>
      </c>
      <c r="F20">
        <f t="shared" si="7"/>
        <v>52.248240463202315</v>
      </c>
      <c r="G20">
        <f t="shared" si="8"/>
        <v>239.72266371024773</v>
      </c>
      <c r="H20">
        <f t="shared" si="9"/>
        <v>508.33941946758011</v>
      </c>
    </row>
    <row r="21" spans="4:8" x14ac:dyDescent="0.25">
      <c r="D21">
        <v>185</v>
      </c>
      <c r="E21">
        <f t="shared" si="6"/>
        <v>478.1937462475862</v>
      </c>
      <c r="F21">
        <f t="shared" si="7"/>
        <v>68.324473060043616</v>
      </c>
      <c r="G21">
        <f t="shared" si="8"/>
        <v>302.56009687001534</v>
      </c>
      <c r="H21">
        <f t="shared" si="9"/>
        <v>653.82739562515712</v>
      </c>
    </row>
    <row r="22" spans="4:8" x14ac:dyDescent="0.25">
      <c r="D22">
        <v>200</v>
      </c>
      <c r="E22">
        <f t="shared" si="6"/>
        <v>530.27509857692246</v>
      </c>
      <c r="F22">
        <f t="shared" si="7"/>
        <v>76.86702679045618</v>
      </c>
      <c r="G22">
        <f t="shared" si="8"/>
        <v>332.68211575000578</v>
      </c>
      <c r="H22">
        <f t="shared" si="9"/>
        <v>727.86808140383914</v>
      </c>
    </row>
    <row r="24" spans="4:8" x14ac:dyDescent="0.25">
      <c r="D24" s="1" t="s">
        <v>36</v>
      </c>
    </row>
    <row r="25" spans="4:8" x14ac:dyDescent="0.25">
      <c r="D25" s="1" t="s">
        <v>31</v>
      </c>
      <c r="E25" s="1" t="s">
        <v>33</v>
      </c>
      <c r="F25" s="1" t="s">
        <v>34</v>
      </c>
      <c r="G25" s="1" t="s">
        <v>32</v>
      </c>
      <c r="H25" s="1" t="s">
        <v>35</v>
      </c>
    </row>
    <row r="26" spans="4:8" x14ac:dyDescent="0.25">
      <c r="D26">
        <v>35</v>
      </c>
      <c r="E26">
        <f>$K$11 +$K$9 *D26</f>
        <v>-42.619777045775393</v>
      </c>
      <c r="F26">
        <f>$R$4 * SQRT(1+1/7+(D26-$J$4)^2/(6*$M$4^2))</f>
        <v>96.328009963265657</v>
      </c>
      <c r="G26">
        <f>E26+_xlfn.T.INV(0.025,5)*F26</f>
        <v>-290.23880972034004</v>
      </c>
      <c r="H26">
        <f>E26-_xlfn.T.INV(0.025,5)*F26</f>
        <v>204.99925562878929</v>
      </c>
    </row>
    <row r="27" spans="4:8" x14ac:dyDescent="0.25">
      <c r="D27">
        <v>65</v>
      </c>
      <c r="E27">
        <f t="shared" ref="E27:E32" si="10">$K$11 +$K$9 *D27</f>
        <v>61.542927612896932</v>
      </c>
      <c r="F27">
        <f t="shared" ref="F27:F32" si="11">$R$4 * SQRT(1+1/7+(D27-$J$4)^2/(6*$M$4^2))</f>
        <v>91.243635822177794</v>
      </c>
      <c r="G27">
        <f t="shared" ref="G27:G32" si="12">E27+_xlfn.T.INV(0.025,5)*F27</f>
        <v>-173.00630524900828</v>
      </c>
      <c r="H27">
        <f t="shared" ref="H27:H32" si="13">E27-_xlfn.T.INV(0.025,5)*F27</f>
        <v>296.09216047480214</v>
      </c>
    </row>
    <row r="28" spans="4:8" x14ac:dyDescent="0.25">
      <c r="D28">
        <v>95</v>
      </c>
      <c r="E28">
        <f t="shared" si="10"/>
        <v>165.70563227156927</v>
      </c>
      <c r="F28">
        <f t="shared" si="11"/>
        <v>89.970698040159775</v>
      </c>
      <c r="G28">
        <f t="shared" si="12"/>
        <v>-65.571409849985258</v>
      </c>
      <c r="H28">
        <f t="shared" si="13"/>
        <v>396.98267439312383</v>
      </c>
    </row>
    <row r="29" spans="4:8" x14ac:dyDescent="0.25">
      <c r="D29">
        <v>125</v>
      </c>
      <c r="E29">
        <f t="shared" si="10"/>
        <v>269.86833693024164</v>
      </c>
      <c r="F29">
        <f t="shared" si="11"/>
        <v>92.666400528094414</v>
      </c>
      <c r="G29">
        <f t="shared" si="12"/>
        <v>31.661770958922716</v>
      </c>
      <c r="H29">
        <f t="shared" si="13"/>
        <v>508.07490290156056</v>
      </c>
    </row>
    <row r="30" spans="4:8" x14ac:dyDescent="0.25">
      <c r="D30">
        <v>155</v>
      </c>
      <c r="E30">
        <f t="shared" si="10"/>
        <v>374.03104158891392</v>
      </c>
      <c r="F30">
        <f t="shared" si="11"/>
        <v>99.007105406879887</v>
      </c>
      <c r="G30">
        <f t="shared" si="12"/>
        <v>119.52517483105848</v>
      </c>
      <c r="H30">
        <f t="shared" si="13"/>
        <v>628.53690834676934</v>
      </c>
    </row>
    <row r="31" spans="4:8" x14ac:dyDescent="0.25">
      <c r="D31">
        <v>185</v>
      </c>
      <c r="E31">
        <f t="shared" si="10"/>
        <v>478.1937462475862</v>
      </c>
      <c r="F31">
        <f t="shared" si="11"/>
        <v>108.35479642582067</v>
      </c>
      <c r="G31">
        <f t="shared" si="12"/>
        <v>199.65887475130091</v>
      </c>
      <c r="H31">
        <f t="shared" si="13"/>
        <v>756.7286177438715</v>
      </c>
    </row>
    <row r="32" spans="4:8" x14ac:dyDescent="0.25">
      <c r="D32">
        <v>200</v>
      </c>
      <c r="E32">
        <f t="shared" si="10"/>
        <v>530.27509857692246</v>
      </c>
      <c r="F32">
        <f t="shared" si="11"/>
        <v>113.93449037562385</v>
      </c>
      <c r="G32">
        <f t="shared" si="12"/>
        <v>237.39716716486322</v>
      </c>
      <c r="H32">
        <f t="shared" si="13"/>
        <v>823.15302998898164</v>
      </c>
    </row>
    <row r="35" spans="4:8" x14ac:dyDescent="0.25">
      <c r="D35" s="1" t="s">
        <v>37</v>
      </c>
    </row>
    <row r="36" spans="4:8" x14ac:dyDescent="0.25">
      <c r="D36" s="1" t="s">
        <v>1</v>
      </c>
      <c r="E36" s="1" t="s">
        <v>0</v>
      </c>
      <c r="F36" s="1" t="s">
        <v>34</v>
      </c>
      <c r="G36" s="1" t="s">
        <v>32</v>
      </c>
      <c r="H36" s="1" t="s">
        <v>35</v>
      </c>
    </row>
    <row r="37" spans="4:8" x14ac:dyDescent="0.25">
      <c r="D37" s="4">
        <v>-42.619777045775393</v>
      </c>
      <c r="E37">
        <v>35</v>
      </c>
      <c r="F37">
        <f t="shared" ref="F37:F43" si="14">F16/ABS($K$9)</f>
        <v>13.529028229384984</v>
      </c>
      <c r="G37">
        <f>E37+_xlfn.T.INV(0.025,5)*F37</f>
        <v>0.22252577973202392</v>
      </c>
      <c r="H37">
        <f>E37-_xlfn.T.INV(0.025,5)*F37</f>
        <v>69.777474220267976</v>
      </c>
    </row>
    <row r="38" spans="4:8" x14ac:dyDescent="0.25">
      <c r="D38" s="4">
        <v>61.542927612896932</v>
      </c>
      <c r="E38">
        <v>65</v>
      </c>
      <c r="F38">
        <f t="shared" si="14"/>
        <v>10.194419362653599</v>
      </c>
      <c r="G38">
        <f t="shared" ref="G38:G43" si="15">E38+_xlfn.T.INV(0.025,5)*F38</f>
        <v>38.794410761503514</v>
      </c>
      <c r="H38">
        <f t="shared" ref="H38:H43" si="16">E38-_xlfn.T.INV(0.025,5)*F38</f>
        <v>91.205589238496486</v>
      </c>
    </row>
    <row r="39" spans="4:8" x14ac:dyDescent="0.25">
      <c r="D39" s="4">
        <v>165.70563227156927</v>
      </c>
      <c r="E39">
        <v>95</v>
      </c>
      <c r="F39">
        <f t="shared" si="14"/>
        <v>9.2082386414186104</v>
      </c>
      <c r="G39">
        <f t="shared" si="15"/>
        <v>71.3294690101649</v>
      </c>
      <c r="H39">
        <f t="shared" si="16"/>
        <v>118.6705309898351</v>
      </c>
    </row>
    <row r="40" spans="4:8" x14ac:dyDescent="0.25">
      <c r="D40" s="4">
        <v>269.86833693024164</v>
      </c>
      <c r="E40">
        <v>125</v>
      </c>
      <c r="F40">
        <f t="shared" si="14"/>
        <v>11.208524570098445</v>
      </c>
      <c r="G40">
        <f t="shared" si="15"/>
        <v>96.187570335821604</v>
      </c>
      <c r="H40">
        <f t="shared" si="16"/>
        <v>153.81242966417841</v>
      </c>
    </row>
    <row r="41" spans="4:8" x14ac:dyDescent="0.25">
      <c r="D41" s="4">
        <v>374.03104158891392</v>
      </c>
      <c r="E41">
        <v>155</v>
      </c>
      <c r="F41">
        <f t="shared" si="14"/>
        <v>15.048065610742258</v>
      </c>
      <c r="G41">
        <f t="shared" si="15"/>
        <v>116.31771587956246</v>
      </c>
      <c r="H41">
        <f t="shared" si="16"/>
        <v>193.68228412043754</v>
      </c>
    </row>
    <row r="42" spans="4:8" x14ac:dyDescent="0.25">
      <c r="D42" s="4">
        <v>478.1937462475862</v>
      </c>
      <c r="E42">
        <v>185</v>
      </c>
      <c r="F42">
        <f t="shared" si="14"/>
        <v>19.678196706950164</v>
      </c>
      <c r="G42">
        <f t="shared" si="15"/>
        <v>134.41558498703557</v>
      </c>
      <c r="H42">
        <f t="shared" si="16"/>
        <v>235.58441501296443</v>
      </c>
    </row>
    <row r="43" spans="4:8" x14ac:dyDescent="0.25">
      <c r="D43" s="4">
        <v>530.27509857692246</v>
      </c>
      <c r="E43">
        <v>200</v>
      </c>
      <c r="F43">
        <f t="shared" si="14"/>
        <v>22.13854576136616</v>
      </c>
      <c r="G43">
        <f t="shared" si="15"/>
        <v>143.0910563984288</v>
      </c>
      <c r="H43">
        <f t="shared" si="16"/>
        <v>256.9089436015712</v>
      </c>
    </row>
    <row r="46" spans="4:8" x14ac:dyDescent="0.25">
      <c r="D46" s="1" t="s">
        <v>38</v>
      </c>
    </row>
    <row r="47" spans="4:8" x14ac:dyDescent="0.25">
      <c r="D47" s="1" t="s">
        <v>1</v>
      </c>
      <c r="E47" s="1" t="s">
        <v>0</v>
      </c>
      <c r="F47" s="1" t="s">
        <v>34</v>
      </c>
      <c r="G47" s="1" t="s">
        <v>32</v>
      </c>
      <c r="H47" s="1" t="s">
        <v>35</v>
      </c>
    </row>
    <row r="48" spans="4:8" x14ac:dyDescent="0.25">
      <c r="D48" s="4">
        <v>-42.619777045775393</v>
      </c>
      <c r="E48">
        <v>35</v>
      </c>
      <c r="F48">
        <f>F26/ABS($K$9)</f>
        <v>27.743522101961556</v>
      </c>
      <c r="G48">
        <f>E48+_xlfn.T.INV(0.025,5)*F48</f>
        <v>-36.316993971877011</v>
      </c>
      <c r="H48">
        <f>E48-_xlfn.T.INV(0.025,5)*F48</f>
        <v>106.31699397187701</v>
      </c>
    </row>
    <row r="49" spans="1:8" x14ac:dyDescent="0.25">
      <c r="D49" s="4">
        <v>61.542927612896932</v>
      </c>
      <c r="E49">
        <v>65</v>
      </c>
      <c r="F49">
        <f t="shared" ref="F49:F54" si="17">F27/ABS($K$9)</f>
        <v>26.279166652163465</v>
      </c>
      <c r="G49">
        <f t="shared" ref="G49:G54" si="18">E49+_xlfn.T.INV(0.025,5)*F49</f>
        <v>-2.5527484517109968</v>
      </c>
      <c r="H49">
        <f t="shared" ref="H49:H54" si="19">E49-_xlfn.T.INV(0.025,5)*F49</f>
        <v>132.55274845171101</v>
      </c>
    </row>
    <row r="50" spans="1:8" x14ac:dyDescent="0.25">
      <c r="D50" s="4">
        <v>165.70563227156927</v>
      </c>
      <c r="E50">
        <v>95</v>
      </c>
      <c r="F50">
        <f t="shared" si="17"/>
        <v>25.912546626448137</v>
      </c>
      <c r="G50">
        <f t="shared" si="18"/>
        <v>28.389678326973339</v>
      </c>
      <c r="H50">
        <f t="shared" si="19"/>
        <v>161.61032167302665</v>
      </c>
    </row>
    <row r="51" spans="1:8" x14ac:dyDescent="0.25">
      <c r="D51" s="4">
        <v>269.86833693024164</v>
      </c>
      <c r="E51">
        <v>125</v>
      </c>
      <c r="F51">
        <f t="shared" si="17"/>
        <v>26.688938473252069</v>
      </c>
      <c r="G51">
        <f t="shared" si="18"/>
        <v>56.393899548243027</v>
      </c>
      <c r="H51">
        <f t="shared" si="19"/>
        <v>193.60610045175696</v>
      </c>
    </row>
    <row r="52" spans="1:8" x14ac:dyDescent="0.25">
      <c r="D52" s="4">
        <v>374.03104158891392</v>
      </c>
      <c r="E52">
        <v>155</v>
      </c>
      <c r="F52">
        <f t="shared" si="17"/>
        <v>28.515130938078073</v>
      </c>
      <c r="G52">
        <f t="shared" si="18"/>
        <v>81.699522369785385</v>
      </c>
      <c r="H52">
        <f t="shared" si="19"/>
        <v>228.30047763021463</v>
      </c>
    </row>
    <row r="53" spans="1:8" x14ac:dyDescent="0.25">
      <c r="D53" s="4">
        <v>478.1937462475862</v>
      </c>
      <c r="E53">
        <v>185</v>
      </c>
      <c r="F53">
        <f t="shared" si="17"/>
        <v>31.207368351528103</v>
      </c>
      <c r="G53">
        <f t="shared" si="18"/>
        <v>104.77890577755025</v>
      </c>
      <c r="H53">
        <f t="shared" si="19"/>
        <v>265.22109422244978</v>
      </c>
    </row>
    <row r="54" spans="1:8" x14ac:dyDescent="0.25">
      <c r="D54" s="4">
        <v>530.27509857692246</v>
      </c>
      <c r="E54">
        <v>200</v>
      </c>
      <c r="F54">
        <f t="shared" si="17"/>
        <v>32.814381332254875</v>
      </c>
      <c r="G54">
        <f t="shared" si="18"/>
        <v>115.64794739966223</v>
      </c>
      <c r="H54">
        <f t="shared" si="19"/>
        <v>284.35205260033774</v>
      </c>
    </row>
    <row r="58" spans="1:8" x14ac:dyDescent="0.25">
      <c r="A58" t="s">
        <v>3</v>
      </c>
    </row>
    <row r="59" spans="1:8" x14ac:dyDescent="0.25">
      <c r="A59" t="s">
        <v>4</v>
      </c>
      <c r="B59" t="s">
        <v>5</v>
      </c>
    </row>
    <row r="60" spans="1:8" x14ac:dyDescent="0.25">
      <c r="A60">
        <v>882</v>
      </c>
      <c r="B60">
        <v>69.7</v>
      </c>
    </row>
    <row r="61" spans="1:8" x14ac:dyDescent="0.25">
      <c r="A61">
        <v>1188</v>
      </c>
      <c r="B61">
        <v>93.3</v>
      </c>
    </row>
    <row r="62" spans="1:8" x14ac:dyDescent="0.25">
      <c r="A62">
        <v>1104</v>
      </c>
      <c r="B62">
        <v>84.3</v>
      </c>
    </row>
    <row r="63" spans="1:8" x14ac:dyDescent="0.25">
      <c r="A63">
        <v>864</v>
      </c>
      <c r="B63">
        <v>76.3</v>
      </c>
    </row>
    <row r="64" spans="1:8" x14ac:dyDescent="0.25">
      <c r="A64">
        <v>1200</v>
      </c>
      <c r="B64">
        <v>88.6</v>
      </c>
    </row>
    <row r="65" spans="1:2" x14ac:dyDescent="0.25">
      <c r="A65">
        <v>1032</v>
      </c>
      <c r="B65">
        <v>82.6</v>
      </c>
    </row>
    <row r="66" spans="1:2" x14ac:dyDescent="0.25">
      <c r="A66">
        <v>960</v>
      </c>
      <c r="B66">
        <v>71.599999999999994</v>
      </c>
    </row>
    <row r="67" spans="1:2" x14ac:dyDescent="0.25">
      <c r="A67">
        <v>900</v>
      </c>
      <c r="B67">
        <v>79.599999999999994</v>
      </c>
    </row>
    <row r="69" spans="1:2" x14ac:dyDescent="0.25">
      <c r="A69" t="s">
        <v>6</v>
      </c>
    </row>
    <row r="70" spans="1:2" x14ac:dyDescent="0.25">
      <c r="A70" t="s">
        <v>7</v>
      </c>
      <c r="B70" t="s">
        <v>8</v>
      </c>
    </row>
    <row r="71" spans="1:2" x14ac:dyDescent="0.25">
      <c r="A71">
        <v>63</v>
      </c>
      <c r="B71">
        <v>58.6</v>
      </c>
    </row>
    <row r="72" spans="1:2" x14ac:dyDescent="0.25">
      <c r="A72">
        <v>67</v>
      </c>
      <c r="B72">
        <v>64.7</v>
      </c>
    </row>
    <row r="73" spans="1:2" x14ac:dyDescent="0.25">
      <c r="A73">
        <v>64</v>
      </c>
      <c r="B73">
        <v>65.3</v>
      </c>
    </row>
    <row r="74" spans="1:2" x14ac:dyDescent="0.25">
      <c r="A74">
        <v>60</v>
      </c>
      <c r="B74">
        <v>61</v>
      </c>
    </row>
    <row r="75" spans="1:2" x14ac:dyDescent="0.25">
      <c r="A75">
        <v>65</v>
      </c>
      <c r="B75">
        <v>65.400000000000006</v>
      </c>
    </row>
    <row r="76" spans="1:2" x14ac:dyDescent="0.25">
      <c r="A76">
        <v>67</v>
      </c>
      <c r="B76">
        <v>67.400000000000006</v>
      </c>
    </row>
    <row r="77" spans="1:2" x14ac:dyDescent="0.25">
      <c r="A77">
        <v>59</v>
      </c>
      <c r="B77">
        <v>60.9</v>
      </c>
    </row>
    <row r="78" spans="1:2" x14ac:dyDescent="0.25">
      <c r="A78">
        <v>60</v>
      </c>
      <c r="B78">
        <v>63.1</v>
      </c>
    </row>
    <row r="81" spans="1:2" x14ac:dyDescent="0.25">
      <c r="A81" t="s">
        <v>9</v>
      </c>
    </row>
    <row r="82" spans="1:2" x14ac:dyDescent="0.25">
      <c r="A82" t="s">
        <v>5</v>
      </c>
      <c r="B82" t="s">
        <v>10</v>
      </c>
    </row>
    <row r="83" spans="1:2" x14ac:dyDescent="0.25">
      <c r="A83">
        <v>55</v>
      </c>
      <c r="B83">
        <v>145.28299999999999</v>
      </c>
    </row>
    <row r="84" spans="1:2" x14ac:dyDescent="0.25">
      <c r="A84">
        <v>61</v>
      </c>
      <c r="B84">
        <v>148.71700000000001</v>
      </c>
    </row>
    <row r="85" spans="1:2" x14ac:dyDescent="0.25">
      <c r="A85">
        <v>49</v>
      </c>
      <c r="B85">
        <v>148.30000000000001</v>
      </c>
    </row>
    <row r="86" spans="1:2" x14ac:dyDescent="0.25">
      <c r="A86">
        <v>62</v>
      </c>
      <c r="B86">
        <v>148.1</v>
      </c>
    </row>
    <row r="87" spans="1:2" x14ac:dyDescent="0.25">
      <c r="A87">
        <v>70</v>
      </c>
      <c r="B87">
        <v>147.61699999999999</v>
      </c>
    </row>
    <row r="88" spans="1:2" x14ac:dyDescent="0.25">
      <c r="A88">
        <v>73</v>
      </c>
      <c r="B88">
        <v>146.4</v>
      </c>
    </row>
    <row r="89" spans="1:2" x14ac:dyDescent="0.25">
      <c r="A89">
        <v>51</v>
      </c>
      <c r="B89">
        <v>144.667</v>
      </c>
    </row>
    <row r="90" spans="1:2" x14ac:dyDescent="0.25">
      <c r="A90">
        <v>57</v>
      </c>
      <c r="B90">
        <v>147.53299999999999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Southern Methodist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Southern Methodist University</dc:creator>
  <cp:lastModifiedBy>User</cp:lastModifiedBy>
  <dcterms:created xsi:type="dcterms:W3CDTF">2014-10-14T22:22:15Z</dcterms:created>
  <dcterms:modified xsi:type="dcterms:W3CDTF">2018-03-11T23:40:24Z</dcterms:modified>
</cp:coreProperties>
</file>