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x\PycharmProjects\sort_RAFT_table\raft-knowledge-base-website\data\kinetics_data\"/>
    </mc:Choice>
  </mc:AlternateContent>
  <xr:revisionPtr revIDLastSave="0" documentId="13_ncr:1_{67D53136-6BEE-4688-B0A2-68AC60A9C03E}" xr6:coauthVersionLast="47" xr6:coauthVersionMax="47" xr10:uidLastSave="{00000000-0000-0000-0000-000000000000}"/>
  <bookViews>
    <workbookView xWindow="2960" yWindow="550" windowWidth="35180" windowHeight="19540" xr2:uid="{73B2CED0-D3C0-4CB7-AAB8-6CE705E8C918}"/>
  </bookViews>
  <sheets>
    <sheet name="general overview" sheetId="1" r:id="rId1"/>
    <sheet name="calculation of necessary chemic" sheetId="5" r:id="rId2"/>
    <sheet name="calculation RAFTAIBN solution" sheetId="4" r:id="rId3"/>
    <sheet name="calculation Trioxane solution" sheetId="9" r:id="rId4"/>
    <sheet name="Standards solution tests" sheetId="3" r:id="rId5"/>
    <sheet name="reagent overview" sheetId="6" r:id="rId6"/>
    <sheet name="NMR-table" sheetId="7" r:id="rId7"/>
    <sheet name="SEC-table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9" l="1"/>
  <c r="I7" i="9"/>
  <c r="I5" i="9"/>
  <c r="H7" i="9"/>
  <c r="H6" i="9"/>
  <c r="H5" i="9"/>
  <c r="M41" i="4"/>
  <c r="O41" i="4" s="1"/>
  <c r="O40" i="4"/>
  <c r="M40" i="4"/>
  <c r="M39" i="4"/>
  <c r="O39" i="4" s="1"/>
  <c r="J34" i="4"/>
  <c r="I34" i="4" s="1"/>
  <c r="K34" i="4" s="1"/>
  <c r="F34" i="4"/>
  <c r="E34" i="4" s="1"/>
  <c r="G34" i="4" s="1"/>
  <c r="J33" i="4"/>
  <c r="I33" i="4" s="1"/>
  <c r="K33" i="4" s="1"/>
  <c r="F33" i="4"/>
  <c r="E33" i="4" s="1"/>
  <c r="G33" i="4" s="1"/>
  <c r="J32" i="4"/>
  <c r="I32" i="4" s="1"/>
  <c r="K32" i="4" s="1"/>
  <c r="F32" i="4"/>
  <c r="E32" i="4" s="1"/>
  <c r="G32" i="4" s="1"/>
  <c r="J31" i="4"/>
  <c r="I31" i="4" s="1"/>
  <c r="K31" i="4" s="1"/>
  <c r="F31" i="4"/>
  <c r="E31" i="4" s="1"/>
  <c r="G31" i="4" s="1"/>
  <c r="J30" i="4"/>
  <c r="I30" i="4" s="1"/>
  <c r="K30" i="4" s="1"/>
  <c r="F30" i="4"/>
  <c r="E30" i="4" s="1"/>
  <c r="G30" i="4" s="1"/>
  <c r="J29" i="4"/>
  <c r="I29" i="4" s="1"/>
  <c r="K29" i="4" s="1"/>
  <c r="F29" i="4"/>
  <c r="E29" i="4" s="1"/>
  <c r="G29" i="4" s="1"/>
  <c r="J28" i="4"/>
  <c r="I28" i="4" s="1"/>
  <c r="K28" i="4" s="1"/>
  <c r="F28" i="4"/>
  <c r="E28" i="4" s="1"/>
  <c r="G28" i="4" s="1"/>
  <c r="J27" i="4"/>
  <c r="I27" i="4" s="1"/>
  <c r="K27" i="4" s="1"/>
  <c r="F27" i="4"/>
  <c r="E27" i="4" s="1"/>
  <c r="G27" i="4" s="1"/>
  <c r="J26" i="4"/>
  <c r="I26" i="4" s="1"/>
  <c r="K26" i="4" s="1"/>
  <c r="F26" i="4"/>
  <c r="E26" i="4" s="1"/>
  <c r="G26" i="4" s="1"/>
  <c r="J25" i="4"/>
  <c r="I25" i="4" s="1"/>
  <c r="K25" i="4" s="1"/>
  <c r="F25" i="4"/>
  <c r="E25" i="4" s="1"/>
  <c r="G25" i="4" s="1"/>
  <c r="K35" i="4" l="1"/>
  <c r="N4" i="4"/>
  <c r="F4" i="4" s="1"/>
  <c r="E4" i="4" s="1"/>
  <c r="G4" i="4" s="1"/>
  <c r="D91" i="7" l="1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Q28" i="8" l="1"/>
  <c r="P28" i="8"/>
  <c r="O28" i="8"/>
  <c r="N28" i="8"/>
  <c r="M28" i="8"/>
  <c r="L28" i="8"/>
  <c r="Q27" i="8"/>
  <c r="P27" i="8"/>
  <c r="O27" i="8"/>
  <c r="N27" i="8"/>
  <c r="M27" i="8"/>
  <c r="L27" i="8"/>
  <c r="Q26" i="8"/>
  <c r="P26" i="8"/>
  <c r="O26" i="8"/>
  <c r="N26" i="8"/>
  <c r="M26" i="8"/>
  <c r="L26" i="8"/>
  <c r="Q25" i="8"/>
  <c r="P25" i="8"/>
  <c r="O25" i="8"/>
  <c r="N25" i="8"/>
  <c r="M25" i="8"/>
  <c r="L25" i="8"/>
  <c r="Q24" i="8"/>
  <c r="P24" i="8"/>
  <c r="O24" i="8"/>
  <c r="N24" i="8"/>
  <c r="M24" i="8"/>
  <c r="L24" i="8"/>
  <c r="Q23" i="8"/>
  <c r="P23" i="8"/>
  <c r="O23" i="8"/>
  <c r="N23" i="8"/>
  <c r="M23" i="8"/>
  <c r="L23" i="8"/>
  <c r="Q22" i="8"/>
  <c r="P22" i="8"/>
  <c r="O22" i="8"/>
  <c r="N22" i="8"/>
  <c r="M22" i="8"/>
  <c r="L22" i="8"/>
  <c r="Q21" i="8"/>
  <c r="P21" i="8"/>
  <c r="O21" i="8"/>
  <c r="N21" i="8"/>
  <c r="M21" i="8"/>
  <c r="L21" i="8"/>
  <c r="T15" i="8"/>
  <c r="S15" i="8"/>
  <c r="P15" i="8"/>
  <c r="R15" i="8"/>
  <c r="Q15" i="8"/>
  <c r="T14" i="8"/>
  <c r="S14" i="8"/>
  <c r="R14" i="8"/>
  <c r="Q14" i="8"/>
  <c r="P14" i="8"/>
  <c r="T13" i="8"/>
  <c r="S13" i="8"/>
  <c r="R13" i="8"/>
  <c r="Q13" i="8"/>
  <c r="P13" i="8"/>
  <c r="O13" i="8"/>
  <c r="T12" i="8"/>
  <c r="S12" i="8"/>
  <c r="R12" i="8"/>
  <c r="Q12" i="8"/>
  <c r="P12" i="8"/>
  <c r="T11" i="8"/>
  <c r="S11" i="8"/>
  <c r="R11" i="8"/>
  <c r="Q11" i="8"/>
  <c r="P11" i="8"/>
  <c r="N11" i="8"/>
  <c r="T10" i="8"/>
  <c r="S10" i="8"/>
  <c r="R10" i="8"/>
  <c r="Q10" i="8"/>
  <c r="P10" i="8"/>
  <c r="T9" i="8"/>
  <c r="S9" i="8"/>
  <c r="R9" i="8"/>
  <c r="Q9" i="8"/>
  <c r="P9" i="8"/>
  <c r="T8" i="8"/>
  <c r="S8" i="8"/>
  <c r="R8" i="8"/>
  <c r="Q8" i="8"/>
  <c r="P8" i="8"/>
  <c r="O14" i="8"/>
  <c r="O12" i="8"/>
  <c r="O11" i="8"/>
  <c r="O10" i="8"/>
  <c r="O9" i="8"/>
  <c r="O8" i="8"/>
  <c r="O15" i="8"/>
  <c r="N15" i="8"/>
  <c r="N14" i="8"/>
  <c r="N13" i="8"/>
  <c r="N12" i="8"/>
  <c r="N10" i="8"/>
  <c r="N9" i="8"/>
  <c r="N8" i="8"/>
  <c r="M15" i="8"/>
  <c r="M14" i="8"/>
  <c r="M13" i="8"/>
  <c r="M12" i="8"/>
  <c r="M11" i="8"/>
  <c r="M10" i="8"/>
  <c r="M9" i="8"/>
  <c r="M8" i="8"/>
  <c r="L15" i="8"/>
  <c r="L14" i="8"/>
  <c r="L13" i="8"/>
  <c r="L12" i="8"/>
  <c r="L11" i="8"/>
  <c r="L10" i="8"/>
  <c r="L9" i="8"/>
  <c r="L8" i="8"/>
  <c r="L54" i="6" l="1"/>
  <c r="L52" i="6"/>
  <c r="L50" i="6"/>
  <c r="G52" i="6" l="1"/>
  <c r="G50" i="6"/>
  <c r="G48" i="6"/>
  <c r="N52" i="6"/>
  <c r="N50" i="6"/>
  <c r="N48" i="6"/>
  <c r="D56" i="6"/>
  <c r="D54" i="6"/>
  <c r="D52" i="6"/>
  <c r="D50" i="6"/>
  <c r="D48" i="6"/>
  <c r="G28" i="8" l="1"/>
  <c r="F28" i="8"/>
  <c r="E28" i="8"/>
  <c r="D28" i="8"/>
  <c r="C28" i="8"/>
  <c r="B28" i="8"/>
  <c r="G27" i="8"/>
  <c r="F27" i="8"/>
  <c r="E27" i="8"/>
  <c r="D27" i="8"/>
  <c r="C27" i="8"/>
  <c r="B27" i="8"/>
  <c r="G26" i="8"/>
  <c r="F26" i="8"/>
  <c r="E26" i="8"/>
  <c r="D26" i="8"/>
  <c r="C26" i="8"/>
  <c r="B26" i="8"/>
  <c r="G25" i="8"/>
  <c r="F25" i="8"/>
  <c r="E25" i="8"/>
  <c r="D25" i="8"/>
  <c r="C25" i="8"/>
  <c r="B25" i="8"/>
  <c r="G24" i="8"/>
  <c r="F24" i="8"/>
  <c r="E24" i="8"/>
  <c r="D24" i="8"/>
  <c r="C24" i="8"/>
  <c r="B24" i="8"/>
  <c r="G23" i="8"/>
  <c r="F23" i="8"/>
  <c r="E23" i="8"/>
  <c r="D23" i="8"/>
  <c r="C23" i="8"/>
  <c r="B23" i="8"/>
  <c r="G22" i="8"/>
  <c r="F22" i="8"/>
  <c r="E22" i="8"/>
  <c r="D22" i="8"/>
  <c r="C22" i="8"/>
  <c r="B22" i="8"/>
  <c r="G21" i="8"/>
  <c r="F21" i="8"/>
  <c r="E21" i="8"/>
  <c r="D21" i="8"/>
  <c r="C21" i="8"/>
  <c r="B21" i="8"/>
  <c r="O18" i="8"/>
  <c r="L18" i="8"/>
  <c r="E18" i="8"/>
  <c r="B18" i="8"/>
  <c r="J15" i="8"/>
  <c r="I15" i="8"/>
  <c r="H15" i="8"/>
  <c r="G15" i="8"/>
  <c r="F15" i="8"/>
  <c r="E15" i="8"/>
  <c r="D15" i="8"/>
  <c r="C15" i="8"/>
  <c r="B15" i="8"/>
  <c r="J14" i="8"/>
  <c r="I14" i="8"/>
  <c r="H14" i="8"/>
  <c r="G14" i="8"/>
  <c r="F14" i="8"/>
  <c r="E14" i="8"/>
  <c r="D14" i="8"/>
  <c r="C14" i="8"/>
  <c r="B14" i="8"/>
  <c r="J13" i="8"/>
  <c r="I13" i="8"/>
  <c r="H13" i="8"/>
  <c r="G13" i="8"/>
  <c r="F13" i="8"/>
  <c r="E13" i="8"/>
  <c r="D13" i="8"/>
  <c r="C13" i="8"/>
  <c r="B13" i="8"/>
  <c r="J12" i="8"/>
  <c r="I12" i="8"/>
  <c r="H12" i="8"/>
  <c r="G12" i="8"/>
  <c r="F12" i="8"/>
  <c r="E12" i="8"/>
  <c r="D12" i="8"/>
  <c r="C12" i="8"/>
  <c r="B12" i="8"/>
  <c r="J11" i="8"/>
  <c r="I11" i="8"/>
  <c r="H11" i="8"/>
  <c r="G11" i="8"/>
  <c r="F11" i="8"/>
  <c r="E11" i="8"/>
  <c r="D11" i="8"/>
  <c r="C11" i="8"/>
  <c r="B11" i="8"/>
  <c r="J10" i="8"/>
  <c r="I10" i="8"/>
  <c r="H10" i="8"/>
  <c r="G10" i="8"/>
  <c r="F10" i="8"/>
  <c r="E10" i="8"/>
  <c r="D10" i="8"/>
  <c r="C10" i="8"/>
  <c r="B10" i="8"/>
  <c r="J9" i="8"/>
  <c r="I9" i="8"/>
  <c r="H9" i="8"/>
  <c r="G9" i="8"/>
  <c r="F9" i="8"/>
  <c r="E9" i="8"/>
  <c r="D9" i="8"/>
  <c r="C9" i="8"/>
  <c r="B9" i="8"/>
  <c r="J8" i="8"/>
  <c r="I8" i="8"/>
  <c r="H8" i="8"/>
  <c r="G8" i="8"/>
  <c r="F8" i="8"/>
  <c r="E8" i="8"/>
  <c r="D8" i="8"/>
  <c r="C8" i="8"/>
  <c r="B8" i="8"/>
  <c r="R5" i="8"/>
  <c r="O5" i="8"/>
  <c r="L5" i="8"/>
  <c r="H5" i="8"/>
  <c r="E5" i="8"/>
  <c r="B5" i="8"/>
  <c r="D1" i="8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D67" i="7"/>
  <c r="B67" i="7"/>
  <c r="D66" i="7"/>
  <c r="B66" i="7"/>
  <c r="D65" i="7"/>
  <c r="B65" i="7"/>
  <c r="D64" i="7"/>
  <c r="B64" i="7"/>
  <c r="D63" i="7"/>
  <c r="B63" i="7"/>
  <c r="D62" i="7"/>
  <c r="B62" i="7"/>
  <c r="D61" i="7"/>
  <c r="B61" i="7"/>
  <c r="D60" i="7"/>
  <c r="B60" i="7"/>
  <c r="D59" i="7"/>
  <c r="B59" i="7"/>
  <c r="D58" i="7"/>
  <c r="B58" i="7"/>
  <c r="D57" i="7"/>
  <c r="B57" i="7"/>
  <c r="D56" i="7"/>
  <c r="B56" i="7"/>
  <c r="D55" i="7"/>
  <c r="B55" i="7"/>
  <c r="D54" i="7"/>
  <c r="B54" i="7"/>
  <c r="D53" i="7"/>
  <c r="B53" i="7"/>
  <c r="D52" i="7"/>
  <c r="B52" i="7"/>
  <c r="D51" i="7"/>
  <c r="B51" i="7"/>
  <c r="D50" i="7"/>
  <c r="B50" i="7"/>
  <c r="D49" i="7"/>
  <c r="B49" i="7"/>
  <c r="D48" i="7"/>
  <c r="B48" i="7"/>
  <c r="D47" i="7"/>
  <c r="B47" i="7"/>
  <c r="D46" i="7"/>
  <c r="B46" i="7"/>
  <c r="D45" i="7"/>
  <c r="B45" i="7"/>
  <c r="D44" i="7"/>
  <c r="B44" i="7"/>
  <c r="D43" i="7"/>
  <c r="B43" i="7"/>
  <c r="D42" i="7"/>
  <c r="B42" i="7"/>
  <c r="D41" i="7"/>
  <c r="B41" i="7"/>
  <c r="D40" i="7"/>
  <c r="B40" i="7"/>
  <c r="D39" i="7"/>
  <c r="B39" i="7"/>
  <c r="D38" i="7"/>
  <c r="B38" i="7"/>
  <c r="D37" i="7"/>
  <c r="B37" i="7"/>
  <c r="D36" i="7"/>
  <c r="B36" i="7"/>
  <c r="D35" i="7"/>
  <c r="B35" i="7"/>
  <c r="D34" i="7"/>
  <c r="B34" i="7"/>
  <c r="D33" i="7"/>
  <c r="B33" i="7"/>
  <c r="D32" i="7"/>
  <c r="B32" i="7"/>
  <c r="D31" i="7"/>
  <c r="B31" i="7"/>
  <c r="D30" i="7"/>
  <c r="B30" i="7"/>
  <c r="D29" i="7"/>
  <c r="B29" i="7"/>
  <c r="D28" i="7"/>
  <c r="B28" i="7"/>
  <c r="D27" i="7"/>
  <c r="B27" i="7"/>
  <c r="D26" i="7"/>
  <c r="B26" i="7"/>
  <c r="D25" i="7"/>
  <c r="B25" i="7"/>
  <c r="D24" i="7"/>
  <c r="B24" i="7"/>
  <c r="D23" i="7"/>
  <c r="B23" i="7"/>
  <c r="D22" i="7"/>
  <c r="B22" i="7"/>
  <c r="D21" i="7"/>
  <c r="B21" i="7"/>
  <c r="D20" i="7"/>
  <c r="B20" i="7"/>
  <c r="D19" i="7"/>
  <c r="B19" i="7"/>
  <c r="D18" i="7"/>
  <c r="B18" i="7"/>
  <c r="D17" i="7"/>
  <c r="B17" i="7"/>
  <c r="D16" i="7"/>
  <c r="B16" i="7"/>
  <c r="D15" i="7"/>
  <c r="B15" i="7"/>
  <c r="D14" i="7"/>
  <c r="B14" i="7"/>
  <c r="D13" i="7"/>
  <c r="B13" i="7"/>
  <c r="D12" i="7"/>
  <c r="B12" i="7"/>
  <c r="D11" i="7"/>
  <c r="B11" i="7"/>
  <c r="D10" i="7"/>
  <c r="B10" i="7"/>
  <c r="D9" i="7"/>
  <c r="B9" i="7"/>
  <c r="D8" i="7"/>
  <c r="B8" i="7"/>
  <c r="D7" i="7"/>
  <c r="B7" i="7"/>
  <c r="D6" i="7"/>
  <c r="B6" i="7"/>
  <c r="D5" i="7"/>
  <c r="B5" i="7"/>
  <c r="D4" i="7"/>
  <c r="B4" i="7"/>
  <c r="D3" i="7"/>
  <c r="B3" i="7"/>
  <c r="D2" i="7"/>
  <c r="B2" i="7"/>
  <c r="D53" i="6"/>
  <c r="G49" i="6"/>
  <c r="M39" i="6"/>
  <c r="L39" i="6"/>
  <c r="D39" i="6"/>
  <c r="C39" i="6"/>
  <c r="A39" i="6"/>
  <c r="M38" i="6"/>
  <c r="L38" i="6"/>
  <c r="N38" i="6" s="1"/>
  <c r="O38" i="6" s="1"/>
  <c r="D38" i="6"/>
  <c r="D57" i="6" s="1"/>
  <c r="C38" i="6"/>
  <c r="A38" i="6"/>
  <c r="M37" i="6"/>
  <c r="L37" i="6"/>
  <c r="A37" i="6"/>
  <c r="M33" i="6"/>
  <c r="L33" i="6"/>
  <c r="A33" i="6"/>
  <c r="M32" i="6"/>
  <c r="L32" i="6"/>
  <c r="D32" i="6"/>
  <c r="D33" i="6" s="1"/>
  <c r="C32" i="6"/>
  <c r="C33" i="6" s="1"/>
  <c r="A32" i="6"/>
  <c r="M31" i="6"/>
  <c r="N31" i="6" s="1"/>
  <c r="O31" i="6" s="1"/>
  <c r="L31" i="6"/>
  <c r="A31" i="6"/>
  <c r="M27" i="6"/>
  <c r="L27" i="6"/>
  <c r="D27" i="6"/>
  <c r="A27" i="6"/>
  <c r="M26" i="6"/>
  <c r="N26" i="6" s="1"/>
  <c r="O26" i="6" s="1"/>
  <c r="L26" i="6"/>
  <c r="D26" i="6"/>
  <c r="C26" i="6"/>
  <c r="C27" i="6" s="1"/>
  <c r="A26" i="6"/>
  <c r="M25" i="6"/>
  <c r="L25" i="6"/>
  <c r="A25" i="6"/>
  <c r="M21" i="6"/>
  <c r="L21" i="6"/>
  <c r="C21" i="6"/>
  <c r="A21" i="6"/>
  <c r="M20" i="6"/>
  <c r="L20" i="6"/>
  <c r="D20" i="6"/>
  <c r="D21" i="6" s="1"/>
  <c r="C20" i="6"/>
  <c r="A20" i="6"/>
  <c r="M19" i="6"/>
  <c r="N19" i="6" s="1"/>
  <c r="O19" i="6" s="1"/>
  <c r="L19" i="6"/>
  <c r="A19" i="6"/>
  <c r="M15" i="6"/>
  <c r="L15" i="6"/>
  <c r="C15" i="6"/>
  <c r="A15" i="6"/>
  <c r="M14" i="6"/>
  <c r="L14" i="6"/>
  <c r="G14" i="6"/>
  <c r="G15" i="6" s="1"/>
  <c r="G53" i="6" s="1"/>
  <c r="D14" i="6"/>
  <c r="D15" i="6" s="1"/>
  <c r="C14" i="6"/>
  <c r="A14" i="6"/>
  <c r="M13" i="6"/>
  <c r="L13" i="6"/>
  <c r="A13" i="6"/>
  <c r="J12" i="6"/>
  <c r="M11" i="6"/>
  <c r="J11" i="6"/>
  <c r="O37" i="6" l="1"/>
  <c r="N27" i="6"/>
  <c r="O27" i="6" s="1"/>
  <c r="L53" i="6"/>
  <c r="N37" i="6"/>
  <c r="N14" i="6"/>
  <c r="N20" i="6"/>
  <c r="O20" i="6" s="1"/>
  <c r="N25" i="6"/>
  <c r="N32" i="6"/>
  <c r="N15" i="6"/>
  <c r="L55" i="6"/>
  <c r="L51" i="6"/>
  <c r="L49" i="6"/>
  <c r="D51" i="6"/>
  <c r="N33" i="6"/>
  <c r="O33" i="6" s="1"/>
  <c r="O15" i="6"/>
  <c r="O21" i="6"/>
  <c r="O25" i="6"/>
  <c r="D49" i="6"/>
  <c r="G51" i="6"/>
  <c r="N21" i="6"/>
  <c r="N53" i="6" s="1"/>
  <c r="O32" i="6"/>
  <c r="N13" i="6"/>
  <c r="N39" i="6"/>
  <c r="O39" i="6" s="1"/>
  <c r="D55" i="6"/>
  <c r="N49" i="6" l="1"/>
  <c r="N51" i="6"/>
  <c r="O14" i="6"/>
  <c r="O13" i="6"/>
  <c r="K29" i="3" l="1"/>
  <c r="J29" i="3"/>
  <c r="K25" i="3"/>
  <c r="J25" i="3"/>
  <c r="K21" i="3"/>
  <c r="J21" i="3"/>
  <c r="K17" i="3"/>
  <c r="J17" i="3"/>
  <c r="K13" i="3"/>
  <c r="J13" i="3"/>
  <c r="M9" i="3"/>
  <c r="N9" i="3" s="1"/>
  <c r="O9" i="3" s="1"/>
  <c r="P9" i="3" s="1"/>
  <c r="K9" i="3"/>
  <c r="H9" i="3"/>
  <c r="I9" i="3" s="1"/>
  <c r="K8" i="3"/>
  <c r="H8" i="3"/>
  <c r="M20" i="4" l="1"/>
  <c r="O20" i="4" s="1"/>
  <c r="M19" i="4"/>
  <c r="O19" i="4" s="1"/>
  <c r="M18" i="4"/>
  <c r="O18" i="4" s="1"/>
  <c r="N13" i="4" l="1"/>
  <c r="F13" i="4" s="1"/>
  <c r="E13" i="4" s="1"/>
  <c r="G13" i="4" s="1"/>
  <c r="N12" i="4"/>
  <c r="F12" i="4" s="1"/>
  <c r="E12" i="4" s="1"/>
  <c r="G12" i="4" s="1"/>
  <c r="N11" i="4"/>
  <c r="F11" i="4" s="1"/>
  <c r="E11" i="4" s="1"/>
  <c r="G11" i="4" s="1"/>
  <c r="N10" i="4"/>
  <c r="F10" i="4" s="1"/>
  <c r="E10" i="4" s="1"/>
  <c r="G10" i="4" s="1"/>
  <c r="N9" i="4"/>
  <c r="F9" i="4" s="1"/>
  <c r="E9" i="4" s="1"/>
  <c r="G9" i="4" s="1"/>
  <c r="N8" i="4"/>
  <c r="F8" i="4" s="1"/>
  <c r="E8" i="4" s="1"/>
  <c r="G8" i="4" s="1"/>
  <c r="N7" i="4"/>
  <c r="F7" i="4" s="1"/>
  <c r="E7" i="4" s="1"/>
  <c r="G7" i="4" s="1"/>
  <c r="N6" i="4"/>
  <c r="F6" i="4" s="1"/>
  <c r="E6" i="4" s="1"/>
  <c r="G6" i="4" s="1"/>
  <c r="N5" i="4"/>
  <c r="F5" i="4" s="1"/>
  <c r="E5" i="4" s="1"/>
  <c r="G5" i="4" s="1"/>
  <c r="G8" i="5" l="1"/>
  <c r="J15" i="5"/>
  <c r="O10" i="4" l="1"/>
  <c r="J10" i="4" s="1"/>
  <c r="I10" i="4" s="1"/>
  <c r="K10" i="4" s="1"/>
  <c r="O9" i="4"/>
  <c r="J9" i="4" s="1"/>
  <c r="I9" i="4" s="1"/>
  <c r="K9" i="4" s="1"/>
  <c r="O12" i="4"/>
  <c r="J12" i="4" s="1"/>
  <c r="I12" i="4" s="1"/>
  <c r="K12" i="4" s="1"/>
  <c r="O8" i="4"/>
  <c r="J8" i="4" s="1"/>
  <c r="I8" i="4" s="1"/>
  <c r="K8" i="4" s="1"/>
  <c r="O13" i="4"/>
  <c r="J13" i="4" s="1"/>
  <c r="I13" i="4" s="1"/>
  <c r="K13" i="4" s="1"/>
  <c r="O7" i="4"/>
  <c r="J7" i="4" s="1"/>
  <c r="I7" i="4" s="1"/>
  <c r="K7" i="4" s="1"/>
  <c r="O6" i="4"/>
  <c r="J6" i="4" s="1"/>
  <c r="I6" i="4" s="1"/>
  <c r="K6" i="4" s="1"/>
  <c r="O5" i="4"/>
  <c r="J5" i="4" s="1"/>
  <c r="I5" i="4" s="1"/>
  <c r="K5" i="4" s="1"/>
  <c r="O4" i="4"/>
  <c r="O11" i="4"/>
  <c r="J11" i="4" s="1"/>
  <c r="I11" i="4" s="1"/>
  <c r="K11" i="4" s="1"/>
  <c r="J4" i="4" l="1"/>
  <c r="I4" i="4" s="1"/>
  <c r="K4" i="4" s="1"/>
  <c r="K14" i="4" s="1"/>
  <c r="C2" i="5" l="1"/>
  <c r="F2" i="5" s="1"/>
  <c r="C9" i="5"/>
  <c r="C16" i="5" s="1"/>
  <c r="C18" i="5" s="1"/>
  <c r="H2" i="5" l="1"/>
  <c r="C11" i="5"/>
  <c r="G10" i="5" l="1"/>
  <c r="G17" i="5" s="1"/>
  <c r="G15" i="5" s="1"/>
  <c r="C24" i="5" l="1"/>
  <c r="C25" i="5" s="1"/>
  <c r="C23" i="5"/>
  <c r="C22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tc={99CB4448-454E-4F4C-AC31-A0BB53153308}</author>
  </authors>
  <commentList>
    <comment ref="A72" authorId="0" shapeId="0" xr:uid="{99CB4448-454E-4F4C-AC31-A0BB53153308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Noch berechnen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tc={0C894411-5D9E-435E-80D2-581D7AEDCCD8}</author>
    <author>tc={F74CDC36-1056-4B02-9354-97535C1F1018}</author>
  </authors>
  <commentList>
    <comment ref="C2" authorId="0" shapeId="0" xr:uid="{659972BC-93D6-4FC7-A3F8-F768AD93325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- 0.4 mL Anisol je 10 mL Reaktionslösung sind 3,662 mmol/Ansatz
- Trioxan: 
3,662 mmol = 329,87 mg--&gt; Zugabe aber besser, wenn als Stammlösung vorliegend --&gt; Lösetest für 329,87 mg in 10 mL --&gt; 32,99 mg in 1 mL (aufgerundet 33 mg), ggf. weiter verdünnen
- Dekan: 
3,662 mmol =713,79 yL/Ansatz --&gt; auf nächste volle 10 yL runden (Roboter Zugabegenauigkeit) --&gt; 
Lösetest 72 yL in 1 mL</t>
      </text>
    </comment>
    <comment ref="M9" authorId="1" shapeId="0" xr:uid="{B3DC4254-D224-4690-A4A4-A9083ED092C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um herauszufinden, ob es sich überhaupt im Lösungsmittel lösen würde</t>
      </text>
    </comment>
  </commentList>
</comments>
</file>

<file path=xl/sharedStrings.xml><?xml version="1.0" encoding="utf-8"?>
<sst xmlns="http://schemas.openxmlformats.org/spreadsheetml/2006/main" count="827" uniqueCount="479">
  <si>
    <t>Name</t>
  </si>
  <si>
    <t>Strukturformel</t>
  </si>
  <si>
    <t>CAS</t>
  </si>
  <si>
    <t>Styrole</t>
  </si>
  <si>
    <t>Methacrylate</t>
  </si>
  <si>
    <t>DEMEA</t>
  </si>
  <si>
    <t>Acrylate</t>
  </si>
  <si>
    <t xml:space="preserve">Methyl acrylate </t>
  </si>
  <si>
    <t>butyl acrylate</t>
  </si>
  <si>
    <t>lauryl acrylate</t>
  </si>
  <si>
    <t>Benzyl methacrylate</t>
  </si>
  <si>
    <t>Lauryl methacrylate</t>
  </si>
  <si>
    <t>Butyl methacrylate</t>
  </si>
  <si>
    <t>Methyl methacrylate</t>
  </si>
  <si>
    <t>Styrene</t>
  </si>
  <si>
    <t>4-Chlorostyrene</t>
  </si>
  <si>
    <t>4-Bromostyrene</t>
  </si>
  <si>
    <t>4-Methylstyrene</t>
  </si>
  <si>
    <t>Benzyl acrylate</t>
  </si>
  <si>
    <t>DEMEMA</t>
  </si>
  <si>
    <t>DMF</t>
  </si>
  <si>
    <t>THF</t>
  </si>
  <si>
    <t>Dimethylformamide</t>
  </si>
  <si>
    <t>Toluene</t>
  </si>
  <si>
    <t>DMSO</t>
  </si>
  <si>
    <t>Tol</t>
  </si>
  <si>
    <t>RAFT-Agents</t>
  </si>
  <si>
    <t>CPDB</t>
  </si>
  <si>
    <t>4-Cyano-4-(phenylcarbonothioylthio)pentanoic acid</t>
  </si>
  <si>
    <t>2-Phenyl-2-propyl benzodithioate</t>
  </si>
  <si>
    <t>2-Cyano-2-propyl dodecyl trithiocarbonate</t>
  </si>
  <si>
    <t>Cyanomethyl dodecyl trithiocarbonate</t>
  </si>
  <si>
    <t>M/RAFT = 150</t>
  </si>
  <si>
    <t>Cyanomethyl methyl(phenyl)carbamodithioate</t>
  </si>
  <si>
    <r>
      <rPr>
        <sz val="7"/>
        <color theme="1"/>
        <rFont val="Arial"/>
        <family val="2"/>
      </rPr>
      <t xml:space="preserve"> </t>
    </r>
    <r>
      <rPr>
        <sz val="11"/>
        <color theme="1"/>
        <rFont val="Arial"/>
        <family val="2"/>
      </rPr>
      <t>2-(Dodecylthiocarbonothioylthio)-2-methylpropionic acid</t>
    </r>
  </si>
  <si>
    <r>
      <rPr>
        <sz val="7"/>
        <color theme="1"/>
        <rFont val="Arial"/>
        <family val="2"/>
      </rPr>
      <t xml:space="preserve"> </t>
    </r>
    <r>
      <rPr>
        <sz val="11"/>
        <color theme="1"/>
        <rFont val="Arial"/>
        <family val="2"/>
      </rPr>
      <t>Benzyl 1H-pyrrole-1-carbodithioate</t>
    </r>
  </si>
  <si>
    <r>
      <rPr>
        <sz val="7"/>
        <color theme="1"/>
        <rFont val="Arial"/>
        <family val="2"/>
      </rPr>
      <t xml:space="preserve">  </t>
    </r>
    <r>
      <rPr>
        <sz val="11"/>
        <color theme="1"/>
        <rFont val="Arial"/>
        <family val="2"/>
      </rPr>
      <t>2-Cyanopropan-2-yl N-methyl-N-(pyridin-4-yl)carbamodithioate</t>
    </r>
  </si>
  <si>
    <r>
      <rPr>
        <sz val="7"/>
        <color theme="1"/>
        <rFont val="Arial"/>
        <family val="2"/>
      </rPr>
      <t xml:space="preserve"> </t>
    </r>
    <r>
      <rPr>
        <sz val="11"/>
        <color theme="1"/>
        <rFont val="Arial"/>
        <family val="2"/>
      </rPr>
      <t>S,S-Dibenzyl trithiocarbonate</t>
    </r>
  </si>
  <si>
    <r>
      <rPr>
        <sz val="7"/>
        <color theme="1"/>
        <rFont val="Arial"/>
        <family val="2"/>
      </rPr>
      <t xml:space="preserve"> </t>
    </r>
    <r>
      <rPr>
        <sz val="11"/>
        <color theme="1"/>
        <rFont val="Arial"/>
        <family val="2"/>
      </rPr>
      <t>RAFT/AIBN = 4</t>
    </r>
  </si>
  <si>
    <r>
      <rPr>
        <sz val="7"/>
        <color theme="1"/>
        <rFont val="Arial"/>
        <family val="2"/>
      </rPr>
      <t xml:space="preserve">  </t>
    </r>
    <r>
      <rPr>
        <sz val="11"/>
        <color theme="1"/>
        <rFont val="Arial"/>
        <family val="2"/>
      </rPr>
      <t>T = 70 °C</t>
    </r>
  </si>
  <si>
    <t>c Monomer = 1 mol/L</t>
  </si>
  <si>
    <t xml:space="preserve">2867-47-2 </t>
  </si>
  <si>
    <t>Link zum MSDS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</si>
  <si>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</si>
  <si>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</si>
  <si>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</si>
  <si>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</si>
  <si>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</si>
  <si>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</si>
  <si>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</si>
  <si>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</si>
  <si>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</si>
  <si>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</si>
  <si>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Dimethylaminoethylacrylate (DEMEA)</t>
  </si>
  <si>
    <r>
      <t>Standort (ggf. ehemals) (</t>
    </r>
    <r>
      <rPr>
        <b/>
        <i/>
        <sz val="11"/>
        <color theme="1"/>
        <rFont val="Arial"/>
        <family val="2"/>
      </rPr>
      <t>kursiv das, was da ist)</t>
    </r>
  </si>
  <si>
    <t>Legende:</t>
  </si>
  <si>
    <t>MMA</t>
  </si>
  <si>
    <t>BMA</t>
  </si>
  <si>
    <t>LMA</t>
  </si>
  <si>
    <t>BenzMA</t>
  </si>
  <si>
    <t>MA</t>
  </si>
  <si>
    <t>BA</t>
  </si>
  <si>
    <t>LA</t>
  </si>
  <si>
    <t>BenzA</t>
  </si>
  <si>
    <t>DBTTC</t>
  </si>
  <si>
    <t>[g/mol]</t>
  </si>
  <si>
    <t xml:space="preserve">26504-29-0 </t>
  </si>
  <si>
    <t>Azobis(isobutyronitrile)</t>
  </si>
  <si>
    <t>AIBN</t>
  </si>
  <si>
    <t>[g/mL]</t>
  </si>
  <si>
    <t>[g]</t>
  </si>
  <si>
    <t>142-90-5</t>
  </si>
  <si>
    <t>97-88-1</t>
  </si>
  <si>
    <t>80-62-6</t>
  </si>
  <si>
    <t>CPCTTPA</t>
  </si>
  <si>
    <t>PPBDT</t>
  </si>
  <si>
    <t>CPDTTC</t>
  </si>
  <si>
    <t>DTCTTMPA</t>
  </si>
  <si>
    <t>CMDTTC</t>
  </si>
  <si>
    <t>B1HPCDT</t>
  </si>
  <si>
    <t>CPNMNPCDT</t>
  </si>
  <si>
    <t>CMMPCDT</t>
  </si>
  <si>
    <t xml:space="preserve">201611-92-9 </t>
  </si>
  <si>
    <t>2495-37-6</t>
  </si>
  <si>
    <t>141-32-2</t>
  </si>
  <si>
    <t>78-67-1</t>
  </si>
  <si>
    <t>Chlorst</t>
  </si>
  <si>
    <t>2439-35-2</t>
  </si>
  <si>
    <t>St</t>
  </si>
  <si>
    <t>MethylSt</t>
  </si>
  <si>
    <t>100-42-5</t>
  </si>
  <si>
    <t>1073-67-2</t>
  </si>
  <si>
    <t>2039-82-9</t>
  </si>
  <si>
    <t>622-97-9</t>
  </si>
  <si>
    <t>96-33-3</t>
  </si>
  <si>
    <t>2495-35-4</t>
  </si>
  <si>
    <t>201611-85-0</t>
  </si>
  <si>
    <t>201611-77-0</t>
  </si>
  <si>
    <t xml:space="preserve">870196-83-1 </t>
  </si>
  <si>
    <t>461642-78-4</t>
  </si>
  <si>
    <t xml:space="preserve">796045-97-1 </t>
  </si>
  <si>
    <t xml:space="preserve">60795-38-2 </t>
  </si>
  <si>
    <t xml:space="preserve">76926-16-4 </t>
  </si>
  <si>
    <t xml:space="preserve">1158958-96-3 </t>
  </si>
  <si>
    <t>Bestelldatum (if applicable)</t>
  </si>
  <si>
    <t>gesamt benötigte Menge (geschätzt)</t>
  </si>
  <si>
    <t>3L</t>
  </si>
  <si>
    <t>6.5g (75mg/12 * 1040)</t>
  </si>
  <si>
    <t>Preis gesamt</t>
  </si>
  <si>
    <t>https://www.tcichemicals.com/DE/de/search/?text=4-chlorostyrene</t>
  </si>
  <si>
    <t>https://www.sigmaaldrich.com/catalog/product/mm/840083?lang=de&amp;region=DE</t>
  </si>
  <si>
    <t>https://www.tcichemicals.com/DE/de/search/?text=2495-35-4</t>
  </si>
  <si>
    <t>https://www.sigmaaldrich.com/catalog/product/aldrich/722987?lang=de&amp;region=DE&amp;cm_sp=Insite-_-caSrpResults_srpRecs_srpModel_201611-85-0-_-srpRecs3-1</t>
  </si>
  <si>
    <t>https://www.tcichemicals.com/DE/de/search/?text=201611-77-0</t>
  </si>
  <si>
    <t>https://www.tcichemicals.com/DE/de/search/?text=461642-78-4</t>
  </si>
  <si>
    <t>https://www.sigmaaldrich.com/catalog/product/aldrich/753106?lang=de&amp;region=DE&amp;cm_sp=Insite-_-caSrpResults_srpRecs_srpModel_60795-38-2-_-srpRecs3-1</t>
  </si>
  <si>
    <t>https://www.sigmaaldrich.com/catalog/product/aldrich/723029?lang=de&amp;region=DE&amp;cm_sp=Insite-_-caSrpResults_srpRecs_srpModel_796045-97-1-_-srpRecs3-1</t>
  </si>
  <si>
    <t>https://www.sigmaaldrich.com/catalog/product/aldrich/736236?lang=de&amp;region=DE&amp;cm_sp=Insite-_-caSrpResults_srpRecs_srpModel_1158958-96-3-_-srpRecs3-1</t>
  </si>
  <si>
    <t>https://www.tcichemicals.com/DE/de/search/?text=76926-16-4+</t>
  </si>
  <si>
    <t>10 L SEC-CHCl3 (von vwr (selbe wie GC-CHCl3)</t>
  </si>
  <si>
    <t xml:space="preserve">chemspeed vials </t>
  </si>
  <si>
    <t>10 mL</t>
  </si>
  <si>
    <t>https://de.vwr.com/store/product/2342877/chloroform-99-8-stabilisiert-hipersolv-chromanorm-fur-die-hplc</t>
  </si>
  <si>
    <t>100 mL</t>
  </si>
  <si>
    <t>50 mL</t>
  </si>
  <si>
    <t>15 mL</t>
  </si>
  <si>
    <t>Toluol</t>
  </si>
  <si>
    <t xml:space="preserve">3 L </t>
  </si>
  <si>
    <t>https://www.sigmaaldrich.com/catalog/product/sigald/472301?lang=de&amp;region=DE</t>
  </si>
  <si>
    <t>Merck</t>
  </si>
  <si>
    <t>Sandra</t>
  </si>
  <si>
    <t>Pipettenspitzen</t>
  </si>
  <si>
    <t>GC-Vials</t>
  </si>
  <si>
    <t>NMR-Röhrchen</t>
  </si>
  <si>
    <t>1 pro Probe je NMR und GC Probe
1040 Reaktionen * 16 (16640) + einfügen der GC-LöMi/NMR/SEC-LöMi (2080) --&gt;</t>
  </si>
  <si>
    <t>4 double level holder *evtl mehr(Rotation)</t>
  </si>
  <si>
    <t>2 stock solution racks *evtl mehr (Rotation)</t>
  </si>
  <si>
    <t>bestellt (7,5 L (07.03.2021)</t>
  </si>
  <si>
    <t>https://www.sigmaaldrich.com/catalog/product/aldrich/m27301?lang=de&amp;region=DE&amp;cm_sp=Insite-_-caSrpResults_srpRecs_srpModel_96-33-3-_-srpRecs3-1</t>
  </si>
  <si>
    <t>https://www.tcichemicals.com/DE/de/p/A0142</t>
  </si>
  <si>
    <t>TCI</t>
  </si>
  <si>
    <t>supplier web page/supplier</t>
  </si>
  <si>
    <t>Sigma</t>
  </si>
  <si>
    <t>SPS</t>
  </si>
  <si>
    <t>ZAF107</t>
  </si>
  <si>
    <t xml:space="preserve"> (2-Dimethylaminoethyl)methacrylate (DEMEMA) </t>
  </si>
  <si>
    <t>[°C]</t>
  </si>
  <si>
    <t>172.8</t>
  </si>
  <si>
    <t>182-190</t>
  </si>
  <si>
    <t>95-98</t>
  </si>
  <si>
    <t>145-149</t>
  </si>
  <si>
    <t>170-185</t>
  </si>
  <si>
    <t>59.5-61.5</t>
  </si>
  <si>
    <t>bestellen (on order [14.04.21]</t>
  </si>
  <si>
    <t>217 (5g) (14.04.21)</t>
  </si>
  <si>
    <t xml:space="preserve"> 217 (1 + 5 g) (14.04.21)</t>
  </si>
  <si>
    <t>5g angekommen 26.04.21</t>
  </si>
  <si>
    <t>5 g angekommen (26.04.21)</t>
  </si>
  <si>
    <t>217 (5g)+3g + 0,2g in Kühlschrank (14.04.21)</t>
  </si>
  <si>
    <t>2174g + 5g + 2g +1g</t>
  </si>
  <si>
    <t>Trioxan</t>
  </si>
  <si>
    <t>n-Decan</t>
  </si>
  <si>
    <t>M 
[g/mol]</t>
  </si>
  <si>
    <t>-</t>
  </si>
  <si>
    <t>mg</t>
  </si>
  <si>
    <t>yL</t>
  </si>
  <si>
    <t>17.05.21</t>
  </si>
  <si>
    <t>beta
[g/mL]</t>
  </si>
  <si>
    <t>c
[mol/L]</t>
  </si>
  <si>
    <t>Datum Entstabilisierung od. umfüllen/ Lösung</t>
  </si>
  <si>
    <t>Standards</t>
  </si>
  <si>
    <t>Anisol</t>
  </si>
  <si>
    <t>Roth</t>
  </si>
  <si>
    <t>4,5 L CDCl3</t>
  </si>
  <si>
    <t>BromSt</t>
  </si>
  <si>
    <r>
      <t xml:space="preserve">bestellen </t>
    </r>
    <r>
      <rPr>
        <b/>
        <sz val="11"/>
        <rFont val="Arial"/>
        <family val="2"/>
      </rPr>
      <t>5g angekommen (14.04.21)</t>
    </r>
  </si>
  <si>
    <t>2156-97-0</t>
  </si>
  <si>
    <t>4-Methoxystyrene</t>
  </si>
  <si>
    <t>MethoxSt</t>
  </si>
  <si>
    <t>637-69-4</t>
  </si>
  <si>
    <t>204-205</t>
  </si>
  <si>
    <t>[mol/L]</t>
  </si>
  <si>
    <t>[mL]</t>
  </si>
  <si>
    <t>[mmol]</t>
  </si>
  <si>
    <t>[mg]</t>
  </si>
  <si>
    <t>c(AIBN)</t>
  </si>
  <si>
    <t>c(RAFT)</t>
  </si>
  <si>
    <t>RAFT-Agent</t>
  </si>
  <si>
    <t>ml</t>
  </si>
  <si>
    <t>V(Anisol)</t>
  </si>
  <si>
    <t>mL</t>
  </si>
  <si>
    <t>V(stock)</t>
  </si>
  <si>
    <r>
      <rPr>
        <sz val="10"/>
        <rFont val="Arial"/>
        <family val="2"/>
      </rPr>
      <t>ml</t>
    </r>
    <r>
      <rPr>
        <sz val="10"/>
        <color rgb="FFC00000"/>
        <rFont val="Arial"/>
        <family val="2"/>
      </rPr>
      <t xml:space="preserve"> </t>
    </r>
  </si>
  <si>
    <t>mol/l</t>
  </si>
  <si>
    <r>
      <t xml:space="preserve">c </t>
    </r>
    <r>
      <rPr>
        <b/>
        <sz val="10"/>
        <rFont val="Arial"/>
        <family val="2"/>
      </rPr>
      <t>soll 1 mol/L</t>
    </r>
  </si>
  <si>
    <t>m</t>
  </si>
  <si>
    <t>g/mol</t>
  </si>
  <si>
    <t>M</t>
  </si>
  <si>
    <t>V</t>
  </si>
  <si>
    <t>mmol</t>
  </si>
  <si>
    <t>n (je Ansatz)</t>
  </si>
  <si>
    <t>mol/L</t>
  </si>
  <si>
    <t>c(AIBN, stock)</t>
  </si>
  <si>
    <t>stock solution</t>
  </si>
  <si>
    <t xml:space="preserve">CTA/AIBN </t>
  </si>
  <si>
    <t>c(RAFT,stock)</t>
  </si>
  <si>
    <r>
      <t>M/CTA(</t>
    </r>
    <r>
      <rPr>
        <sz val="10"/>
        <color rgb="FFFF0000"/>
        <rFont val="Arial"/>
        <family val="2"/>
      </rPr>
      <t>DBTTC</t>
    </r>
    <r>
      <rPr>
        <sz val="10"/>
        <rFont val="Arial"/>
        <family val="2"/>
      </rPr>
      <t>)</t>
    </r>
  </si>
  <si>
    <t>RAFT-Agent (CTA)</t>
  </si>
  <si>
    <t>g/mL</t>
  </si>
  <si>
    <t>Dichte</t>
  </si>
  <si>
    <t>n</t>
  </si>
  <si>
    <t>g</t>
  </si>
  <si>
    <t>m()</t>
  </si>
  <si>
    <t>Monomer 1</t>
  </si>
  <si>
    <t>Abbreviation</t>
  </si>
  <si>
    <t>Letter</t>
  </si>
  <si>
    <t>molar mass</t>
  </si>
  <si>
    <t>amount of substance</t>
  </si>
  <si>
    <t>molar mass AIBN</t>
  </si>
  <si>
    <t>mass AIBN per stock solution</t>
  </si>
  <si>
    <t>volume solvent</t>
  </si>
  <si>
    <t>solvent</t>
  </si>
  <si>
    <t>2-Cyan-2-propylbenzodithioate</t>
  </si>
  <si>
    <t>density</t>
  </si>
  <si>
    <t>mass</t>
  </si>
  <si>
    <t>volume</t>
  </si>
  <si>
    <t>Monomers</t>
  </si>
  <si>
    <t>"Code"</t>
  </si>
  <si>
    <t>evaporation temperature</t>
  </si>
  <si>
    <t>total mass (for all three solvents)</t>
  </si>
  <si>
    <t>mass per stock solution</t>
  </si>
  <si>
    <t>solvents</t>
  </si>
  <si>
    <t>constants</t>
  </si>
  <si>
    <t>AIBN as Initiator</t>
  </si>
  <si>
    <t>reaction time: 15 h</t>
  </si>
  <si>
    <t>one reaction of each</t>
  </si>
  <si>
    <r>
      <t xml:space="preserve">sampling: </t>
    </r>
    <r>
      <rPr>
        <b/>
        <sz val="11"/>
        <color theme="1"/>
        <rFont val="Arial"/>
        <family val="2"/>
      </rPr>
      <t>0, 1, 2, 4</t>
    </r>
    <r>
      <rPr>
        <sz val="11"/>
        <color theme="1"/>
        <rFont val="Arial"/>
        <family val="2"/>
      </rPr>
      <t xml:space="preserve">, 6, </t>
    </r>
    <r>
      <rPr>
        <b/>
        <sz val="11"/>
        <color theme="1"/>
        <rFont val="Arial"/>
        <family val="2"/>
      </rPr>
      <t>8</t>
    </r>
    <r>
      <rPr>
        <sz val="11"/>
        <color theme="1"/>
        <rFont val="Arial"/>
        <family val="2"/>
      </rPr>
      <t xml:space="preserve">, 10, </t>
    </r>
    <r>
      <rPr>
        <b/>
        <sz val="11"/>
        <color theme="1"/>
        <rFont val="Arial"/>
        <family val="2"/>
      </rPr>
      <t xml:space="preserve">15 </t>
    </r>
    <r>
      <rPr>
        <sz val="11"/>
        <color theme="1"/>
        <rFont val="Arial"/>
        <family val="2"/>
      </rPr>
      <t>h</t>
    </r>
  </si>
  <si>
    <t>NMR/GC (bold) and SEC</t>
  </si>
  <si>
    <t>things to get</t>
  </si>
  <si>
    <t>chemical storage</t>
  </si>
  <si>
    <t>max. 450 (Reaktionen)* 330 mg = ca. 150 g</t>
  </si>
  <si>
    <t>Monomer 5</t>
  </si>
  <si>
    <t>Monomer 4</t>
  </si>
  <si>
    <t>Monomer 3</t>
  </si>
  <si>
    <t>Monomer 2</t>
  </si>
  <si>
    <t>c(AIBN) = 8,375 mmol/L</t>
  </si>
  <si>
    <t>n(AIBN)</t>
  </si>
  <si>
    <t>n(RAFT)</t>
  </si>
  <si>
    <t>n(Monomer)</t>
  </si>
  <si>
    <t>V(Monomer)</t>
  </si>
  <si>
    <t>m (Monomer)</t>
  </si>
  <si>
    <t xml:space="preserve">RAFT-Agent: </t>
  </si>
  <si>
    <t>min</t>
  </si>
  <si>
    <t>MRG-</t>
  </si>
  <si>
    <t>CDCl3</t>
  </si>
  <si>
    <t>Nr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</si>
  <si>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</si>
  <si>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</si>
  <si>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</si>
  <si>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</si>
  <si>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</si>
  <si>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</si>
  <si>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</si>
  <si>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</si>
  <si>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</si>
  <si>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</si>
  <si>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</si>
  <si>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</si>
  <si>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</si>
  <si>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B6</t>
  </si>
  <si>
    <t>C1</t>
  </si>
  <si>
    <t>D1</t>
  </si>
  <si>
    <t>E1</t>
  </si>
  <si>
    <t>F1</t>
  </si>
  <si>
    <t>G1</t>
  </si>
  <si>
    <t>H1</t>
  </si>
  <si>
    <t>B2</t>
  </si>
  <si>
    <t>C2</t>
  </si>
  <si>
    <t>D2</t>
  </si>
  <si>
    <t>E2</t>
  </si>
  <si>
    <t>F2</t>
  </si>
  <si>
    <t>G2</t>
  </si>
  <si>
    <t>H2</t>
  </si>
  <si>
    <t>B3</t>
  </si>
  <si>
    <t>C3</t>
  </si>
  <si>
    <t>D3</t>
  </si>
  <si>
    <t>E3</t>
  </si>
  <si>
    <t>F3</t>
  </si>
  <si>
    <t>G3</t>
  </si>
  <si>
    <t>H3</t>
  </si>
  <si>
    <t>B4</t>
  </si>
  <si>
    <t>C4</t>
  </si>
  <si>
    <t>D4</t>
  </si>
  <si>
    <t>E4</t>
  </si>
  <si>
    <t>F4</t>
  </si>
  <si>
    <t>G4</t>
  </si>
  <si>
    <t>H4</t>
  </si>
  <si>
    <t>B5</t>
  </si>
  <si>
    <t>C5</t>
  </si>
  <si>
    <t>D5</t>
  </si>
  <si>
    <t>E5</t>
  </si>
  <si>
    <t>F5</t>
  </si>
  <si>
    <t>G5</t>
  </si>
  <si>
    <t>H5</t>
  </si>
  <si>
    <t>C6</t>
  </si>
  <si>
    <t>D6</t>
  </si>
  <si>
    <t>E6</t>
  </si>
  <si>
    <t>F6</t>
  </si>
  <si>
    <t>G6</t>
  </si>
  <si>
    <t>H6</t>
  </si>
  <si>
    <t>B7</t>
  </si>
  <si>
    <t>C7</t>
  </si>
  <si>
    <t>D7</t>
  </si>
  <si>
    <t>E7</t>
  </si>
  <si>
    <t>F7</t>
  </si>
  <si>
    <t>G7</t>
  </si>
  <si>
    <t>H7</t>
  </si>
  <si>
    <t>B8</t>
  </si>
  <si>
    <t>C8</t>
  </si>
  <si>
    <t>D8</t>
  </si>
  <si>
    <t>E8</t>
  </si>
  <si>
    <t>F8</t>
  </si>
  <si>
    <t>G8</t>
  </si>
  <si>
    <t>H8</t>
  </si>
  <si>
    <t>B9</t>
  </si>
  <si>
    <t>C9</t>
  </si>
  <si>
    <t>D9</t>
  </si>
  <si>
    <t>E9</t>
  </si>
  <si>
    <t>F9</t>
  </si>
  <si>
    <t>G9</t>
  </si>
  <si>
    <t>H9</t>
  </si>
  <si>
    <t>B10</t>
  </si>
  <si>
    <t>C10</t>
  </si>
  <si>
    <t>D10</t>
  </si>
  <si>
    <t>E10</t>
  </si>
  <si>
    <t>F10</t>
  </si>
  <si>
    <t>G10</t>
  </si>
  <si>
    <t>H10</t>
  </si>
  <si>
    <t>B11</t>
  </si>
  <si>
    <t>C11</t>
  </si>
  <si>
    <t>D11</t>
  </si>
  <si>
    <t>E11</t>
  </si>
  <si>
    <t>F11</t>
  </si>
  <si>
    <t>G11</t>
  </si>
  <si>
    <t>H11</t>
  </si>
  <si>
    <t>B12</t>
  </si>
  <si>
    <t>0,98 g</t>
  </si>
  <si>
    <t>1,24 g</t>
  </si>
  <si>
    <t>1,20 g</t>
  </si>
  <si>
    <t xml:space="preserve">1,53 g </t>
  </si>
  <si>
    <t>1,61 g</t>
  </si>
  <si>
    <t>1,41 g</t>
  </si>
  <si>
    <t>1,03 g</t>
  </si>
  <si>
    <t>1,11 g</t>
  </si>
  <si>
    <t>1,29 g</t>
  </si>
  <si>
    <t>0,99 g</t>
  </si>
  <si>
    <t>(30 Ansätze je Monomer)</t>
  </si>
  <si>
    <t>34,5 mL (aus Sicherheit 41,4 mL)</t>
  </si>
  <si>
    <t>38,2 mL (aus Sicherheit 45,8 mL)</t>
  </si>
  <si>
    <t>39,3 mL (aus Sicherheit  47,1 mL)</t>
  </si>
  <si>
    <t>39,6 mL (aus Sicherheit 47,4 mL)</t>
  </si>
  <si>
    <t>40,2 mL (aus Sicherheit 48,3 mL)</t>
  </si>
  <si>
    <t>32 mL (aus Sicherheit 38,34 mL)</t>
  </si>
  <si>
    <t>47,8 mL (aus Sicherheit  57,3 mL)</t>
  </si>
  <si>
    <t>88 mL (aus Sicherheit  105,6mL)</t>
  </si>
  <si>
    <t>50,6 mL (aus Sicherheit 60,7 mL)</t>
  </si>
  <si>
    <t>50,9 mL (aus Sicherheit 61 mL)</t>
  </si>
  <si>
    <t>32,5 mL (aus Sicherheit 39 mL)</t>
  </si>
  <si>
    <t>42,8 mL (aus Sicherheit 51,3 mL)</t>
  </si>
  <si>
    <t>81,6 mL (aus Sicherheit 98 mL)</t>
  </si>
  <si>
    <t>45,6 mL (aus Sicherheit 54,7 mL)</t>
  </si>
  <si>
    <t>46 mL (aus Sicherheit 55,1 mL)</t>
  </si>
  <si>
    <t>ZAF 107 KS Fach F</t>
  </si>
  <si>
    <t xml:space="preserve">ZAF 107 KS </t>
  </si>
  <si>
    <t>change for each experiment</t>
  </si>
  <si>
    <t>Monomer 1 (reactor 1-3)</t>
  </si>
  <si>
    <t>solvent 1 (entspricht R 1,4,7,10,13)</t>
  </si>
  <si>
    <t>time for degassing (from opening of reactors until closing):</t>
  </si>
  <si>
    <t>Monomer 2 ((reactor 4-6)</t>
  </si>
  <si>
    <t>solvent 2 (entspricht R2,5,8,11,14)</t>
  </si>
  <si>
    <t>degassing time:</t>
  </si>
  <si>
    <t>Monomer 3 ((reactor 7-9)</t>
  </si>
  <si>
    <t>solvent 3 (entspricht R 3,6,9,12,15)</t>
  </si>
  <si>
    <t>Monomer 4 (reactor 10-12)</t>
  </si>
  <si>
    <t>Monomer 5 (reactor 13-15)</t>
  </si>
  <si>
    <t>Sample determiner</t>
  </si>
  <si>
    <t>Reactor</t>
  </si>
  <si>
    <t>V(RAFT/AIBN-solution)</t>
  </si>
  <si>
    <t>Standard</t>
  </si>
  <si>
    <t>V(Trioxane)</t>
  </si>
  <si>
    <t>V(total)</t>
  </si>
  <si>
    <t>Anisole</t>
  </si>
  <si>
    <t>sample determiner</t>
  </si>
  <si>
    <t>title in NMR</t>
  </si>
  <si>
    <t>position</t>
  </si>
  <si>
    <t>50μL injection volume</t>
  </si>
  <si>
    <t>Determiner in SEC programme</t>
  </si>
  <si>
    <r>
      <t>V(total)</t>
    </r>
    <r>
      <rPr>
        <b/>
        <sz val="10"/>
        <rFont val="Arial"/>
        <family val="2"/>
      </rPr>
      <t>(soll:10,0)</t>
    </r>
  </si>
  <si>
    <t>V(LöMi total(stock+rest)</t>
  </si>
  <si>
    <t>V(rest)/solution</t>
  </si>
  <si>
    <t>Standard = Anisole, 4%</t>
  </si>
  <si>
    <t>t0 sample for ratio of polymer/monomer</t>
  </si>
  <si>
    <t>not variable if concentration of stock solution for RAFT/AIBN is not changed</t>
  </si>
  <si>
    <t>non variable parameters</t>
  </si>
  <si>
    <t>changeable parameters (change per experiment)</t>
  </si>
  <si>
    <t>change once for specific stock solutions</t>
  </si>
  <si>
    <t>parameters to note for experiment overview table</t>
  </si>
  <si>
    <t>used standard</t>
  </si>
  <si>
    <t>thoughts:</t>
  </si>
  <si>
    <t>result</t>
  </si>
  <si>
    <t>13,26 g Trioxane prt 100 mL Standard solution--&gt; 100 mL = (DMSO: 110 g) (Toluol: 86,7 g) (DMF: 94,4 g)</t>
  </si>
  <si>
    <t>Trioxane</t>
  </si>
  <si>
    <t>n-Decane</t>
  </si>
  <si>
    <t xml:space="preserve">density
[g/mL] </t>
  </si>
  <si>
    <t>n per experiment
(based on Anisole (0,4 mL per experiment))
[mmol]</t>
  </si>
  <si>
    <t>m per experiment
[mg]</t>
  </si>
  <si>
    <t>V per experiment
[yL]</t>
  </si>
  <si>
    <t>rounded  [mg] od. [yL]</t>
  </si>
  <si>
    <t>n (rounded up)
[mmol]</t>
  </si>
  <si>
    <t>date of execution</t>
  </si>
  <si>
    <t>Trioxane: try if possible to produce a solution which has 330 mg in 0.4 mL solution(same amount like Anisole)</t>
  </si>
  <si>
    <t>Trioxane: try if possible to produce a solution which has 330 mg in 1 mL solution</t>
  </si>
  <si>
    <t>Trioxane: try if possible to produce a solution which has 330 mg in 2 mL solution</t>
  </si>
  <si>
    <t>Trioxane: try if possible to produce a solution which has 330 mg in 2.5 mL solution</t>
  </si>
  <si>
    <t>Trioxane: try if possible to produce a solution which has 330 mg in 10 mL solution</t>
  </si>
  <si>
    <t>V(solvent)
[yL]</t>
  </si>
  <si>
    <t>m (Trioxane)
[mg]</t>
  </si>
  <si>
    <t>does not work</t>
  </si>
  <si>
    <t>works</t>
  </si>
  <si>
    <t>solution in 1 mL</t>
  </si>
  <si>
    <t>0XX-X-X</t>
  </si>
  <si>
    <t>date:</t>
  </si>
  <si>
    <t>Anisole total:</t>
  </si>
  <si>
    <t>4-tert-Butylstyrene</t>
  </si>
  <si>
    <t>1746-23-2</t>
  </si>
  <si>
    <t>ZAF 107 KS</t>
  </si>
  <si>
    <t>https://www.sigmaaldrich.com/DE/de/product/aldrich/523933</t>
  </si>
  <si>
    <t>tButylSt</t>
  </si>
  <si>
    <t>54,96 mL (aus Sicherheit 70 mL)</t>
  </si>
  <si>
    <t>https://www.sigmaaldrich.com/DE/de/product/aldrich/124141</t>
  </si>
  <si>
    <t>for production of RAFT/AIBN-stock for whole week, per solvent:</t>
  </si>
  <si>
    <t>for daily fresh procution of RAFT/AIBN-stock in 20 mL vials, per solvent:</t>
  </si>
  <si>
    <t xml:space="preserve">c(Trioxane) (abgeleitet from Anisole concentration)
[mol/L] </t>
  </si>
  <si>
    <t>DMF (Dimethylformamide)</t>
  </si>
  <si>
    <t>M(Trioxane) [g/mol]=</t>
  </si>
  <si>
    <t>density of solvent 
[g/mL]</t>
  </si>
  <si>
    <t>mass solvent
(per solution)
[g]</t>
  </si>
  <si>
    <t>V (solution)
[L]</t>
  </si>
  <si>
    <t>m (Trioxane) 
(per solution)
[g]</t>
  </si>
  <si>
    <t xml:space="preserve">solvent
</t>
  </si>
  <si>
    <t>Calculation of Trioxane standard stock-solutions</t>
  </si>
  <si>
    <t>2-Cyano-2-propyl benzodithioate</t>
  </si>
  <si>
    <t>Dimethyl sulfoxide</t>
  </si>
  <si>
    <t>c1ccccc1C=C</t>
  </si>
  <si>
    <t>c1ccc([Cl])cc1C=C</t>
  </si>
  <si>
    <t>c1ccc([Br])cc1C=C</t>
  </si>
  <si>
    <t>c1ccc(C)cc1C=C</t>
  </si>
  <si>
    <t>c1ccc(OC)cc1C=C</t>
  </si>
  <si>
    <t>c1ccc(C(C)(C)C)cc1C=C</t>
  </si>
  <si>
    <t>COC(=O)C(=C)C</t>
  </si>
  <si>
    <t>CCCCOC(=O)C(=C)C</t>
  </si>
  <si>
    <t>CCCCCCCCCCCCOC(=O)C(=C)C</t>
  </si>
  <si>
    <t>C(C)NCCOC(=O)C(=C)C</t>
  </si>
  <si>
    <t>c1ccccc1COC(=O)C(=C)C</t>
  </si>
  <si>
    <t>COC(=O)C(=C)</t>
  </si>
  <si>
    <t>CCCCOC(=O)C(=C)</t>
  </si>
  <si>
    <t>CCCCCCCCCCCCOC(=O)C(=C)</t>
  </si>
  <si>
    <t>C(C)NCCOC(=O)C(=C)</t>
  </si>
  <si>
    <t>c1ccccc1COC(=O)C(=C)</t>
  </si>
  <si>
    <t>CC(C)(SC(=S)c1ccccc1)C#N</t>
  </si>
  <si>
    <t>CC(CCC(O)=O)(SC(=S)c1ccccc1)C#N</t>
  </si>
  <si>
    <t>CC(C)(SC(=S)c1ccccc1)c2ccccc2</t>
  </si>
  <si>
    <t>CCCCCCCCCCCCSC(=S)SC(C)(C)C#N</t>
  </si>
  <si>
    <t>CCCCCCCCCCCCSC(=S)SC(C)(C)C(O)=O</t>
  </si>
  <si>
    <t>CCCCCCCCCCCCSC(=S)SCC#N</t>
  </si>
  <si>
    <t>c1ccc(CSC(=S)n2cccc2)cc1</t>
  </si>
  <si>
    <t>CN(C(=S)SC(C)(C)C#N)c1ccncc1</t>
  </si>
  <si>
    <t>S=C(SCc1ccccc1)SCc2ccccc2</t>
  </si>
  <si>
    <t>CN(C(=S)SCC#N)c1ccccc1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</si>
</sst>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[$€-407]"/>
    <numFmt numFmtId="165" formatCode="[$€-2]\ #,##0.00;[Red]\-[$€-2]\ #,##0.00"/>
    <numFmt numFmtId="166" formatCode="0.000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i/>
      <u/>
      <sz val="11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7"/>
      <color theme="1"/>
      <name val="Arial"/>
      <family val="2"/>
    </font>
    <font>
      <i/>
      <u/>
      <sz val="11"/>
      <color rgb="FFFF0000"/>
      <name val="Arial"/>
      <family val="2"/>
    </font>
    <font>
      <u/>
      <sz val="11"/>
      <color theme="10"/>
      <name val="Calibri"/>
      <family val="2"/>
      <scheme val="minor"/>
    </font>
    <font>
      <b/>
      <i/>
      <sz val="11"/>
      <color theme="1"/>
      <name val="Arial"/>
      <family val="2"/>
    </font>
    <font>
      <b/>
      <i/>
      <u/>
      <sz val="11"/>
      <color theme="1"/>
      <name val="Arial"/>
      <family val="2"/>
    </font>
    <font>
      <b/>
      <u/>
      <sz val="11"/>
      <color theme="1"/>
      <name val="Arial"/>
      <family val="2"/>
    </font>
    <font>
      <i/>
      <sz val="11"/>
      <color theme="1"/>
      <name val="Arial"/>
      <family val="2"/>
    </font>
    <font>
      <b/>
      <sz val="11"/>
      <name val="Arial"/>
      <family val="2"/>
    </font>
    <font>
      <b/>
      <sz val="11"/>
      <color theme="5"/>
      <name val="Arial"/>
      <family val="2"/>
    </font>
    <font>
      <sz val="11"/>
      <color theme="5"/>
      <name val="Arial"/>
      <family val="2"/>
    </font>
    <font>
      <u/>
      <sz val="11"/>
      <color theme="10"/>
      <name val="Arial"/>
      <family val="2"/>
    </font>
    <font>
      <sz val="9.9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sz val="10"/>
      <color theme="9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C00000"/>
      <name val="Arial"/>
      <family val="2"/>
    </font>
    <font>
      <sz val="10"/>
      <color theme="1"/>
      <name val="Arial"/>
      <family val="2"/>
    </font>
    <font>
      <sz val="10"/>
      <color indexed="10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u/>
      <sz val="16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theme="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36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49" fontId="1" fillId="0" borderId="0" xfId="0" applyNumberFormat="1" applyFont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164" fontId="1" fillId="0" borderId="0" xfId="0" applyNumberFormat="1" applyFon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wrapText="1"/>
    </xf>
    <xf numFmtId="0" fontId="3" fillId="2" borderId="0" xfId="0" applyFont="1" applyFill="1"/>
    <xf numFmtId="0" fontId="3" fillId="4" borderId="0" xfId="0" applyFont="1" applyFill="1"/>
    <xf numFmtId="0" fontId="3" fillId="3" borderId="0" xfId="0" applyFont="1" applyFill="1"/>
    <xf numFmtId="0" fontId="3" fillId="4" borderId="1" xfId="0" applyFont="1" applyFill="1" applyBorder="1"/>
    <xf numFmtId="0" fontId="3" fillId="4" borderId="2" xfId="0" applyFont="1" applyFill="1" applyBorder="1"/>
    <xf numFmtId="0" fontId="3" fillId="4" borderId="3" xfId="0" applyFont="1" applyFill="1" applyBorder="1"/>
    <xf numFmtId="0" fontId="3" fillId="0" borderId="0" xfId="0" applyFont="1" applyAlignment="1">
      <alignment horizontal="center"/>
    </xf>
    <xf numFmtId="49" fontId="3" fillId="0" borderId="0" xfId="0" applyNumberFormat="1" applyFont="1"/>
    <xf numFmtId="14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/>
    </xf>
    <xf numFmtId="164" fontId="3" fillId="0" borderId="0" xfId="0" applyNumberFormat="1" applyFont="1"/>
    <xf numFmtId="0" fontId="15" fillId="0" borderId="0" xfId="1" applyFont="1"/>
    <xf numFmtId="0" fontId="1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49" fontId="15" fillId="0" borderId="0" xfId="1" applyNumberFormat="1" applyFont="1"/>
    <xf numFmtId="165" fontId="3" fillId="0" borderId="0" xfId="0" applyNumberFormat="1" applyFont="1"/>
    <xf numFmtId="0" fontId="14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0" fillId="0" borderId="0" xfId="0" applyFont="1"/>
    <xf numFmtId="0" fontId="2" fillId="0" borderId="0" xfId="0" applyFont="1"/>
    <xf numFmtId="0" fontId="9" fillId="0" borderId="0" xfId="0" applyFont="1"/>
    <xf numFmtId="0" fontId="12" fillId="0" borderId="0" xfId="1" applyFont="1" applyAlignment="1">
      <alignment horizontal="left"/>
    </xf>
    <xf numFmtId="0" fontId="16" fillId="0" borderId="0" xfId="0" applyFont="1" applyAlignment="1">
      <alignment horizontal="center" vertical="center" wrapText="1"/>
    </xf>
    <xf numFmtId="0" fontId="1" fillId="4" borderId="0" xfId="0" applyFont="1" applyFill="1"/>
    <xf numFmtId="0" fontId="3" fillId="0" borderId="4" xfId="0" applyFont="1" applyBorder="1"/>
    <xf numFmtId="0" fontId="3" fillId="0" borderId="4" xfId="0" applyFont="1" applyBorder="1" applyAlignment="1">
      <alignment horizontal="center"/>
    </xf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5" xfId="0" applyFont="1" applyBorder="1"/>
    <xf numFmtId="0" fontId="3" fillId="0" borderId="0" xfId="0" applyFont="1" applyAlignment="1">
      <alignment vertical="center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5" borderId="0" xfId="0" applyFont="1" applyFill="1"/>
    <xf numFmtId="0" fontId="21" fillId="6" borderId="0" xfId="0" applyFont="1" applyFill="1"/>
    <xf numFmtId="0" fontId="0" fillId="0" borderId="11" xfId="0" applyBorder="1"/>
    <xf numFmtId="0" fontId="0" fillId="0" borderId="12" xfId="0" applyBorder="1"/>
    <xf numFmtId="0" fontId="18" fillId="5" borderId="12" xfId="0" applyFont="1" applyFill="1" applyBorder="1"/>
    <xf numFmtId="2" fontId="18" fillId="5" borderId="12" xfId="0" applyNumberFormat="1" applyFont="1" applyFill="1" applyBorder="1"/>
    <xf numFmtId="0" fontId="21" fillId="5" borderId="12" xfId="0" applyFont="1" applyFill="1" applyBorder="1"/>
    <xf numFmtId="0" fontId="0" fillId="0" borderId="13" xfId="0" applyBorder="1"/>
    <xf numFmtId="0" fontId="0" fillId="0" borderId="14" xfId="0" applyBorder="1"/>
    <xf numFmtId="0" fontId="21" fillId="0" borderId="0" xfId="0" applyFont="1"/>
    <xf numFmtId="2" fontId="0" fillId="0" borderId="0" xfId="0" applyNumberFormat="1"/>
    <xf numFmtId="0" fontId="0" fillId="0" borderId="15" xfId="0" applyBorder="1"/>
    <xf numFmtId="2" fontId="18" fillId="0" borderId="0" xfId="0" applyNumberFormat="1" applyFont="1"/>
    <xf numFmtId="0" fontId="18" fillId="6" borderId="0" xfId="0" applyFont="1" applyFill="1"/>
    <xf numFmtId="0" fontId="22" fillId="0" borderId="0" xfId="0" applyFont="1"/>
    <xf numFmtId="0" fontId="0" fillId="0" borderId="16" xfId="0" applyBorder="1"/>
    <xf numFmtId="0" fontId="0" fillId="0" borderId="17" xfId="0" applyBorder="1"/>
    <xf numFmtId="0" fontId="0" fillId="5" borderId="17" xfId="0" applyFill="1" applyBorder="1"/>
    <xf numFmtId="0" fontId="23" fillId="5" borderId="17" xfId="0" applyFont="1" applyFill="1" applyBorder="1"/>
    <xf numFmtId="0" fontId="21" fillId="5" borderId="17" xfId="0" applyFont="1" applyFill="1" applyBorder="1"/>
    <xf numFmtId="0" fontId="18" fillId="0" borderId="18" xfId="0" applyFont="1" applyBorder="1"/>
    <xf numFmtId="0" fontId="0" fillId="5" borderId="0" xfId="0" applyFill="1"/>
    <xf numFmtId="0" fontId="23" fillId="0" borderId="0" xfId="0" applyFont="1"/>
    <xf numFmtId="0" fontId="21" fillId="5" borderId="14" xfId="0" applyFont="1" applyFill="1" applyBorder="1"/>
    <xf numFmtId="0" fontId="18" fillId="5" borderId="0" xfId="0" applyFont="1" applyFill="1"/>
    <xf numFmtId="0" fontId="24" fillId="0" borderId="0" xfId="0" applyFont="1"/>
    <xf numFmtId="0" fontId="18" fillId="0" borderId="15" xfId="0" applyFont="1" applyBorder="1"/>
    <xf numFmtId="0" fontId="0" fillId="0" borderId="18" xfId="0" applyBorder="1"/>
    <xf numFmtId="0" fontId="20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4" xfId="0" applyFont="1" applyBorder="1" applyAlignment="1">
      <alignment wrapText="1"/>
    </xf>
    <xf numFmtId="2" fontId="3" fillId="0" borderId="0" xfId="0" applyNumberFormat="1" applyFont="1"/>
    <xf numFmtId="166" fontId="3" fillId="0" borderId="0" xfId="0" applyNumberFormat="1" applyFont="1"/>
    <xf numFmtId="2" fontId="3" fillId="0" borderId="4" xfId="0" applyNumberFormat="1" applyFont="1" applyBorder="1"/>
    <xf numFmtId="2" fontId="1" fillId="0" borderId="0" xfId="0" applyNumberFormat="1" applyFont="1"/>
    <xf numFmtId="2" fontId="1" fillId="4" borderId="6" xfId="0" applyNumberFormat="1" applyFont="1" applyFill="1" applyBorder="1"/>
    <xf numFmtId="2" fontId="1" fillId="4" borderId="0" xfId="0" applyNumberFormat="1" applyFont="1" applyFill="1"/>
    <xf numFmtId="2" fontId="1" fillId="4" borderId="5" xfId="0" applyNumberFormat="1" applyFont="1" applyFill="1" applyBorder="1" applyAlignment="1">
      <alignment horizontal="center"/>
    </xf>
    <xf numFmtId="0" fontId="25" fillId="0" borderId="0" xfId="0" applyFont="1"/>
    <xf numFmtId="0" fontId="12" fillId="0" borderId="0" xfId="0" applyFont="1" applyAlignment="1">
      <alignment horizontal="center"/>
    </xf>
    <xf numFmtId="0" fontId="12" fillId="0" borderId="0" xfId="0" applyFont="1"/>
    <xf numFmtId="0" fontId="26" fillId="0" borderId="0" xfId="0" applyFont="1"/>
    <xf numFmtId="0" fontId="17" fillId="0" borderId="0" xfId="0" applyFont="1"/>
    <xf numFmtId="0" fontId="26" fillId="0" borderId="0" xfId="0" applyFont="1" applyAlignment="1">
      <alignment vertical="center" wrapText="1"/>
    </xf>
    <xf numFmtId="49" fontId="27" fillId="0" borderId="0" xfId="0" applyNumberFormat="1" applyFont="1"/>
    <xf numFmtId="0" fontId="27" fillId="0" borderId="0" xfId="0" applyFont="1"/>
    <xf numFmtId="0" fontId="3" fillId="0" borderId="0" xfId="0" applyFont="1" applyAlignment="1">
      <alignment horizontal="left" wrapText="1"/>
    </xf>
    <xf numFmtId="0" fontId="3" fillId="0" borderId="19" xfId="0" applyFont="1" applyBorder="1" applyAlignment="1">
      <alignment wrapText="1"/>
    </xf>
    <xf numFmtId="0" fontId="3" fillId="0" borderId="20" xfId="0" applyFont="1" applyBorder="1" applyAlignment="1">
      <alignment wrapText="1"/>
    </xf>
    <xf numFmtId="0" fontId="3" fillId="0" borderId="21" xfId="0" applyFont="1" applyBorder="1" applyAlignment="1">
      <alignment wrapText="1"/>
    </xf>
    <xf numFmtId="0" fontId="3" fillId="7" borderId="19" xfId="0" applyFont="1" applyFill="1" applyBorder="1" applyAlignment="1">
      <alignment wrapText="1"/>
    </xf>
    <xf numFmtId="0" fontId="3" fillId="7" borderId="20" xfId="0" applyFont="1" applyFill="1" applyBorder="1" applyAlignment="1">
      <alignment wrapText="1"/>
    </xf>
    <xf numFmtId="0" fontId="3" fillId="7" borderId="21" xfId="0" applyFont="1" applyFill="1" applyBorder="1" applyAlignment="1">
      <alignment wrapText="1"/>
    </xf>
    <xf numFmtId="0" fontId="3" fillId="7" borderId="22" xfId="0" applyFont="1" applyFill="1" applyBorder="1" applyAlignment="1">
      <alignment wrapText="1"/>
    </xf>
    <xf numFmtId="0" fontId="4" fillId="0" borderId="21" xfId="0" applyFont="1" applyBorder="1" applyAlignment="1">
      <alignment wrapText="1"/>
    </xf>
    <xf numFmtId="0" fontId="3" fillId="0" borderId="23" xfId="0" applyFont="1" applyBorder="1" applyAlignment="1">
      <alignment wrapText="1"/>
    </xf>
    <xf numFmtId="0" fontId="3" fillId="0" borderId="24" xfId="0" applyFont="1" applyBorder="1" applyAlignment="1">
      <alignment wrapText="1"/>
    </xf>
    <xf numFmtId="0" fontId="4" fillId="0" borderId="19" xfId="0" applyFont="1" applyBorder="1" applyAlignment="1">
      <alignment wrapText="1"/>
    </xf>
    <xf numFmtId="0" fontId="3" fillId="0" borderId="12" xfId="0" applyFont="1" applyBorder="1"/>
    <xf numFmtId="0" fontId="3" fillId="7" borderId="25" xfId="0" applyFont="1" applyFill="1" applyBorder="1" applyAlignment="1">
      <alignment wrapText="1"/>
    </xf>
    <xf numFmtId="0" fontId="3" fillId="7" borderId="26" xfId="0" applyFont="1" applyFill="1" applyBorder="1" applyAlignment="1">
      <alignment wrapText="1"/>
    </xf>
    <xf numFmtId="0" fontId="3" fillId="7" borderId="16" xfId="0" applyFont="1" applyFill="1" applyBorder="1" applyAlignment="1">
      <alignment wrapText="1"/>
    </xf>
    <xf numFmtId="0" fontId="3" fillId="0" borderId="25" xfId="0" applyFont="1" applyBorder="1" applyAlignment="1">
      <alignment wrapText="1"/>
    </xf>
    <xf numFmtId="0" fontId="3" fillId="8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4" fillId="4" borderId="0" xfId="0" applyFont="1" applyFill="1"/>
    <xf numFmtId="0" fontId="1" fillId="0" borderId="8" xfId="0" applyFont="1" applyBorder="1" applyAlignment="1">
      <alignment horizontal="center"/>
    </xf>
    <xf numFmtId="0" fontId="1" fillId="0" borderId="8" xfId="0" applyFont="1" applyBorder="1" applyAlignment="1">
      <alignment horizontal="left"/>
    </xf>
    <xf numFmtId="0" fontId="1" fillId="0" borderId="8" xfId="0" applyFont="1" applyBorder="1"/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left" wrapText="1"/>
    </xf>
    <xf numFmtId="0" fontId="3" fillId="0" borderId="8" xfId="0" applyFont="1" applyBorder="1" applyAlignment="1">
      <alignment horizontal="left"/>
    </xf>
    <xf numFmtId="0" fontId="3" fillId="0" borderId="27" xfId="0" applyFont="1" applyBorder="1" applyAlignment="1">
      <alignment wrapText="1"/>
    </xf>
    <xf numFmtId="0" fontId="3" fillId="0" borderId="24" xfId="0" applyFont="1" applyBorder="1" applyAlignment="1">
      <alignment horizontal="left" wrapText="1"/>
    </xf>
    <xf numFmtId="0" fontId="3" fillId="7" borderId="11" xfId="0" applyFont="1" applyFill="1" applyBorder="1" applyAlignment="1">
      <alignment wrapText="1"/>
    </xf>
    <xf numFmtId="0" fontId="3" fillId="7" borderId="28" xfId="0" applyFont="1" applyFill="1" applyBorder="1" applyAlignment="1">
      <alignment wrapText="1"/>
    </xf>
    <xf numFmtId="0" fontId="28" fillId="0" borderId="0" xfId="0" applyFont="1"/>
    <xf numFmtId="0" fontId="7" fillId="0" borderId="0" xfId="1"/>
    <xf numFmtId="166" fontId="3" fillId="0" borderId="7" xfId="0" applyNumberFormat="1" applyFont="1" applyBorder="1"/>
    <xf numFmtId="166" fontId="3" fillId="0" borderId="4" xfId="0" applyNumberFormat="1" applyFont="1" applyBorder="1"/>
    <xf numFmtId="166" fontId="1" fillId="4" borderId="6" xfId="0" applyNumberFormat="1" applyFont="1" applyFill="1" applyBorder="1"/>
    <xf numFmtId="166" fontId="1" fillId="4" borderId="0" xfId="0" applyNumberFormat="1" applyFont="1" applyFill="1"/>
    <xf numFmtId="0" fontId="29" fillId="0" borderId="0" xfId="0" applyFont="1"/>
    <xf numFmtId="166" fontId="1" fillId="0" borderId="0" xfId="0" applyNumberFormat="1" applyFont="1"/>
    <xf numFmtId="0" fontId="1" fillId="0" borderId="8" xfId="0" applyFont="1" applyBorder="1" applyAlignment="1">
      <alignment wrapText="1"/>
    </xf>
    <xf numFmtId="166" fontId="1" fillId="0" borderId="8" xfId="0" applyNumberFormat="1" applyFont="1" applyBorder="1" applyAlignment="1">
      <alignment wrapText="1"/>
    </xf>
    <xf numFmtId="0" fontId="1" fillId="0" borderId="9" xfId="0" applyFont="1" applyBorder="1" applyAlignment="1">
      <alignment wrapText="1"/>
    </xf>
  </cellXfs>
  <cellStyles count="2">
    <cellStyle name="Link" xfId="1" builtinId="8"/>
    <cellStyle name="Standard" xfId="0" builtinId="0"/>
  </cellStyles>
  <dxfs count="12"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b/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b/>
        <strike val="0"/>
        <outline val="0"/>
        <shadow val="0"/>
        <u val="none"/>
        <vertAlign val="baseline"/>
        <color theme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chael.ringleb" id="{E3305E84-806A-4FD4-8237-9E08C2286DD0}" userId="michael.ringleb" providerId="None"/>
  <person displayName="Michael Ringleb" id="{EC84FBDB-EF51-425F-9FEA-4F4516AA8D9A}" userId="2342cf8d3a1c0d84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2BFF17-3FC1-472E-A0F3-FA9B132D3435}" name="Tabelle1" displayName="Tabelle1" ref="L16:O20" totalsRowShown="0" headerRowDxfId="11" dataDxfId="10">
  <autoFilter ref="L16:O20" xr:uid="{258DD990-37F0-4CB0-9697-C531AD8D0953}"/>
  <tableColumns count="4">
    <tableColumn id="1" xr3:uid="{318F24B4-A2D6-48F6-BCA3-78B72F460240}" name="solvent" dataDxfId="9"/>
    <tableColumn id="2" xr3:uid="{0798B544-9EFC-4D22-80E0-8C4E2ADD83AB}" name="volume" dataDxfId="8"/>
    <tableColumn id="3" xr3:uid="{EF25040A-1416-4981-ADF5-25A1336E2169}" name="density" dataDxfId="7"/>
    <tableColumn id="4" xr3:uid="{00FB7AA4-20F8-4D30-819B-F23ADF2C0688}" name="mass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BDFF9C1-35A5-484C-9349-953CA7C12843}" name="Tabelle13" displayName="Tabelle13" ref="L37:O41" totalsRowShown="0" headerRowDxfId="5" dataDxfId="4">
  <autoFilter ref="L37:O41" xr:uid="{0A9B1F38-A0AD-4AD2-BE2C-E55E5B651C6E}"/>
  <tableColumns count="4">
    <tableColumn id="1" xr3:uid="{1C46ADF3-85CE-438A-A2B9-655A8736B146}" name="solvent" dataDxfId="3"/>
    <tableColumn id="2" xr3:uid="{BF065570-2AEA-4313-BE28-CFF1093FF701}" name="volume" dataDxfId="2"/>
    <tableColumn id="3" xr3:uid="{79F8A301-394E-4CE5-8E9E-68830C36A873}" name="density" dataDxfId="1"/>
    <tableColumn id="4" xr3:uid="{2E8C80E5-7C23-4857-A3D0-9F6F610E98D9}" name="ma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72" dT="2021-03-06T18:56:22.62" personId="{EC84FBDB-EF51-425F-9FEA-4F4516AA8D9A}" id="{99CB4448-454E-4F4C-AC31-A0BB53153308}">
    <text>Noch berechnen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2" dT="2021-05-02T12:54:34.40" personId="{E3305E84-806A-4FD4-8237-9E08C2286DD0}" id="{0C894411-5D9E-435E-80D2-581D7AEDCCD8}">
    <text>- 0.4 mL Anisol je 10 mL Reaktionslösung sind 3,662 mmol/Ansatz
- Trioxan: 
3,662 mmol = 329,87 mg--&gt; Zugabe aber besser, wenn als Stammlösung vorliegend --&gt; Lösetest für 329,87 mg in 10 mL --&gt; 32,99 mg in 1 mL (aufgerundet 33 mg), ggf. weiter verdünnen
- Dekan: 
3,662 mmol =713,79 yL/Ansatz --&gt; auf nächste volle 10 yL runden (Roboter Zugabegenauigkeit) --&gt; 
Lösetest 72 yL in 1 mL</text>
  </threadedComment>
  <threadedComment ref="M9" dT="2021-05-16T10:35:42.55" personId="{E3305E84-806A-4FD4-8237-9E08C2286DD0}" id="{F74CDC36-1056-4B02-9354-97535C1F1018}">
    <text>um herauszufinden, ob es sich überhaupt im Lösungsmittel lösen würde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erckmillipore.com/DE/de/search/-?search=&amp;SingleResultDisplay=SFProductSearch&amp;TrackingSearchType=pdp_related_product&amp;SearchTerm=*&amp;SearchParameter=%26%40QueryTerm%3D*%26feature_cas_no_value%3D141-32-2" TargetMode="External"/><Relationship Id="rId13" Type="http://schemas.openxmlformats.org/officeDocument/2006/relationships/hyperlink" Target="https://www.sigmaaldrich.com/catalog/search?term=2439-35-2&amp;interface=CAS%20No.&amp;N=0&amp;mode=partialmax&amp;lang=de&amp;region=DE&amp;focus=product" TargetMode="External"/><Relationship Id="rId18" Type="http://schemas.openxmlformats.org/officeDocument/2006/relationships/hyperlink" Target="https://www.sigmaaldrich.com/catalog/search?term=76926-16-4&amp;interface=CAS%20No.&amp;N=0&amp;mode=partialmax&amp;lang=de&amp;region=DE&amp;focus=product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www.sigmaaldrich.com/catalog/search?term=142-90-5&amp;interface=CAS%20No.&amp;N=0&amp;mode=partialmax&amp;lang=de&amp;region=DE&amp;focus=product" TargetMode="External"/><Relationship Id="rId21" Type="http://schemas.openxmlformats.org/officeDocument/2006/relationships/hyperlink" Target="https://www.sigmaaldrich.com/catalog/search?term=201611-85-0&amp;interface=CAS%20No.&amp;N=0&amp;mode=partialmax&amp;lang=de&amp;region=DE&amp;focus=product" TargetMode="External"/><Relationship Id="rId7" Type="http://schemas.openxmlformats.org/officeDocument/2006/relationships/hyperlink" Target="https://www.sigmaaldrich.com/catalog/search?term=2495-37-6&amp;interface=CAS%20No.&amp;N=0&amp;mode=partialmax&amp;lang=de&amp;region=DE&amp;focus=product" TargetMode="External"/><Relationship Id="rId12" Type="http://schemas.openxmlformats.org/officeDocument/2006/relationships/hyperlink" Target="https://www.sigmaaldrich.com/catalog/search?term=96-33-3&amp;interface=CAS%20No.&amp;N=0&amp;mode=partialmax&amp;lang=de&amp;region=DE&amp;focus=product" TargetMode="External"/><Relationship Id="rId17" Type="http://schemas.openxmlformats.org/officeDocument/2006/relationships/hyperlink" Target="https://www.sigmaaldrich.com/catalog/search?term=60795-38-2&amp;interface=CAS%20No.&amp;N=0&amp;mode=partialmax&amp;lang=de&amp;region=DE&amp;focus=product" TargetMode="External"/><Relationship Id="rId25" Type="http://schemas.openxmlformats.org/officeDocument/2006/relationships/hyperlink" Target="https://www.merckmillipore.com/DE/de/search/-?search=&amp;SingleResultDisplay=SFProductSearch&amp;TrackingSearchType=pdp_related_product&amp;SearchTerm=*&amp;SearchParameter=%26%40QueryTerm%3D*%26feature_cas_no_value%3D100-42-5" TargetMode="External"/><Relationship Id="rId2" Type="http://schemas.openxmlformats.org/officeDocument/2006/relationships/hyperlink" Target="https://www.sigmaaldrich.com/catalog/search?term=26504-29-0&amp;interface=CAS%20No.&amp;N=0&amp;mode=partialmax&amp;lang=de&amp;region=DE&amp;focus=product" TargetMode="External"/><Relationship Id="rId16" Type="http://schemas.openxmlformats.org/officeDocument/2006/relationships/hyperlink" Target="https://www.sigmaaldrich.com/catalog/search?term=796045-97-1&amp;interface=CAS%20No.&amp;N=0&amp;mode=partialmax&amp;lang=de&amp;region=DE&amp;focus=product" TargetMode="External"/><Relationship Id="rId20" Type="http://schemas.openxmlformats.org/officeDocument/2006/relationships/hyperlink" Target="https://www.sigmaaldrich.com/catalog/search?term=870196-83-1&amp;interface=CAS%20No.&amp;N=0&amp;mode=partialmax&amp;lang=de&amp;region=DE&amp;focus=product" TargetMode="External"/><Relationship Id="rId29" Type="http://schemas.microsoft.com/office/2017/10/relationships/threadedComment" Target="../threadedComments/threadedComment1.xml"/><Relationship Id="rId1" Type="http://schemas.openxmlformats.org/officeDocument/2006/relationships/hyperlink" Target="https://www.sigmaaldrich.com/catalog/search?term=2867-47-2&amp;interface=CAS%20No.&amp;N=0&amp;mode=partialmax&amp;lang=de&amp;region=DE&amp;focus=product" TargetMode="External"/><Relationship Id="rId6" Type="http://schemas.openxmlformats.org/officeDocument/2006/relationships/hyperlink" Target="https://www.sigmaaldrich.com/catalog/search?term=201611-92-9&amp;interface=CAS%20No.&amp;N=0&amp;mode=partialmax&amp;lang=de&amp;region=DE&amp;focus=product" TargetMode="External"/><Relationship Id="rId11" Type="http://schemas.openxmlformats.org/officeDocument/2006/relationships/hyperlink" Target="https://www.sigmaaldrich.com/catalog/search?term=622-97-9&amp;interface=CAS%20No.&amp;N=0&amp;mode=partialmax&amp;lang=de&amp;region=DE&amp;focus=product" TargetMode="External"/><Relationship Id="rId24" Type="http://schemas.openxmlformats.org/officeDocument/2006/relationships/hyperlink" Target="https://www.sigmaaldrich.com/DE/de/search/1746-23-2?focus=products&amp;page=1&amp;perpage=30&amp;sort=relevance&amp;term=1746-23-2&amp;type=cas_number" TargetMode="External"/><Relationship Id="rId5" Type="http://schemas.openxmlformats.org/officeDocument/2006/relationships/hyperlink" Target="https://www.merckmillipore.com/DE/de/search/-?search=&amp;SingleResultDisplay=SFProductSearch&amp;TrackingSearchType=pdp_related_product&amp;SearchTerm=*&amp;SearchParameter=%26%40QueryTerm%3D*%26feature_cas_no_value%3D80-62-6" TargetMode="External"/><Relationship Id="rId15" Type="http://schemas.openxmlformats.org/officeDocument/2006/relationships/hyperlink" Target="https://www.sigmaaldrich.com/catalog/search?term=461642-78-4&amp;interface=CAS%20No.&amp;N=0&amp;mode=partialmax&amp;lang=de&amp;region=DE&amp;focus=product" TargetMode="External"/><Relationship Id="rId23" Type="http://schemas.openxmlformats.org/officeDocument/2006/relationships/hyperlink" Target="https://www.merckmillipore.com/DE/de/search/-?search=&amp;SingleResultDisplay=SFProductSearch&amp;TrackingSearchType=pdp_related_product&amp;SearchTerm=*&amp;SearchParameter=%26%40QueryTerm%3D*%26feature_cas_no_value%3D637-69-4" TargetMode="External"/><Relationship Id="rId28" Type="http://schemas.openxmlformats.org/officeDocument/2006/relationships/comments" Target="../comments1.xml"/><Relationship Id="rId10" Type="http://schemas.openxmlformats.org/officeDocument/2006/relationships/hyperlink" Target="https://www.sigmaaldrich.com/catalog/search?term=2039-82-9&amp;interface=CAS%20No.&amp;N=0&amp;mode=partialmax&amp;lang=de&amp;region=DE&amp;focus=product" TargetMode="External"/><Relationship Id="rId19" Type="http://schemas.openxmlformats.org/officeDocument/2006/relationships/hyperlink" Target="https://www.sigmaaldrich.com/catalog/search?term=1158958-96-3&amp;interface=CAS%20No.&amp;N=0&amp;mode=partialmax&amp;lang=de&amp;region=DE&amp;focus=product" TargetMode="External"/><Relationship Id="rId4" Type="http://schemas.openxmlformats.org/officeDocument/2006/relationships/hyperlink" Target="https://www.merckmillipore.com/DE/de/search/-?search=&amp;SingleResultDisplay=SFProductSearch&amp;TrackingSearchType=pdp_related_product&amp;SearchTerm=*&amp;SearchParameter=%26%40QueryTerm%3D*%26feature_cas_no_value%3D97-88-1" TargetMode="External"/><Relationship Id="rId9" Type="http://schemas.openxmlformats.org/officeDocument/2006/relationships/hyperlink" Target="https://www.sigmaaldrich.com/catalog/search?term=1073-67-2&amp;interface=CAS%20No.&amp;N=0&amp;mode=partialmax&amp;lang=de&amp;region=DE&amp;focus=product" TargetMode="External"/><Relationship Id="rId14" Type="http://schemas.openxmlformats.org/officeDocument/2006/relationships/hyperlink" Target="https://www.sigmaaldrich.com/catalog/search?term=2495-35-4&amp;interface=CAS%20No.&amp;N=0&amp;mode=partialmax&amp;lang=de&amp;region=DE&amp;focus=product" TargetMode="External"/><Relationship Id="rId22" Type="http://schemas.openxmlformats.org/officeDocument/2006/relationships/hyperlink" Target="https://www.sigmaaldrich.com/DE/en/search/2156-97-0?focus=products&amp;page=1&amp;perPage=30&amp;sort=relevance&amp;term=2156-97-0&amp;type=cas_number" TargetMode="External"/><Relationship Id="rId27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44607-3B9B-429B-9B3A-B6E408DD3969}">
  <sheetPr>
    <pageSetUpPr fitToPage="1"/>
  </sheetPr>
  <dimension ref="A1:O86"/>
  <sheetViews>
    <sheetView tabSelected="1" zoomScale="75" zoomScaleNormal="75" workbookViewId="0">
      <selection activeCell="D29" sqref="D29"/>
    </sheetView>
  </sheetViews>
  <sheetFormatPr baseColWidth="10" defaultColWidth="11.453125" defaultRowHeight="14" x14ac:dyDescent="0.3"/>
  <cols>
    <col min="1" max="1" width="71.1796875" style="11" bestFit="1" customWidth="1"/>
    <col min="2" max="2" width="16.81640625" style="11" bestFit="1" customWidth="1"/>
    <col min="3" max="3" width="16.1796875" style="11" bestFit="1" customWidth="1"/>
    <col min="4" max="4" width="29.453125" style="1" bestFit="1" customWidth="1"/>
    <col min="5" max="5" width="29.1796875" style="19" bestFit="1" customWidth="1"/>
    <col min="6" max="7" width="25.54296875" style="19" customWidth="1"/>
    <col min="8" max="8" width="13.453125" style="20" bestFit="1" customWidth="1"/>
    <col min="9" max="9" width="22.453125" style="21" customWidth="1"/>
    <col min="10" max="10" width="60.81640625" style="22" bestFit="1" customWidth="1"/>
    <col min="11" max="11" width="31.7265625" style="11" bestFit="1" customWidth="1"/>
    <col min="12" max="12" width="29.7265625" style="11" bestFit="1" customWidth="1"/>
    <col min="13" max="13" width="14.453125" style="23" bestFit="1" customWidth="1"/>
    <col min="14" max="14" width="16.81640625" style="11" bestFit="1" customWidth="1"/>
    <col min="15" max="15" width="107.1796875" style="11" bestFit="1" customWidth="1"/>
    <col min="16" max="16384" width="11.453125" style="11"/>
  </cols>
  <sheetData>
    <row r="1" spans="1:15" s="1" customFormat="1" ht="28" x14ac:dyDescent="0.3">
      <c r="A1" s="1" t="s">
        <v>0</v>
      </c>
      <c r="B1" s="1" t="s">
        <v>214</v>
      </c>
      <c r="C1" s="1" t="s">
        <v>1</v>
      </c>
      <c r="D1" s="1" t="s">
        <v>227</v>
      </c>
      <c r="E1" s="9" t="s">
        <v>216</v>
      </c>
      <c r="F1" s="9" t="s">
        <v>223</v>
      </c>
      <c r="G1" s="9" t="s">
        <v>228</v>
      </c>
      <c r="H1" s="5" t="s">
        <v>2</v>
      </c>
      <c r="I1" s="10" t="s">
        <v>169</v>
      </c>
      <c r="J1" s="6" t="s">
        <v>54</v>
      </c>
      <c r="K1" s="7" t="s">
        <v>105</v>
      </c>
      <c r="L1" s="1" t="s">
        <v>104</v>
      </c>
      <c r="M1" s="8" t="s">
        <v>108</v>
      </c>
      <c r="N1" s="1" t="s">
        <v>42</v>
      </c>
      <c r="O1" s="1" t="s">
        <v>141</v>
      </c>
    </row>
    <row r="2" spans="1:15" s="1" customFormat="1" x14ac:dyDescent="0.3">
      <c r="E2" s="9" t="s">
        <v>65</v>
      </c>
      <c r="F2" s="9" t="s">
        <v>69</v>
      </c>
      <c r="G2" s="9" t="s">
        <v>146</v>
      </c>
      <c r="H2" s="5"/>
      <c r="I2" s="10"/>
      <c r="J2" s="4"/>
      <c r="K2" s="1" t="s">
        <v>70</v>
      </c>
      <c r="M2" s="8"/>
    </row>
    <row r="3" spans="1:15" s="1" customFormat="1" x14ac:dyDescent="0.3">
      <c r="A3" s="35" t="s">
        <v>226</v>
      </c>
      <c r="E3" s="9"/>
      <c r="F3" s="9"/>
      <c r="G3" s="9"/>
      <c r="H3" s="5"/>
      <c r="I3" s="10"/>
      <c r="J3" s="4"/>
      <c r="K3" s="1" t="s">
        <v>356</v>
      </c>
      <c r="M3" s="8"/>
    </row>
    <row r="4" spans="1:15" s="1" customFormat="1" x14ac:dyDescent="0.3">
      <c r="A4" s="35"/>
      <c r="E4" s="9"/>
      <c r="F4" s="9"/>
      <c r="G4" s="9"/>
      <c r="H4" s="5"/>
      <c r="I4" s="10"/>
      <c r="J4" s="4"/>
      <c r="M4" s="8"/>
    </row>
    <row r="5" spans="1:15" ht="14.5" x14ac:dyDescent="0.35">
      <c r="A5" s="34" t="s">
        <v>3</v>
      </c>
      <c r="D5" s="4"/>
      <c r="J5" s="4"/>
    </row>
    <row r="6" spans="1:15" ht="14.5" x14ac:dyDescent="0.35">
      <c r="A6" s="14" t="s">
        <v>14</v>
      </c>
      <c r="B6" s="11" t="s">
        <v>88</v>
      </c>
      <c r="C6" t="s">
        <v>453</v>
      </c>
      <c r="D6" s="4">
        <v>1</v>
      </c>
      <c r="E6" s="19">
        <v>104.15</v>
      </c>
      <c r="F6" s="19">
        <v>0.90600000000000003</v>
      </c>
      <c r="G6" s="19">
        <v>145</v>
      </c>
      <c r="H6" s="24" t="s">
        <v>90</v>
      </c>
      <c r="J6" s="25" t="s">
        <v>372</v>
      </c>
      <c r="K6" s="11" t="s">
        <v>357</v>
      </c>
      <c r="O6" s="11" t="s">
        <v>142</v>
      </c>
    </row>
    <row r="7" spans="1:15" ht="14.5" x14ac:dyDescent="0.35">
      <c r="A7" s="14" t="s">
        <v>15</v>
      </c>
      <c r="B7" s="11" t="s">
        <v>86</v>
      </c>
      <c r="C7" t="s">
        <v>454</v>
      </c>
      <c r="D7" s="4">
        <v>2</v>
      </c>
      <c r="E7" s="19">
        <v>138.59</v>
      </c>
      <c r="F7" s="19">
        <v>1.0900000000000001</v>
      </c>
      <c r="G7" s="19">
        <v>192</v>
      </c>
      <c r="H7" s="24" t="s">
        <v>91</v>
      </c>
      <c r="J7" s="25" t="s">
        <v>372</v>
      </c>
      <c r="K7" s="11" t="s">
        <v>358</v>
      </c>
      <c r="M7" s="23">
        <v>192</v>
      </c>
      <c r="O7" s="11" t="s">
        <v>109</v>
      </c>
    </row>
    <row r="8" spans="1:15" ht="14.5" x14ac:dyDescent="0.35">
      <c r="A8" s="14" t="s">
        <v>16</v>
      </c>
      <c r="B8" s="11" t="s">
        <v>174</v>
      </c>
      <c r="C8" t="s">
        <v>455</v>
      </c>
      <c r="D8" s="4">
        <v>3</v>
      </c>
      <c r="E8" s="19">
        <v>183.05</v>
      </c>
      <c r="F8" s="19">
        <v>1.4</v>
      </c>
      <c r="G8" s="19">
        <v>212</v>
      </c>
      <c r="H8" s="24" t="s">
        <v>92</v>
      </c>
      <c r="J8" s="25" t="s">
        <v>373</v>
      </c>
      <c r="K8" s="11" t="s">
        <v>359</v>
      </c>
      <c r="M8" s="23">
        <v>530</v>
      </c>
      <c r="O8" s="11" t="s">
        <v>439</v>
      </c>
    </row>
    <row r="9" spans="1:15" ht="14.5" x14ac:dyDescent="0.35">
      <c r="A9" s="14" t="s">
        <v>17</v>
      </c>
      <c r="B9" s="11" t="s">
        <v>89</v>
      </c>
      <c r="C9" t="s">
        <v>456</v>
      </c>
      <c r="D9" s="4">
        <v>4</v>
      </c>
      <c r="E9" s="19">
        <v>118.18</v>
      </c>
      <c r="F9" s="19">
        <v>0.89700000000000002</v>
      </c>
      <c r="G9" s="19" t="s">
        <v>147</v>
      </c>
      <c r="H9" s="24" t="s">
        <v>93</v>
      </c>
      <c r="J9" s="25" t="s">
        <v>372</v>
      </c>
      <c r="K9" s="11" t="s">
        <v>360</v>
      </c>
      <c r="M9" s="23">
        <v>56.2</v>
      </c>
      <c r="O9" s="11" t="s">
        <v>129</v>
      </c>
    </row>
    <row r="10" spans="1:15" ht="14.5" x14ac:dyDescent="0.35">
      <c r="A10" s="14" t="s">
        <v>177</v>
      </c>
      <c r="B10" s="11" t="s">
        <v>178</v>
      </c>
      <c r="C10" t="s">
        <v>457</v>
      </c>
      <c r="D10" s="4">
        <v>5</v>
      </c>
      <c r="E10" s="19">
        <v>134.18</v>
      </c>
      <c r="F10" s="19">
        <v>1.002</v>
      </c>
      <c r="G10" s="19" t="s">
        <v>180</v>
      </c>
      <c r="H10" s="24" t="s">
        <v>179</v>
      </c>
      <c r="J10" s="25" t="s">
        <v>373</v>
      </c>
      <c r="K10" s="11" t="s">
        <v>361</v>
      </c>
      <c r="O10" s="11" t="s">
        <v>129</v>
      </c>
    </row>
    <row r="11" spans="1:15" ht="14.5" x14ac:dyDescent="0.35">
      <c r="A11" s="14" t="s">
        <v>433</v>
      </c>
      <c r="B11" s="11" t="s">
        <v>437</v>
      </c>
      <c r="C11" t="s">
        <v>458</v>
      </c>
      <c r="D11" s="4">
        <v>16</v>
      </c>
      <c r="E11" s="19">
        <v>160.26</v>
      </c>
      <c r="F11" s="19">
        <v>0.875</v>
      </c>
      <c r="G11" s="19">
        <v>219</v>
      </c>
      <c r="H11" s="126" t="s">
        <v>434</v>
      </c>
      <c r="J11" s="22" t="s">
        <v>435</v>
      </c>
      <c r="K11" s="11" t="s">
        <v>438</v>
      </c>
      <c r="M11" s="23">
        <v>53.9</v>
      </c>
      <c r="O11" s="11" t="s">
        <v>436</v>
      </c>
    </row>
    <row r="12" spans="1:15" ht="14.5" x14ac:dyDescent="0.35">
      <c r="C12"/>
      <c r="D12" s="4"/>
      <c r="H12" s="126"/>
    </row>
    <row r="13" spans="1:15" ht="14.5" x14ac:dyDescent="0.35">
      <c r="A13" s="34" t="s">
        <v>4</v>
      </c>
      <c r="C13"/>
      <c r="D13" s="4"/>
    </row>
    <row r="14" spans="1:15" ht="14.5" x14ac:dyDescent="0.35">
      <c r="A14" s="14" t="s">
        <v>13</v>
      </c>
      <c r="B14" s="11" t="s">
        <v>56</v>
      </c>
      <c r="C14" t="s">
        <v>459</v>
      </c>
      <c r="D14" s="4">
        <v>6</v>
      </c>
      <c r="E14" s="19">
        <v>100.12</v>
      </c>
      <c r="F14" s="19">
        <v>0.94</v>
      </c>
      <c r="G14" s="19">
        <v>100.5</v>
      </c>
      <c r="H14" s="27" t="s">
        <v>73</v>
      </c>
      <c r="J14" s="25" t="s">
        <v>372</v>
      </c>
      <c r="K14" s="11" t="s">
        <v>362</v>
      </c>
      <c r="O14" s="11" t="s">
        <v>142</v>
      </c>
    </row>
    <row r="15" spans="1:15" ht="14.5" x14ac:dyDescent="0.35">
      <c r="A15" s="14" t="s">
        <v>12</v>
      </c>
      <c r="B15" s="11" t="s">
        <v>57</v>
      </c>
      <c r="C15" t="s">
        <v>460</v>
      </c>
      <c r="D15" s="4">
        <v>7</v>
      </c>
      <c r="E15" s="19">
        <v>142.19999999999999</v>
      </c>
      <c r="F15" s="19">
        <v>0.89400000000000002</v>
      </c>
      <c r="G15" s="19">
        <v>160</v>
      </c>
      <c r="H15" s="27" t="s">
        <v>72</v>
      </c>
      <c r="J15" s="25" t="s">
        <v>372</v>
      </c>
      <c r="K15" s="11" t="s">
        <v>363</v>
      </c>
      <c r="O15" s="11" t="s">
        <v>142</v>
      </c>
    </row>
    <row r="16" spans="1:15" ht="14.5" x14ac:dyDescent="0.35">
      <c r="A16" s="14" t="s">
        <v>11</v>
      </c>
      <c r="B16" s="11" t="s">
        <v>58</v>
      </c>
      <c r="C16" t="s">
        <v>461</v>
      </c>
      <c r="D16" s="4">
        <v>8</v>
      </c>
      <c r="E16" s="19">
        <v>254.41</v>
      </c>
      <c r="F16" s="19">
        <v>0.86799999999999999</v>
      </c>
      <c r="G16" s="19">
        <v>142</v>
      </c>
      <c r="H16" s="27" t="s">
        <v>71</v>
      </c>
      <c r="J16" s="25" t="s">
        <v>372</v>
      </c>
      <c r="K16" s="11" t="s">
        <v>364</v>
      </c>
      <c r="O16" s="11" t="s">
        <v>142</v>
      </c>
    </row>
    <row r="17" spans="1:15" ht="14.5" x14ac:dyDescent="0.35">
      <c r="A17" s="114" t="s">
        <v>145</v>
      </c>
      <c r="B17" s="11" t="s">
        <v>19</v>
      </c>
      <c r="C17" t="s">
        <v>462</v>
      </c>
      <c r="D17" s="36">
        <v>9</v>
      </c>
      <c r="E17" s="19">
        <v>157.21</v>
      </c>
      <c r="F17" s="19">
        <v>0.93300000000000005</v>
      </c>
      <c r="G17" s="19" t="s">
        <v>148</v>
      </c>
      <c r="H17" s="27" t="s">
        <v>41</v>
      </c>
      <c r="J17" s="25" t="s">
        <v>372</v>
      </c>
      <c r="K17" s="11" t="s">
        <v>365</v>
      </c>
      <c r="M17" s="23">
        <v>38.4</v>
      </c>
      <c r="O17" s="11" t="s">
        <v>110</v>
      </c>
    </row>
    <row r="18" spans="1:15" ht="14.5" x14ac:dyDescent="0.35">
      <c r="A18" s="14" t="s">
        <v>10</v>
      </c>
      <c r="B18" s="11" t="s">
        <v>59</v>
      </c>
      <c r="C18" t="s">
        <v>463</v>
      </c>
      <c r="D18" s="4">
        <v>10</v>
      </c>
      <c r="E18" s="19">
        <v>176.21</v>
      </c>
      <c r="F18" s="19">
        <v>1.04</v>
      </c>
      <c r="G18" s="19" t="s">
        <v>149</v>
      </c>
      <c r="H18" s="27" t="s">
        <v>83</v>
      </c>
      <c r="J18" s="25" t="s">
        <v>372</v>
      </c>
      <c r="K18" s="11" t="s">
        <v>366</v>
      </c>
      <c r="O18" s="11" t="s">
        <v>142</v>
      </c>
    </row>
    <row r="19" spans="1:15" ht="14.5" x14ac:dyDescent="0.35">
      <c r="C19"/>
      <c r="D19" s="4"/>
    </row>
    <row r="20" spans="1:15" ht="14.5" x14ac:dyDescent="0.35">
      <c r="A20" s="34" t="s">
        <v>6</v>
      </c>
      <c r="C20"/>
      <c r="D20" s="4"/>
    </row>
    <row r="21" spans="1:15" ht="14.5" x14ac:dyDescent="0.35">
      <c r="A21" s="14" t="s">
        <v>7</v>
      </c>
      <c r="B21" s="11" t="s">
        <v>60</v>
      </c>
      <c r="C21" t="s">
        <v>464</v>
      </c>
      <c r="D21" s="4">
        <v>11</v>
      </c>
      <c r="E21" s="19">
        <v>86.09</v>
      </c>
      <c r="F21" s="19">
        <v>0.95599999999999996</v>
      </c>
      <c r="G21" s="19">
        <v>80.5</v>
      </c>
      <c r="H21" s="24" t="s">
        <v>94</v>
      </c>
      <c r="J21" s="25" t="s">
        <v>372</v>
      </c>
      <c r="K21" s="11" t="s">
        <v>367</v>
      </c>
      <c r="M21" s="23">
        <v>42.3</v>
      </c>
      <c r="O21" s="11" t="s">
        <v>138</v>
      </c>
    </row>
    <row r="22" spans="1:15" ht="14.5" x14ac:dyDescent="0.35">
      <c r="A22" s="14" t="s">
        <v>8</v>
      </c>
      <c r="B22" s="11" t="s">
        <v>61</v>
      </c>
      <c r="C22" t="s">
        <v>465</v>
      </c>
      <c r="D22" s="4">
        <v>12</v>
      </c>
      <c r="E22" s="19">
        <v>128.16999999999999</v>
      </c>
      <c r="F22" s="19">
        <v>0.9</v>
      </c>
      <c r="G22" s="19" t="s">
        <v>150</v>
      </c>
      <c r="H22" s="27" t="s">
        <v>84</v>
      </c>
      <c r="J22" s="25" t="s">
        <v>372</v>
      </c>
      <c r="K22" s="11" t="s">
        <v>368</v>
      </c>
      <c r="M22" s="23">
        <v>23</v>
      </c>
      <c r="O22" s="11" t="s">
        <v>139</v>
      </c>
    </row>
    <row r="23" spans="1:15" ht="14.5" x14ac:dyDescent="0.35">
      <c r="A23" s="14" t="s">
        <v>9</v>
      </c>
      <c r="B23" s="11" t="s">
        <v>62</v>
      </c>
      <c r="C23" t="s">
        <v>466</v>
      </c>
      <c r="D23" s="4">
        <v>13</v>
      </c>
      <c r="E23" s="19">
        <v>240.38</v>
      </c>
      <c r="F23" s="31">
        <v>0.88400000000000001</v>
      </c>
      <c r="G23" s="31" t="s">
        <v>151</v>
      </c>
      <c r="H23" s="24" t="s">
        <v>176</v>
      </c>
      <c r="J23" s="25" t="s">
        <v>372</v>
      </c>
      <c r="K23" s="11" t="s">
        <v>369</v>
      </c>
      <c r="O23" s="11" t="s">
        <v>140</v>
      </c>
    </row>
    <row r="24" spans="1:15" ht="14.5" x14ac:dyDescent="0.35">
      <c r="A24" s="114" t="s">
        <v>53</v>
      </c>
      <c r="B24" s="11" t="s">
        <v>5</v>
      </c>
      <c r="C24" t="s">
        <v>467</v>
      </c>
      <c r="D24" s="4">
        <v>14</v>
      </c>
      <c r="E24" s="19">
        <v>143.19</v>
      </c>
      <c r="F24" s="37">
        <v>0.94299999999999995</v>
      </c>
      <c r="G24" s="31" t="s">
        <v>152</v>
      </c>
      <c r="H24" s="24" t="s">
        <v>87</v>
      </c>
      <c r="J24" s="25" t="s">
        <v>372</v>
      </c>
      <c r="K24" s="11" t="s">
        <v>370</v>
      </c>
      <c r="O24" s="11" t="s">
        <v>140</v>
      </c>
    </row>
    <row r="25" spans="1:15" ht="14.5" x14ac:dyDescent="0.35">
      <c r="A25" s="14" t="s">
        <v>18</v>
      </c>
      <c r="B25" s="11" t="s">
        <v>63</v>
      </c>
      <c r="C25" t="s">
        <v>468</v>
      </c>
      <c r="D25" s="4">
        <v>15</v>
      </c>
      <c r="E25" s="19">
        <v>162.19</v>
      </c>
      <c r="F25" s="19">
        <v>1.06</v>
      </c>
      <c r="G25" s="19">
        <v>94</v>
      </c>
      <c r="H25" s="24" t="s">
        <v>95</v>
      </c>
      <c r="J25" s="25" t="s">
        <v>372</v>
      </c>
      <c r="K25" s="11" t="s">
        <v>371</v>
      </c>
      <c r="M25" s="28">
        <v>139</v>
      </c>
      <c r="O25" s="11" t="s">
        <v>111</v>
      </c>
    </row>
    <row r="26" spans="1:15" ht="14.5" x14ac:dyDescent="0.35">
      <c r="C26"/>
      <c r="D26" s="4"/>
    </row>
    <row r="27" spans="1:15" ht="14.5" x14ac:dyDescent="0.35">
      <c r="C27"/>
    </row>
    <row r="28" spans="1:15" ht="14.5" x14ac:dyDescent="0.35">
      <c r="C28"/>
    </row>
    <row r="29" spans="1:15" ht="14.5" x14ac:dyDescent="0.35">
      <c r="A29" s="35" t="s">
        <v>26</v>
      </c>
      <c r="C29"/>
    </row>
    <row r="30" spans="1:15" ht="14.5" x14ac:dyDescent="0.35">
      <c r="C30"/>
    </row>
    <row r="31" spans="1:15" ht="14.5" x14ac:dyDescent="0.35">
      <c r="A31" s="14" t="s">
        <v>451</v>
      </c>
      <c r="B31" s="11" t="s">
        <v>27</v>
      </c>
      <c r="C31" t="s">
        <v>469</v>
      </c>
      <c r="D31" s="9" t="s">
        <v>43</v>
      </c>
      <c r="E31" s="19">
        <v>221.34</v>
      </c>
      <c r="H31" s="24" t="s">
        <v>96</v>
      </c>
      <c r="J31" s="25" t="s">
        <v>159</v>
      </c>
      <c r="K31" s="11" t="s">
        <v>346</v>
      </c>
      <c r="M31" s="23">
        <v>378</v>
      </c>
      <c r="O31" s="11" t="s">
        <v>112</v>
      </c>
    </row>
    <row r="32" spans="1:15" ht="14.5" x14ac:dyDescent="0.35">
      <c r="A32" s="14" t="s">
        <v>28</v>
      </c>
      <c r="B32" s="11" t="s">
        <v>74</v>
      </c>
      <c r="C32" t="s">
        <v>470</v>
      </c>
      <c r="D32" s="9" t="s">
        <v>44</v>
      </c>
      <c r="E32" s="19">
        <v>279.38</v>
      </c>
      <c r="H32" s="27" t="s">
        <v>82</v>
      </c>
      <c r="J32" s="25" t="s">
        <v>155</v>
      </c>
      <c r="K32" s="11" t="s">
        <v>347</v>
      </c>
      <c r="O32" s="11" t="s">
        <v>142</v>
      </c>
    </row>
    <row r="33" spans="1:15" ht="14.5" x14ac:dyDescent="0.35">
      <c r="A33" s="113" t="s">
        <v>29</v>
      </c>
      <c r="B33" s="11" t="s">
        <v>75</v>
      </c>
      <c r="C33" t="s">
        <v>471</v>
      </c>
      <c r="D33" s="9" t="s">
        <v>45</v>
      </c>
      <c r="E33" s="19">
        <v>272.43</v>
      </c>
      <c r="H33" s="20" t="s">
        <v>97</v>
      </c>
      <c r="J33" s="25" t="s">
        <v>154</v>
      </c>
      <c r="K33" s="11" t="s">
        <v>348</v>
      </c>
      <c r="M33" s="23">
        <v>460</v>
      </c>
      <c r="O33" s="11" t="s">
        <v>113</v>
      </c>
    </row>
    <row r="34" spans="1:15" ht="14.5" x14ac:dyDescent="0.35">
      <c r="A34" s="113" t="s">
        <v>30</v>
      </c>
      <c r="B34" s="11" t="s">
        <v>76</v>
      </c>
      <c r="C34" t="s">
        <v>472</v>
      </c>
      <c r="D34" s="9" t="s">
        <v>46</v>
      </c>
      <c r="E34" s="19">
        <v>345.63</v>
      </c>
      <c r="H34" s="24" t="s">
        <v>98</v>
      </c>
      <c r="J34" s="25" t="s">
        <v>154</v>
      </c>
      <c r="K34" s="11" t="s">
        <v>349</v>
      </c>
      <c r="O34" s="11" t="s">
        <v>142</v>
      </c>
    </row>
    <row r="35" spans="1:15" ht="14.5" x14ac:dyDescent="0.35">
      <c r="A35" s="112" t="s">
        <v>34</v>
      </c>
      <c r="B35" s="11" t="s">
        <v>77</v>
      </c>
      <c r="C35" t="s">
        <v>473</v>
      </c>
      <c r="D35" s="9" t="s">
        <v>47</v>
      </c>
      <c r="E35" s="19">
        <v>364.63</v>
      </c>
      <c r="H35" s="24" t="s">
        <v>99</v>
      </c>
      <c r="J35" s="26" t="s">
        <v>156</v>
      </c>
      <c r="K35" s="11" t="s">
        <v>350</v>
      </c>
      <c r="M35" s="23">
        <v>245</v>
      </c>
      <c r="O35" s="11" t="s">
        <v>114</v>
      </c>
    </row>
    <row r="36" spans="1:15" ht="14.5" x14ac:dyDescent="0.35">
      <c r="A36" s="112" t="s">
        <v>31</v>
      </c>
      <c r="B36" s="11" t="s">
        <v>78</v>
      </c>
      <c r="C36" t="s">
        <v>474</v>
      </c>
      <c r="D36" s="9" t="s">
        <v>48</v>
      </c>
      <c r="E36" s="19">
        <v>317.58</v>
      </c>
      <c r="H36" s="24" t="s">
        <v>100</v>
      </c>
      <c r="J36" s="29" t="s">
        <v>153</v>
      </c>
      <c r="K36" s="11" t="s">
        <v>351</v>
      </c>
      <c r="M36" s="23">
        <v>450</v>
      </c>
      <c r="O36" s="11" t="s">
        <v>116</v>
      </c>
    </row>
    <row r="37" spans="1:15" ht="14.5" x14ac:dyDescent="0.35">
      <c r="A37" s="113" t="s">
        <v>35</v>
      </c>
      <c r="B37" s="11" t="s">
        <v>79</v>
      </c>
      <c r="C37" t="s">
        <v>475</v>
      </c>
      <c r="D37" s="9" t="s">
        <v>49</v>
      </c>
      <c r="E37" s="19">
        <v>233.35</v>
      </c>
      <c r="H37" s="24" t="s">
        <v>101</v>
      </c>
      <c r="J37" s="26" t="s">
        <v>157</v>
      </c>
      <c r="K37" s="11" t="s">
        <v>352</v>
      </c>
      <c r="M37" s="23">
        <v>360</v>
      </c>
      <c r="O37" s="11" t="s">
        <v>115</v>
      </c>
    </row>
    <row r="38" spans="1:15" ht="14.5" x14ac:dyDescent="0.35">
      <c r="A38" s="113" t="s">
        <v>36</v>
      </c>
      <c r="B38" s="11" t="s">
        <v>80</v>
      </c>
      <c r="C38" t="s">
        <v>476</v>
      </c>
      <c r="D38" s="9" t="s">
        <v>50</v>
      </c>
      <c r="E38" s="19">
        <v>251.37</v>
      </c>
      <c r="H38" s="24" t="s">
        <v>103</v>
      </c>
      <c r="J38" s="30" t="s">
        <v>175</v>
      </c>
      <c r="K38" s="11" t="s">
        <v>353</v>
      </c>
      <c r="M38" s="23">
        <v>410</v>
      </c>
      <c r="O38" s="11" t="s">
        <v>117</v>
      </c>
    </row>
    <row r="39" spans="1:15" ht="14.5" x14ac:dyDescent="0.35">
      <c r="A39" s="113" t="s">
        <v>37</v>
      </c>
      <c r="B39" s="11" t="s">
        <v>64</v>
      </c>
      <c r="C39" t="s">
        <v>477</v>
      </c>
      <c r="D39" s="9" t="s">
        <v>51</v>
      </c>
      <c r="E39" s="19">
        <v>290.47000000000003</v>
      </c>
      <c r="H39" s="27" t="s">
        <v>66</v>
      </c>
      <c r="J39" s="25" t="s">
        <v>158</v>
      </c>
      <c r="K39" s="11" t="s">
        <v>354</v>
      </c>
      <c r="O39" s="11" t="s">
        <v>142</v>
      </c>
    </row>
    <row r="40" spans="1:15" ht="14.5" x14ac:dyDescent="0.35">
      <c r="A40" s="113" t="s">
        <v>33</v>
      </c>
      <c r="B40" s="11" t="s">
        <v>81</v>
      </c>
      <c r="C40" t="s">
        <v>478</v>
      </c>
      <c r="D40" s="9" t="s">
        <v>52</v>
      </c>
      <c r="E40" s="19">
        <v>222.33</v>
      </c>
      <c r="H40" s="24" t="s">
        <v>102</v>
      </c>
      <c r="J40" s="25" t="s">
        <v>154</v>
      </c>
      <c r="K40" s="11" t="s">
        <v>355</v>
      </c>
      <c r="M40" s="23">
        <v>245</v>
      </c>
      <c r="O40" s="11" t="s">
        <v>118</v>
      </c>
    </row>
    <row r="43" spans="1:15" x14ac:dyDescent="0.3">
      <c r="A43" s="35" t="s">
        <v>231</v>
      </c>
    </row>
    <row r="45" spans="1:15" x14ac:dyDescent="0.3">
      <c r="A45" s="11" t="s">
        <v>22</v>
      </c>
      <c r="B45" s="11" t="s">
        <v>20</v>
      </c>
      <c r="D45" s="32" t="s">
        <v>20</v>
      </c>
      <c r="K45" s="11" t="s">
        <v>106</v>
      </c>
    </row>
    <row r="46" spans="1:15" x14ac:dyDescent="0.3">
      <c r="A46" s="11" t="s">
        <v>23</v>
      </c>
      <c r="B46" s="11" t="s">
        <v>25</v>
      </c>
      <c r="D46" s="32" t="s">
        <v>25</v>
      </c>
      <c r="K46" s="11" t="s">
        <v>106</v>
      </c>
    </row>
    <row r="47" spans="1:15" x14ac:dyDescent="0.3">
      <c r="A47" s="11" t="s">
        <v>452</v>
      </c>
      <c r="B47" s="11" t="s">
        <v>24</v>
      </c>
      <c r="D47" s="32" t="s">
        <v>24</v>
      </c>
      <c r="K47" s="11" t="s">
        <v>106</v>
      </c>
    </row>
    <row r="50" spans="1:15" x14ac:dyDescent="0.3">
      <c r="A50" s="35" t="s">
        <v>67</v>
      </c>
      <c r="B50" s="11" t="s">
        <v>68</v>
      </c>
      <c r="E50" s="19">
        <v>164.21</v>
      </c>
      <c r="H50" s="20" t="s">
        <v>85</v>
      </c>
      <c r="K50" s="11" t="s">
        <v>107</v>
      </c>
    </row>
    <row r="52" spans="1:15" x14ac:dyDescent="0.3">
      <c r="A52" s="35" t="s">
        <v>170</v>
      </c>
    </row>
    <row r="53" spans="1:15" x14ac:dyDescent="0.3">
      <c r="A53" s="11" t="s">
        <v>171</v>
      </c>
      <c r="O53" s="11" t="s">
        <v>142</v>
      </c>
    </row>
    <row r="54" spans="1:15" x14ac:dyDescent="0.3">
      <c r="A54" s="11" t="s">
        <v>160</v>
      </c>
      <c r="K54" s="11" t="s">
        <v>240</v>
      </c>
      <c r="O54" s="11" t="s">
        <v>142</v>
      </c>
    </row>
    <row r="55" spans="1:15" x14ac:dyDescent="0.3">
      <c r="A55" s="11" t="s">
        <v>161</v>
      </c>
      <c r="O55" s="11" t="s">
        <v>172</v>
      </c>
    </row>
    <row r="57" spans="1:15" ht="14.5" x14ac:dyDescent="0.35">
      <c r="A57" s="3" t="s">
        <v>232</v>
      </c>
      <c r="C57" s="1" t="s">
        <v>55</v>
      </c>
    </row>
    <row r="58" spans="1:15" x14ac:dyDescent="0.3">
      <c r="A58" s="2" t="s">
        <v>233</v>
      </c>
    </row>
    <row r="59" spans="1:15" x14ac:dyDescent="0.3">
      <c r="A59" s="2" t="s">
        <v>32</v>
      </c>
    </row>
    <row r="60" spans="1:15" x14ac:dyDescent="0.3">
      <c r="A60" s="2" t="s">
        <v>38</v>
      </c>
    </row>
    <row r="61" spans="1:15" x14ac:dyDescent="0.3">
      <c r="A61" s="2" t="s">
        <v>40</v>
      </c>
    </row>
    <row r="62" spans="1:15" x14ac:dyDescent="0.3">
      <c r="A62" s="2" t="s">
        <v>234</v>
      </c>
    </row>
    <row r="63" spans="1:15" x14ac:dyDescent="0.3">
      <c r="A63" s="2" t="s">
        <v>39</v>
      </c>
    </row>
    <row r="64" spans="1:15" x14ac:dyDescent="0.3">
      <c r="A64" s="2" t="s">
        <v>235</v>
      </c>
    </row>
    <row r="65" spans="1:15" x14ac:dyDescent="0.3">
      <c r="A65" s="2" t="s">
        <v>236</v>
      </c>
    </row>
    <row r="66" spans="1:15" x14ac:dyDescent="0.3">
      <c r="A66" s="2" t="s">
        <v>237</v>
      </c>
    </row>
    <row r="69" spans="1:15" x14ac:dyDescent="0.3">
      <c r="A69" s="33" t="s">
        <v>238</v>
      </c>
    </row>
    <row r="71" spans="1:15" x14ac:dyDescent="0.3">
      <c r="A71" s="11" t="s">
        <v>132</v>
      </c>
      <c r="C71" s="11">
        <v>17000</v>
      </c>
    </row>
    <row r="72" spans="1:15" ht="84" x14ac:dyDescent="0.3">
      <c r="A72" s="13" t="s">
        <v>131</v>
      </c>
      <c r="C72" s="11">
        <v>20000</v>
      </c>
      <c r="D72" s="12" t="s">
        <v>134</v>
      </c>
    </row>
    <row r="73" spans="1:15" x14ac:dyDescent="0.3">
      <c r="A73" s="13" t="s">
        <v>133</v>
      </c>
    </row>
    <row r="74" spans="1:15" x14ac:dyDescent="0.3">
      <c r="A74" s="11" t="s">
        <v>135</v>
      </c>
      <c r="C74" s="11">
        <v>4</v>
      </c>
    </row>
    <row r="75" spans="1:15" x14ac:dyDescent="0.3">
      <c r="A75" s="11" t="s">
        <v>136</v>
      </c>
      <c r="C75" s="11">
        <v>2</v>
      </c>
    </row>
    <row r="76" spans="1:15" x14ac:dyDescent="0.3">
      <c r="A76" s="11" t="s">
        <v>120</v>
      </c>
      <c r="B76" s="11" t="s">
        <v>121</v>
      </c>
      <c r="C76" s="11">
        <v>10</v>
      </c>
    </row>
    <row r="77" spans="1:15" x14ac:dyDescent="0.3">
      <c r="B77" s="11" t="s">
        <v>125</v>
      </c>
      <c r="C77" s="11">
        <v>10</v>
      </c>
    </row>
    <row r="78" spans="1:15" x14ac:dyDescent="0.3">
      <c r="B78" s="11" t="s">
        <v>124</v>
      </c>
      <c r="C78" s="11">
        <v>10</v>
      </c>
      <c r="O78" s="11" t="s">
        <v>122</v>
      </c>
    </row>
    <row r="79" spans="1:15" x14ac:dyDescent="0.3">
      <c r="B79" s="11" t="s">
        <v>123</v>
      </c>
      <c r="C79" s="11">
        <v>10</v>
      </c>
    </row>
    <row r="80" spans="1:15" x14ac:dyDescent="0.3">
      <c r="A80" s="11" t="s">
        <v>173</v>
      </c>
      <c r="J80" s="22" t="s">
        <v>130</v>
      </c>
    </row>
    <row r="81" spans="1:15" x14ac:dyDescent="0.3">
      <c r="A81" s="11" t="s">
        <v>119</v>
      </c>
      <c r="O81" s="11" t="s">
        <v>143</v>
      </c>
    </row>
    <row r="82" spans="1:15" x14ac:dyDescent="0.3">
      <c r="J82" s="30" t="s">
        <v>137</v>
      </c>
      <c r="O82" s="11" t="s">
        <v>143</v>
      </c>
    </row>
    <row r="83" spans="1:15" x14ac:dyDescent="0.3">
      <c r="O83" s="22" t="s">
        <v>128</v>
      </c>
    </row>
    <row r="84" spans="1:15" x14ac:dyDescent="0.3">
      <c r="A84" s="11" t="s">
        <v>126</v>
      </c>
      <c r="C84" s="11" t="s">
        <v>127</v>
      </c>
      <c r="J84" s="22" t="s">
        <v>239</v>
      </c>
    </row>
    <row r="85" spans="1:15" x14ac:dyDescent="0.3">
      <c r="A85" s="11" t="s">
        <v>20</v>
      </c>
      <c r="C85" s="11" t="s">
        <v>127</v>
      </c>
      <c r="J85" s="22" t="s">
        <v>144</v>
      </c>
    </row>
    <row r="86" spans="1:15" x14ac:dyDescent="0.3">
      <c r="A86" s="11" t="s">
        <v>24</v>
      </c>
      <c r="C86" s="11" t="s">
        <v>127</v>
      </c>
      <c r="J86" s="22" t="s">
        <v>129</v>
      </c>
    </row>
  </sheetData>
  <hyperlinks>
    <hyperlink ref="H17" r:id="rId1" display="https://www.sigmaaldrich.com/catalog/search?term=2867-47-2&amp;interface=CAS%20No.&amp;N=0&amp;mode=partialmax&amp;lang=de&amp;region=DE&amp;focus=product" xr:uid="{E9DCF8FB-3764-4AC0-AA3E-ACFF75B1CFC8}"/>
    <hyperlink ref="H39" r:id="rId2" display="https://www.sigmaaldrich.com/catalog/search?term=26504-29-0&amp;interface=CAS%20No.&amp;N=0&amp;mode=partialmax&amp;lang=de&amp;region=DE&amp;focus=product" xr:uid="{00E80CC6-B215-467B-8DE2-5F3C3444A1C0}"/>
    <hyperlink ref="H16" r:id="rId3" display="https://www.sigmaaldrich.com/catalog/search?term=142-90-5&amp;interface=CAS%20No.&amp;N=0&amp;mode=partialmax&amp;lang=de&amp;region=DE&amp;focus=product" xr:uid="{40F59FD0-3149-457A-B7FC-72A65AB0D0E8}"/>
    <hyperlink ref="H15" r:id="rId4" display="https://www.merckmillipore.com/DE/de/search/-?search=&amp;SingleResultDisplay=SFProductSearch&amp;TrackingSearchType=pdp_related_product&amp;SearchTerm=*&amp;SearchParameter=%26%40QueryTerm%3D*%26feature_cas_no_value%3D97-88-1" xr:uid="{4C553CE5-16EA-4EEA-808A-5EF445D6A624}"/>
    <hyperlink ref="H14" r:id="rId5" display="https://www.merckmillipore.com/DE/de/search/-?search=&amp;SingleResultDisplay=SFProductSearch&amp;TrackingSearchType=pdp_related_product&amp;SearchTerm=*&amp;SearchParameter=%26%40QueryTerm%3D*%26feature_cas_no_value%3D80-62-6" xr:uid="{80A4E9F3-9472-400C-9FB0-C60DD563BC0B}"/>
    <hyperlink ref="H32" r:id="rId6" display="https://www.sigmaaldrich.com/catalog/search?term=201611-92-9&amp;interface=CAS%20No.&amp;N=0&amp;mode=partialmax&amp;lang=de&amp;region=DE&amp;focus=product" xr:uid="{8B1233EB-AF7A-4B64-867B-5CDE4AAE0200}"/>
    <hyperlink ref="H18" r:id="rId7" display="https://www.sigmaaldrich.com/catalog/search?term=2495-37-6&amp;interface=CAS%20No.&amp;N=0&amp;mode=partialmax&amp;lang=de&amp;region=DE&amp;focus=product" xr:uid="{9A39C402-2FB9-44B3-8797-33444282B021}"/>
    <hyperlink ref="H22" r:id="rId8" display="https://www.merckmillipore.com/DE/de/search/-?search=&amp;SingleResultDisplay=SFProductSearch&amp;TrackingSearchType=pdp_related_product&amp;SearchTerm=*&amp;SearchParameter=%26%40QueryTerm%3D*%26feature_cas_no_value%3D141-32-2" xr:uid="{C44564B1-93D0-4A33-B7D2-02EB77F79561}"/>
    <hyperlink ref="H7" r:id="rId9" display="https://www.sigmaaldrich.com/catalog/search?term=1073-67-2&amp;interface=CAS%20No.&amp;N=0&amp;mode=partialmax&amp;lang=de&amp;region=DE&amp;focus=product" xr:uid="{B13FF21F-0C78-49C5-8917-DE92F83E9A84}"/>
    <hyperlink ref="H8" r:id="rId10" display="https://www.sigmaaldrich.com/catalog/search?term=2039-82-9&amp;interface=CAS%20No.&amp;N=0&amp;mode=partialmax&amp;lang=de&amp;region=DE&amp;focus=product" xr:uid="{471F69BA-32EA-4458-BF46-9C50BAEBEB7C}"/>
    <hyperlink ref="H9" r:id="rId11" display="https://www.sigmaaldrich.com/catalog/search?term=622-97-9&amp;interface=CAS%20No.&amp;N=0&amp;mode=partialmax&amp;lang=de&amp;region=DE&amp;focus=product" xr:uid="{32E7FCBF-C8E1-4616-8E7D-91CCE1C8AADB}"/>
    <hyperlink ref="H21" r:id="rId12" display="https://www.sigmaaldrich.com/catalog/search?term=96-33-3&amp;interface=CAS%20No.&amp;N=0&amp;mode=partialmax&amp;lang=de&amp;region=DE&amp;focus=product" xr:uid="{AFC1D03A-3150-4E05-A378-F486BA7546E0}"/>
    <hyperlink ref="H24" r:id="rId13" display="https://www.sigmaaldrich.com/catalog/search?term=2439-35-2&amp;interface=CAS%20No.&amp;N=0&amp;mode=partialmax&amp;lang=de&amp;region=DE&amp;focus=product" xr:uid="{EA3AD422-94AB-4732-AE74-C909683E40B7}"/>
    <hyperlink ref="H25" r:id="rId14" display="https://www.sigmaaldrich.com/catalog/search?term=2495-35-4&amp;interface=CAS%20No.&amp;N=0&amp;mode=partialmax&amp;lang=de&amp;region=DE&amp;focus=product" xr:uid="{9A930946-C03F-404B-8C0D-FE6D24832D6B}"/>
    <hyperlink ref="H35" r:id="rId15" display="https://www.sigmaaldrich.com/catalog/search?term=461642-78-4&amp;interface=CAS%20No.&amp;N=0&amp;mode=partialmax&amp;lang=de&amp;region=DE&amp;focus=product" xr:uid="{40A03FCE-7BA2-4A25-9863-810B1801D7FF}"/>
    <hyperlink ref="H36" r:id="rId16" display="https://www.sigmaaldrich.com/catalog/search?term=796045-97-1&amp;interface=CAS%20No.&amp;N=0&amp;mode=partialmax&amp;lang=de&amp;region=DE&amp;focus=product" xr:uid="{A7984090-18D0-4679-9AF8-7D53435E985D}"/>
    <hyperlink ref="H37" r:id="rId17" display="https://www.sigmaaldrich.com/catalog/search?term=60795-38-2&amp;interface=CAS%20No.&amp;N=0&amp;mode=partialmax&amp;lang=de&amp;region=DE&amp;focus=product" xr:uid="{9A8E1AEA-8326-4574-A20E-A958160B9152}"/>
    <hyperlink ref="H40" r:id="rId18" display="https://www.sigmaaldrich.com/catalog/search?term=76926-16-4&amp;interface=CAS%20No.&amp;N=0&amp;mode=partialmax&amp;lang=de&amp;region=DE&amp;focus=product" xr:uid="{DCA55275-44A2-49DB-9120-C474FFBFB335}"/>
    <hyperlink ref="H38" r:id="rId19" display="https://www.sigmaaldrich.com/catalog/search?term=1158958-96-3&amp;interface=CAS%20No.&amp;N=0&amp;mode=partialmax&amp;lang=de&amp;region=DE&amp;focus=product" xr:uid="{AA220281-82DA-42AE-9A98-0163A8C0A03B}"/>
    <hyperlink ref="H34" r:id="rId20" display="https://www.sigmaaldrich.com/catalog/search?term=870196-83-1&amp;interface=CAS%20No.&amp;N=0&amp;mode=partialmax&amp;lang=de&amp;region=DE&amp;focus=product" xr:uid="{6918253B-380E-4F6A-8F8D-FDBCDCFA2847}"/>
    <hyperlink ref="H31" r:id="rId21" display="https://www.sigmaaldrich.com/catalog/search?term=201611-85-0&amp;interface=CAS%20No.&amp;N=0&amp;mode=partialmax&amp;lang=de&amp;region=DE&amp;focus=product" xr:uid="{203F21E3-F910-4BCF-A12D-CC7CF84A3AAF}"/>
    <hyperlink ref="H23" r:id="rId22" display="https://www.sigmaaldrich.com/DE/en/search/2156-97-0?focus=products&amp;page=1&amp;perPage=30&amp;sort=relevance&amp;term=2156-97-0&amp;type=cas_number" xr:uid="{7A278CF6-C5AC-4F1A-9AFC-858D8C61AAE2}"/>
    <hyperlink ref="H10" r:id="rId23" display="https://www.merckmillipore.com/DE/de/search/-?search=&amp;SingleResultDisplay=SFProductSearch&amp;TrackingSearchType=pdp_related_product&amp;SearchTerm=*&amp;SearchParameter=%26%40QueryTerm%3D*%26feature_cas_no_value%3D637-69-4" xr:uid="{0B3251FA-803B-458D-A7C7-4FC1B6E2CC62}"/>
    <hyperlink ref="H11" r:id="rId24" display="https://www.sigmaaldrich.com/DE/de/search/1746-23-2?focus=products&amp;page=1&amp;perpage=30&amp;sort=relevance&amp;term=1746-23-2&amp;type=cas_number" xr:uid="{00C3ADE4-A342-4903-B7ED-7CFCE81779EC}"/>
    <hyperlink ref="H6" r:id="rId25" display="https://www.merckmillipore.com/DE/de/search/-?search=&amp;SingleResultDisplay=SFProductSearch&amp;TrackingSearchType=pdp_related_product&amp;SearchTerm=*&amp;SearchParameter=%26%40QueryTerm%3D*%26feature_cas_no_value%3D100-42-5" xr:uid="{1FAA2BAF-328A-44E2-9D58-806FBF07BC1F}"/>
  </hyperlinks>
  <pageMargins left="0.70866141732283472" right="0.70866141732283472" top="0.78740157480314965" bottom="0.78740157480314965" header="0.31496062992125984" footer="0.31496062992125984"/>
  <pageSetup paperSize="9" scale="23" orientation="landscape" r:id="rId26"/>
  <legacyDrawing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0C760-D677-4567-964E-4897B52A2B4A}">
  <dimension ref="A1:K34"/>
  <sheetViews>
    <sheetView workbookViewId="0">
      <selection activeCell="N14" sqref="N14"/>
    </sheetView>
  </sheetViews>
  <sheetFormatPr baseColWidth="10" defaultRowHeight="14.5" x14ac:dyDescent="0.35"/>
  <cols>
    <col min="1" max="1" width="16.7265625" bestFit="1" customWidth="1"/>
    <col min="2" max="2" width="24.1796875" customWidth="1"/>
    <col min="9" max="9" width="12.54296875" bestFit="1" customWidth="1"/>
  </cols>
  <sheetData>
    <row r="1" spans="1:11" x14ac:dyDescent="0.35">
      <c r="A1" s="76"/>
      <c r="B1" s="65"/>
      <c r="C1" s="65"/>
      <c r="D1" s="65"/>
      <c r="E1" s="65"/>
      <c r="F1" s="65"/>
      <c r="G1" s="65"/>
      <c r="H1" s="65"/>
      <c r="I1" s="65"/>
      <c r="J1" s="65"/>
      <c r="K1" s="64"/>
    </row>
    <row r="2" spans="1:11" x14ac:dyDescent="0.35">
      <c r="A2" s="75" t="s">
        <v>213</v>
      </c>
      <c r="B2" s="58" t="s">
        <v>212</v>
      </c>
      <c r="C2" s="58">
        <f>(C4*C3)/1000</f>
        <v>1.6025999999999998</v>
      </c>
      <c r="D2" t="s">
        <v>211</v>
      </c>
      <c r="E2" s="58" t="s">
        <v>198</v>
      </c>
      <c r="F2" s="46">
        <f>C2/C5</f>
        <v>1.8315428571428569</v>
      </c>
      <c r="G2" s="46" t="s">
        <v>190</v>
      </c>
      <c r="H2">
        <f>F2*36</f>
        <v>65.935542857142849</v>
      </c>
      <c r="K2" s="57"/>
    </row>
    <row r="3" spans="1:11" x14ac:dyDescent="0.35">
      <c r="A3" s="60"/>
      <c r="B3" t="s">
        <v>197</v>
      </c>
      <c r="C3" s="77">
        <v>160.26</v>
      </c>
      <c r="D3" t="s">
        <v>196</v>
      </c>
      <c r="H3" s="74"/>
      <c r="K3" s="57"/>
    </row>
    <row r="4" spans="1:11" x14ac:dyDescent="0.35">
      <c r="A4" s="60"/>
      <c r="B4" s="70" t="s">
        <v>210</v>
      </c>
      <c r="C4" s="70">
        <v>10</v>
      </c>
      <c r="D4" s="70" t="s">
        <v>199</v>
      </c>
      <c r="H4" s="74"/>
      <c r="K4" s="57"/>
    </row>
    <row r="5" spans="1:11" x14ac:dyDescent="0.35">
      <c r="A5" s="60"/>
      <c r="B5" s="58" t="s">
        <v>209</v>
      </c>
      <c r="C5" s="77">
        <v>0.875</v>
      </c>
      <c r="D5" s="58" t="s">
        <v>208</v>
      </c>
      <c r="K5" s="57"/>
    </row>
    <row r="6" spans="1:11" x14ac:dyDescent="0.35">
      <c r="A6" s="56"/>
      <c r="B6" s="52"/>
      <c r="C6" s="52"/>
      <c r="D6" s="52"/>
      <c r="E6" s="52"/>
      <c r="F6" s="52"/>
      <c r="G6" s="52"/>
      <c r="H6" s="52"/>
      <c r="I6" s="52"/>
      <c r="J6" s="52"/>
      <c r="K6" s="51"/>
    </row>
    <row r="7" spans="1:11" x14ac:dyDescent="0.35">
      <c r="A7" s="76"/>
      <c r="B7" s="65"/>
      <c r="C7" s="65"/>
      <c r="D7" s="65"/>
      <c r="E7" s="65"/>
      <c r="F7" s="65"/>
      <c r="G7" s="65"/>
      <c r="H7" s="65"/>
      <c r="I7" s="65"/>
      <c r="J7" s="65"/>
      <c r="K7" s="64"/>
    </row>
    <row r="8" spans="1:11" x14ac:dyDescent="0.35">
      <c r="A8" s="75" t="s">
        <v>207</v>
      </c>
      <c r="B8" s="58" t="s">
        <v>206</v>
      </c>
      <c r="C8" s="71">
        <v>150</v>
      </c>
      <c r="E8" t="s">
        <v>203</v>
      </c>
      <c r="F8" t="s">
        <v>195</v>
      </c>
      <c r="G8" s="74">
        <f>(J8*G9)*C10</f>
        <v>97.307450000000017</v>
      </c>
      <c r="H8" t="s">
        <v>164</v>
      </c>
      <c r="I8" s="58" t="s">
        <v>205</v>
      </c>
      <c r="J8" s="73">
        <v>3.3500000000000002E-2</v>
      </c>
      <c r="K8" s="72" t="s">
        <v>201</v>
      </c>
    </row>
    <row r="9" spans="1:11" x14ac:dyDescent="0.35">
      <c r="A9" s="60"/>
      <c r="B9" s="58" t="s">
        <v>200</v>
      </c>
      <c r="C9">
        <f>(C4)/C8</f>
        <v>6.6666666666666666E-2</v>
      </c>
      <c r="D9" t="s">
        <v>199</v>
      </c>
      <c r="F9" t="s">
        <v>198</v>
      </c>
      <c r="G9" s="71">
        <v>10</v>
      </c>
      <c r="H9" t="s">
        <v>188</v>
      </c>
      <c r="K9" s="57"/>
    </row>
    <row r="10" spans="1:11" x14ac:dyDescent="0.35">
      <c r="A10" s="60"/>
      <c r="B10" t="s">
        <v>197</v>
      </c>
      <c r="C10" s="48">
        <v>290.47000000000003</v>
      </c>
      <c r="D10" t="s">
        <v>196</v>
      </c>
      <c r="F10" t="s">
        <v>191</v>
      </c>
      <c r="G10">
        <f>G9/G8*C11</f>
        <v>1.9900497512437809</v>
      </c>
      <c r="H10" t="s">
        <v>188</v>
      </c>
      <c r="K10" s="57"/>
    </row>
    <row r="11" spans="1:11" x14ac:dyDescent="0.35">
      <c r="A11" s="60"/>
      <c r="B11" t="s">
        <v>195</v>
      </c>
      <c r="C11">
        <f>C10*C9</f>
        <v>19.364666666666668</v>
      </c>
      <c r="D11" t="s">
        <v>164</v>
      </c>
      <c r="K11" s="57"/>
    </row>
    <row r="12" spans="1:11" x14ac:dyDescent="0.35">
      <c r="A12" s="56"/>
      <c r="B12" s="52"/>
      <c r="C12" s="52"/>
      <c r="D12" s="52"/>
      <c r="E12" s="52"/>
      <c r="F12" s="52"/>
      <c r="G12" s="52"/>
      <c r="H12" s="52"/>
      <c r="I12" s="52"/>
      <c r="J12" s="52"/>
      <c r="K12" s="51"/>
    </row>
    <row r="14" spans="1:11" x14ac:dyDescent="0.35">
      <c r="A14" s="76"/>
      <c r="B14" s="65"/>
      <c r="C14" s="65"/>
      <c r="D14" s="65"/>
      <c r="E14" s="65"/>
      <c r="F14" s="65"/>
      <c r="G14" s="65"/>
      <c r="H14" s="65"/>
      <c r="I14" s="65"/>
      <c r="J14" s="65"/>
      <c r="K14" s="64"/>
    </row>
    <row r="15" spans="1:11" x14ac:dyDescent="0.35">
      <c r="A15" s="75" t="s">
        <v>68</v>
      </c>
      <c r="B15" s="58" t="s">
        <v>204</v>
      </c>
      <c r="C15" s="58">
        <v>4</v>
      </c>
      <c r="E15" t="s">
        <v>203</v>
      </c>
      <c r="F15" t="s">
        <v>195</v>
      </c>
      <c r="G15" s="74">
        <f>(G16/G17)*C18</f>
        <v>13.752587500000001</v>
      </c>
      <c r="H15" t="s">
        <v>164</v>
      </c>
      <c r="I15" s="58" t="s">
        <v>202</v>
      </c>
      <c r="J15" s="73">
        <f>J8/4</f>
        <v>8.3750000000000005E-3</v>
      </c>
      <c r="K15" s="72" t="s">
        <v>201</v>
      </c>
    </row>
    <row r="16" spans="1:11" x14ac:dyDescent="0.35">
      <c r="A16" s="60"/>
      <c r="B16" s="58" t="s">
        <v>200</v>
      </c>
      <c r="C16">
        <f>C9/C15</f>
        <v>1.6666666666666666E-2</v>
      </c>
      <c r="D16" t="s">
        <v>199</v>
      </c>
      <c r="F16" t="s">
        <v>198</v>
      </c>
      <c r="G16" s="71">
        <v>10</v>
      </c>
      <c r="H16" t="s">
        <v>188</v>
      </c>
      <c r="K16" s="57"/>
    </row>
    <row r="17" spans="1:11" x14ac:dyDescent="0.35">
      <c r="A17" s="60"/>
      <c r="B17" s="70" t="s">
        <v>197</v>
      </c>
      <c r="C17" s="49">
        <v>164.21</v>
      </c>
      <c r="D17" t="s">
        <v>196</v>
      </c>
      <c r="F17" t="s">
        <v>191</v>
      </c>
      <c r="G17">
        <f>G10</f>
        <v>1.9900497512437809</v>
      </c>
      <c r="H17" t="s">
        <v>188</v>
      </c>
      <c r="K17" s="57"/>
    </row>
    <row r="18" spans="1:11" x14ac:dyDescent="0.35">
      <c r="A18" s="60"/>
      <c r="B18" t="s">
        <v>195</v>
      </c>
      <c r="C18">
        <f>C16*C17</f>
        <v>2.7368333333333332</v>
      </c>
      <c r="D18" t="s">
        <v>164</v>
      </c>
      <c r="K18" s="57"/>
    </row>
    <row r="19" spans="1:11" x14ac:dyDescent="0.35">
      <c r="A19" s="56"/>
      <c r="B19" s="52"/>
      <c r="C19" s="52"/>
      <c r="D19" s="52"/>
      <c r="E19" s="52"/>
      <c r="F19" s="52"/>
      <c r="G19" s="52"/>
      <c r="H19" s="52"/>
      <c r="I19" s="52"/>
      <c r="J19" s="52"/>
      <c r="K19" s="51"/>
    </row>
    <row r="21" spans="1:11" x14ac:dyDescent="0.35">
      <c r="A21" s="69" t="s">
        <v>221</v>
      </c>
      <c r="B21" s="68" t="s">
        <v>194</v>
      </c>
      <c r="C21" s="67">
        <v>1</v>
      </c>
      <c r="D21" s="66" t="s">
        <v>193</v>
      </c>
      <c r="E21" s="65"/>
      <c r="F21" s="65"/>
      <c r="G21" s="65"/>
      <c r="H21" s="65"/>
      <c r="I21" s="65"/>
      <c r="J21" s="65"/>
      <c r="K21" s="64"/>
    </row>
    <row r="22" spans="1:11" x14ac:dyDescent="0.35">
      <c r="A22" s="60"/>
      <c r="B22" s="58" t="s">
        <v>397</v>
      </c>
      <c r="C22" s="59">
        <f>SUM(C23,F2,C26,C24)</f>
        <v>9.9999502487562193</v>
      </c>
      <c r="D22" s="63" t="s">
        <v>192</v>
      </c>
      <c r="F22" t="s">
        <v>400</v>
      </c>
      <c r="K22" s="57"/>
    </row>
    <row r="23" spans="1:11" x14ac:dyDescent="0.35">
      <c r="B23" s="50" t="s">
        <v>191</v>
      </c>
      <c r="C23" s="62">
        <f>ROUND(G17,3)</f>
        <v>1.99</v>
      </c>
      <c r="D23" s="62" t="s">
        <v>190</v>
      </c>
    </row>
    <row r="24" spans="1:11" x14ac:dyDescent="0.35">
      <c r="A24" s="60"/>
      <c r="B24" t="s">
        <v>399</v>
      </c>
      <c r="C24" s="61">
        <f xml:space="preserve"> 10-F2-C26-G10</f>
        <v>5.7784073916133618</v>
      </c>
      <c r="D24" s="46" t="s">
        <v>188</v>
      </c>
      <c r="F24" t="s">
        <v>401</v>
      </c>
      <c r="K24" s="57"/>
    </row>
    <row r="25" spans="1:11" x14ac:dyDescent="0.35">
      <c r="A25" s="60"/>
      <c r="B25" s="58" t="s">
        <v>398</v>
      </c>
      <c r="C25" s="59">
        <f>SUM(G17,C24)</f>
        <v>7.7684571428571427</v>
      </c>
      <c r="D25" s="58" t="s">
        <v>190</v>
      </c>
      <c r="K25" s="57"/>
    </row>
    <row r="26" spans="1:11" x14ac:dyDescent="0.35">
      <c r="A26" s="56"/>
      <c r="B26" s="55" t="s">
        <v>189</v>
      </c>
      <c r="C26" s="54">
        <v>0.4</v>
      </c>
      <c r="D26" s="53" t="s">
        <v>188</v>
      </c>
      <c r="E26" s="52"/>
      <c r="F26" s="52"/>
      <c r="G26" s="52"/>
      <c r="H26" s="52"/>
      <c r="I26" s="52"/>
      <c r="J26" s="52"/>
      <c r="K26" s="51"/>
    </row>
    <row r="30" spans="1:11" x14ac:dyDescent="0.35">
      <c r="B30" s="50" t="s">
        <v>402</v>
      </c>
    </row>
    <row r="31" spans="1:11" x14ac:dyDescent="0.35">
      <c r="B31" s="49" t="s">
        <v>403</v>
      </c>
    </row>
    <row r="32" spans="1:11" x14ac:dyDescent="0.35">
      <c r="B32" s="48" t="s">
        <v>404</v>
      </c>
    </row>
    <row r="33" spans="2:3" x14ac:dyDescent="0.35">
      <c r="B33" s="47" t="s">
        <v>405</v>
      </c>
    </row>
    <row r="34" spans="2:3" x14ac:dyDescent="0.35">
      <c r="B34" s="46" t="s">
        <v>406</v>
      </c>
      <c r="C34" s="46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661F6-89B9-4996-AEF1-2523F0C85B2C}">
  <dimension ref="A1:P41"/>
  <sheetViews>
    <sheetView topLeftCell="B1" workbookViewId="0">
      <selection activeCell="L16" sqref="L16:O20"/>
    </sheetView>
  </sheetViews>
  <sheetFormatPr baseColWidth="10" defaultColWidth="10.81640625" defaultRowHeight="14" x14ac:dyDescent="0.3"/>
  <cols>
    <col min="1" max="1" width="57.54296875" style="11" bestFit="1" customWidth="1"/>
    <col min="2" max="2" width="13.81640625" style="11" bestFit="1" customWidth="1"/>
    <col min="3" max="3" width="10.453125" style="11" bestFit="1" customWidth="1"/>
    <col min="4" max="4" width="13.453125" style="11" bestFit="1" customWidth="1"/>
    <col min="5" max="5" width="23.453125" style="11" bestFit="1" customWidth="1"/>
    <col min="6" max="6" width="21.54296875" style="11" customWidth="1"/>
    <col min="7" max="7" width="16.453125" style="11" customWidth="1"/>
    <col min="8" max="8" width="18.7265625" style="11" bestFit="1" customWidth="1"/>
    <col min="9" max="9" width="28.7265625" style="11" bestFit="1" customWidth="1"/>
    <col min="10" max="10" width="27" style="11" customWidth="1"/>
    <col min="11" max="11" width="16.81640625" style="11" customWidth="1"/>
    <col min="12" max="12" width="13.453125" style="11" bestFit="1" customWidth="1"/>
    <col min="13" max="16384" width="10.81640625" style="11"/>
  </cols>
  <sheetData>
    <row r="1" spans="1:16" x14ac:dyDescent="0.3">
      <c r="A1" s="33" t="s">
        <v>440</v>
      </c>
    </row>
    <row r="2" spans="1:16" ht="28" x14ac:dyDescent="0.3">
      <c r="A2" s="11" t="s">
        <v>187</v>
      </c>
      <c r="B2" s="11" t="s">
        <v>214</v>
      </c>
      <c r="C2" s="11" t="s">
        <v>215</v>
      </c>
      <c r="D2" s="39" t="s">
        <v>216</v>
      </c>
      <c r="E2" s="44" t="s">
        <v>230</v>
      </c>
      <c r="F2" s="12" t="s">
        <v>217</v>
      </c>
      <c r="G2" s="79" t="s">
        <v>229</v>
      </c>
      <c r="H2" s="11" t="s">
        <v>218</v>
      </c>
      <c r="I2" s="11" t="s">
        <v>219</v>
      </c>
      <c r="J2" s="12" t="s">
        <v>217</v>
      </c>
      <c r="K2" s="79" t="s">
        <v>229</v>
      </c>
      <c r="L2" s="11" t="s">
        <v>220</v>
      </c>
      <c r="N2" s="11" t="s">
        <v>186</v>
      </c>
      <c r="O2" s="11" t="s">
        <v>185</v>
      </c>
      <c r="P2" s="12"/>
    </row>
    <row r="3" spans="1:16" ht="14.5" thickBot="1" x14ac:dyDescent="0.35">
      <c r="A3" s="41"/>
      <c r="B3" s="41"/>
      <c r="C3" s="41"/>
      <c r="D3" s="42" t="s">
        <v>65</v>
      </c>
      <c r="E3" s="43" t="s">
        <v>184</v>
      </c>
      <c r="F3" s="41" t="s">
        <v>183</v>
      </c>
      <c r="G3" s="42" t="s">
        <v>70</v>
      </c>
      <c r="H3" s="41" t="s">
        <v>65</v>
      </c>
      <c r="I3" s="41" t="s">
        <v>184</v>
      </c>
      <c r="J3" s="41" t="s">
        <v>183</v>
      </c>
      <c r="K3" s="42" t="s">
        <v>184</v>
      </c>
      <c r="L3" s="41" t="s">
        <v>182</v>
      </c>
      <c r="M3" s="41"/>
      <c r="N3" s="41" t="s">
        <v>181</v>
      </c>
      <c r="O3" s="41" t="s">
        <v>181</v>
      </c>
    </row>
    <row r="4" spans="1:16" ht="14.5" thickTop="1" x14ac:dyDescent="0.3">
      <c r="A4" s="11" t="s">
        <v>222</v>
      </c>
      <c r="B4" s="11" t="s">
        <v>27</v>
      </c>
      <c r="C4" s="9" t="s">
        <v>43</v>
      </c>
      <c r="D4" s="40">
        <v>221.34</v>
      </c>
      <c r="E4" s="86">
        <f>F4*D4</f>
        <v>326.25516000000005</v>
      </c>
      <c r="F4" s="78">
        <f>N4*L4</f>
        <v>1.4740000000000002</v>
      </c>
      <c r="G4" s="127">
        <f>(E4*3)/1000</f>
        <v>0.97876548000000019</v>
      </c>
      <c r="H4" s="11">
        <v>164.21</v>
      </c>
      <c r="I4" s="84">
        <f>J4*H4</f>
        <v>60.511385000000011</v>
      </c>
      <c r="J4" s="11">
        <f>L4*O4</f>
        <v>0.36850000000000005</v>
      </c>
      <c r="K4" s="82">
        <f>I4*3</f>
        <v>181.53415500000003</v>
      </c>
      <c r="L4" s="38">
        <v>44</v>
      </c>
      <c r="N4" s="11">
        <f>'calculation of necessary chemic'!J8</f>
        <v>3.3500000000000002E-2</v>
      </c>
      <c r="O4" s="11">
        <f>'calculation of necessary chemic'!J15</f>
        <v>8.3750000000000005E-3</v>
      </c>
    </row>
    <row r="5" spans="1:16" x14ac:dyDescent="0.3">
      <c r="A5" s="11" t="s">
        <v>28</v>
      </c>
      <c r="B5" s="11" t="s">
        <v>74</v>
      </c>
      <c r="C5" s="9" t="s">
        <v>44</v>
      </c>
      <c r="D5" s="40">
        <v>279.38</v>
      </c>
      <c r="E5" s="86">
        <f>F5*D5</f>
        <v>411.80612000000002</v>
      </c>
      <c r="F5" s="78">
        <f t="shared" ref="F5:F13" si="0">N5*L5</f>
        <v>1.4740000000000002</v>
      </c>
      <c r="G5" s="128">
        <f>(E5*3)/1000</f>
        <v>1.2354183600000002</v>
      </c>
      <c r="H5" s="11">
        <v>164.21</v>
      </c>
      <c r="I5" s="85">
        <f t="shared" ref="I5:I12" si="1">J5*H5</f>
        <v>60.511385000000011</v>
      </c>
      <c r="J5" s="11">
        <f t="shared" ref="J5:J13" si="2">L5*O5</f>
        <v>0.36850000000000005</v>
      </c>
      <c r="K5" s="82">
        <f t="shared" ref="K5:K13" si="3">I5*3</f>
        <v>181.53415500000003</v>
      </c>
      <c r="L5" s="38">
        <v>44</v>
      </c>
      <c r="N5" s="11">
        <f>'calculation of necessary chemic'!J8</f>
        <v>3.3500000000000002E-2</v>
      </c>
      <c r="O5" s="11">
        <f>'calculation of necessary chemic'!J15</f>
        <v>8.3750000000000005E-3</v>
      </c>
    </row>
    <row r="6" spans="1:16" x14ac:dyDescent="0.3">
      <c r="A6" s="45" t="s">
        <v>29</v>
      </c>
      <c r="B6" s="11" t="s">
        <v>75</v>
      </c>
      <c r="C6" s="9" t="s">
        <v>45</v>
      </c>
      <c r="D6" s="40">
        <v>272.43</v>
      </c>
      <c r="E6" s="86">
        <f t="shared" ref="E6:E13" si="4">F6*D6</f>
        <v>401.56182000000007</v>
      </c>
      <c r="F6" s="78">
        <f t="shared" si="0"/>
        <v>1.4740000000000002</v>
      </c>
      <c r="G6" s="128">
        <f t="shared" ref="G6:G13" si="5">(E6*3)/1000</f>
        <v>1.2046854600000001</v>
      </c>
      <c r="H6" s="11">
        <v>164.21</v>
      </c>
      <c r="I6" s="85">
        <f t="shared" si="1"/>
        <v>60.511385000000011</v>
      </c>
      <c r="J6" s="11">
        <f t="shared" si="2"/>
        <v>0.36850000000000005</v>
      </c>
      <c r="K6" s="82">
        <f t="shared" si="3"/>
        <v>181.53415500000003</v>
      </c>
      <c r="L6" s="38">
        <v>44</v>
      </c>
      <c r="N6" s="11">
        <f>'calculation of necessary chemic'!J8</f>
        <v>3.3500000000000002E-2</v>
      </c>
      <c r="O6" s="11">
        <f>'calculation of necessary chemic'!J15</f>
        <v>8.3750000000000005E-3</v>
      </c>
    </row>
    <row r="7" spans="1:16" x14ac:dyDescent="0.3">
      <c r="A7" s="45" t="s">
        <v>30</v>
      </c>
      <c r="B7" s="11" t="s">
        <v>76</v>
      </c>
      <c r="C7" s="9" t="s">
        <v>46</v>
      </c>
      <c r="D7" s="40">
        <v>345.63</v>
      </c>
      <c r="E7" s="86">
        <f t="shared" si="4"/>
        <v>509.45862000000005</v>
      </c>
      <c r="F7" s="78">
        <f t="shared" si="0"/>
        <v>1.4740000000000002</v>
      </c>
      <c r="G7" s="128">
        <f t="shared" si="5"/>
        <v>1.5283758600000001</v>
      </c>
      <c r="H7" s="11">
        <v>164.21</v>
      </c>
      <c r="I7" s="85">
        <f t="shared" si="1"/>
        <v>60.511385000000011</v>
      </c>
      <c r="J7" s="11">
        <f t="shared" si="2"/>
        <v>0.36850000000000005</v>
      </c>
      <c r="K7" s="82">
        <f t="shared" si="3"/>
        <v>181.53415500000003</v>
      </c>
      <c r="L7" s="38">
        <v>44</v>
      </c>
      <c r="N7" s="11">
        <f>'calculation of necessary chemic'!J8</f>
        <v>3.3500000000000002E-2</v>
      </c>
      <c r="O7" s="11">
        <f>'calculation of necessary chemic'!J15</f>
        <v>8.3750000000000005E-3</v>
      </c>
    </row>
    <row r="8" spans="1:16" x14ac:dyDescent="0.3">
      <c r="A8" s="45" t="s">
        <v>34</v>
      </c>
      <c r="B8" s="11" t="s">
        <v>77</v>
      </c>
      <c r="C8" s="9" t="s">
        <v>47</v>
      </c>
      <c r="D8" s="40">
        <v>364.63</v>
      </c>
      <c r="E8" s="86">
        <f t="shared" si="4"/>
        <v>537.46462000000008</v>
      </c>
      <c r="F8" s="78">
        <f t="shared" si="0"/>
        <v>1.4740000000000002</v>
      </c>
      <c r="G8" s="128">
        <f t="shared" si="5"/>
        <v>1.6123938600000001</v>
      </c>
      <c r="H8" s="11">
        <v>164.21</v>
      </c>
      <c r="I8" s="85">
        <f t="shared" si="1"/>
        <v>60.511385000000011</v>
      </c>
      <c r="J8" s="11">
        <f t="shared" si="2"/>
        <v>0.36850000000000005</v>
      </c>
      <c r="K8" s="82">
        <f t="shared" si="3"/>
        <v>181.53415500000003</v>
      </c>
      <c r="L8" s="38">
        <v>44</v>
      </c>
      <c r="N8" s="11">
        <f>'calculation of necessary chemic'!J8</f>
        <v>3.3500000000000002E-2</v>
      </c>
      <c r="O8" s="11">
        <f>'calculation of necessary chemic'!J15</f>
        <v>8.3750000000000005E-3</v>
      </c>
    </row>
    <row r="9" spans="1:16" x14ac:dyDescent="0.3">
      <c r="A9" s="45" t="s">
        <v>31</v>
      </c>
      <c r="B9" s="11" t="s">
        <v>78</v>
      </c>
      <c r="C9" s="9" t="s">
        <v>48</v>
      </c>
      <c r="D9" s="40">
        <v>317.58</v>
      </c>
      <c r="E9" s="86">
        <f t="shared" si="4"/>
        <v>468.11292000000003</v>
      </c>
      <c r="F9" s="78">
        <f t="shared" si="0"/>
        <v>1.4740000000000002</v>
      </c>
      <c r="G9" s="128">
        <f t="shared" si="5"/>
        <v>1.4043387600000001</v>
      </c>
      <c r="H9" s="11">
        <v>164.21</v>
      </c>
      <c r="I9" s="85">
        <f t="shared" si="1"/>
        <v>60.511385000000011</v>
      </c>
      <c r="J9" s="11">
        <f t="shared" si="2"/>
        <v>0.36850000000000005</v>
      </c>
      <c r="K9" s="82">
        <f t="shared" si="3"/>
        <v>181.53415500000003</v>
      </c>
      <c r="L9" s="38">
        <v>44</v>
      </c>
      <c r="N9" s="11">
        <f>'calculation of necessary chemic'!J8</f>
        <v>3.3500000000000002E-2</v>
      </c>
      <c r="O9" s="11">
        <f>'calculation of necessary chemic'!J15</f>
        <v>8.3750000000000005E-3</v>
      </c>
    </row>
    <row r="10" spans="1:16" x14ac:dyDescent="0.3">
      <c r="A10" s="45" t="s">
        <v>35</v>
      </c>
      <c r="B10" s="11" t="s">
        <v>79</v>
      </c>
      <c r="C10" s="9" t="s">
        <v>49</v>
      </c>
      <c r="D10" s="40">
        <v>233.35</v>
      </c>
      <c r="E10" s="86">
        <f t="shared" si="4"/>
        <v>343.95790000000005</v>
      </c>
      <c r="F10" s="78">
        <f t="shared" si="0"/>
        <v>1.4740000000000002</v>
      </c>
      <c r="G10" s="128">
        <f t="shared" si="5"/>
        <v>1.0318737</v>
      </c>
      <c r="H10" s="11">
        <v>164.21</v>
      </c>
      <c r="I10" s="85">
        <f t="shared" si="1"/>
        <v>60.511385000000011</v>
      </c>
      <c r="J10" s="11">
        <f t="shared" si="2"/>
        <v>0.36850000000000005</v>
      </c>
      <c r="K10" s="82">
        <f t="shared" si="3"/>
        <v>181.53415500000003</v>
      </c>
      <c r="L10" s="38">
        <v>44</v>
      </c>
      <c r="N10" s="11">
        <f>'calculation of necessary chemic'!J8</f>
        <v>3.3500000000000002E-2</v>
      </c>
      <c r="O10" s="11">
        <f>'calculation of necessary chemic'!J15</f>
        <v>8.3750000000000005E-3</v>
      </c>
    </row>
    <row r="11" spans="1:16" x14ac:dyDescent="0.3">
      <c r="A11" s="45" t="s">
        <v>36</v>
      </c>
      <c r="B11" s="11" t="s">
        <v>80</v>
      </c>
      <c r="C11" s="9" t="s">
        <v>50</v>
      </c>
      <c r="D11" s="40">
        <v>251.37</v>
      </c>
      <c r="E11" s="86">
        <f t="shared" si="4"/>
        <v>370.51938000000007</v>
      </c>
      <c r="F11" s="78">
        <f t="shared" si="0"/>
        <v>1.4740000000000002</v>
      </c>
      <c r="G11" s="128">
        <f t="shared" si="5"/>
        <v>1.1115581400000001</v>
      </c>
      <c r="H11" s="11">
        <v>164.21</v>
      </c>
      <c r="I11" s="85">
        <f t="shared" si="1"/>
        <v>60.511385000000011</v>
      </c>
      <c r="J11" s="11">
        <f t="shared" si="2"/>
        <v>0.36850000000000005</v>
      </c>
      <c r="K11" s="82">
        <f t="shared" si="3"/>
        <v>181.53415500000003</v>
      </c>
      <c r="L11" s="38">
        <v>44</v>
      </c>
      <c r="N11" s="11">
        <f>'calculation of necessary chemic'!J8</f>
        <v>3.3500000000000002E-2</v>
      </c>
      <c r="O11" s="11">
        <f>'calculation of necessary chemic'!J15</f>
        <v>8.3750000000000005E-3</v>
      </c>
    </row>
    <row r="12" spans="1:16" x14ac:dyDescent="0.3">
      <c r="A12" s="45" t="s">
        <v>37</v>
      </c>
      <c r="B12" s="11" t="s">
        <v>64</v>
      </c>
      <c r="C12" s="9" t="s">
        <v>51</v>
      </c>
      <c r="D12" s="40">
        <v>290.47000000000003</v>
      </c>
      <c r="E12" s="86">
        <f t="shared" si="4"/>
        <v>428.15278000000012</v>
      </c>
      <c r="F12" s="78">
        <f t="shared" si="0"/>
        <v>1.4740000000000002</v>
      </c>
      <c r="G12" s="128">
        <f t="shared" si="5"/>
        <v>1.2844583400000003</v>
      </c>
      <c r="H12" s="11">
        <v>164.21</v>
      </c>
      <c r="I12" s="85">
        <f t="shared" si="1"/>
        <v>60.511385000000011</v>
      </c>
      <c r="J12" s="11">
        <f t="shared" si="2"/>
        <v>0.36850000000000005</v>
      </c>
      <c r="K12" s="82">
        <f t="shared" si="3"/>
        <v>181.53415500000003</v>
      </c>
      <c r="L12" s="38">
        <v>44</v>
      </c>
      <c r="N12" s="11">
        <f>'calculation of necessary chemic'!J8</f>
        <v>3.3500000000000002E-2</v>
      </c>
      <c r="O12" s="11">
        <f>'calculation of necessary chemic'!J15</f>
        <v>8.3750000000000005E-3</v>
      </c>
    </row>
    <row r="13" spans="1:16" x14ac:dyDescent="0.3">
      <c r="A13" s="45" t="s">
        <v>33</v>
      </c>
      <c r="B13" s="11" t="s">
        <v>81</v>
      </c>
      <c r="C13" s="9" t="s">
        <v>52</v>
      </c>
      <c r="D13" s="40">
        <v>222.33</v>
      </c>
      <c r="E13" s="86">
        <f t="shared" si="4"/>
        <v>327.71442000000008</v>
      </c>
      <c r="F13" s="78">
        <f t="shared" si="0"/>
        <v>1.4740000000000002</v>
      </c>
      <c r="G13" s="128">
        <f t="shared" si="5"/>
        <v>0.9831432600000003</v>
      </c>
      <c r="H13" s="11">
        <v>164.21</v>
      </c>
      <c r="I13" s="85">
        <f>J13*H13</f>
        <v>60.511385000000011</v>
      </c>
      <c r="J13" s="11">
        <f t="shared" si="2"/>
        <v>0.36850000000000005</v>
      </c>
      <c r="K13" s="82">
        <f t="shared" si="3"/>
        <v>181.53415500000003</v>
      </c>
      <c r="L13" s="38">
        <v>44</v>
      </c>
      <c r="N13" s="11">
        <f>'calculation of necessary chemic'!J8</f>
        <v>3.3500000000000002E-2</v>
      </c>
      <c r="O13" s="11">
        <f>'calculation of necessary chemic'!J15</f>
        <v>8.3750000000000005E-3</v>
      </c>
    </row>
    <row r="14" spans="1:16" x14ac:dyDescent="0.3">
      <c r="K14" s="83">
        <f>SUM(K4:K13)</f>
        <v>1815.3415500000003</v>
      </c>
    </row>
    <row r="16" spans="1:16" x14ac:dyDescent="0.3">
      <c r="L16" s="1" t="s">
        <v>221</v>
      </c>
      <c r="M16" s="1" t="s">
        <v>225</v>
      </c>
      <c r="N16" s="1" t="s">
        <v>223</v>
      </c>
      <c r="O16" s="1" t="s">
        <v>224</v>
      </c>
    </row>
    <row r="17" spans="1:16" x14ac:dyDescent="0.3">
      <c r="M17" s="11" t="s">
        <v>182</v>
      </c>
      <c r="N17" s="11" t="s">
        <v>69</v>
      </c>
      <c r="O17" s="11" t="s">
        <v>70</v>
      </c>
    </row>
    <row r="18" spans="1:16" x14ac:dyDescent="0.3">
      <c r="L18" s="1" t="s">
        <v>24</v>
      </c>
      <c r="M18" s="11">
        <f>L4</f>
        <v>44</v>
      </c>
      <c r="N18" s="81">
        <v>1.1000000000000001</v>
      </c>
      <c r="O18" s="80">
        <f>Tabelle1[[#This Row],[volume]]*Tabelle1[[#This Row],[density]]</f>
        <v>48.400000000000006</v>
      </c>
    </row>
    <row r="19" spans="1:16" x14ac:dyDescent="0.3">
      <c r="L19" s="1" t="s">
        <v>20</v>
      </c>
      <c r="M19" s="11">
        <f>L4</f>
        <v>44</v>
      </c>
      <c r="N19" s="81">
        <v>0.94399999999999995</v>
      </c>
      <c r="O19" s="80">
        <f>Tabelle1[[#This Row],[volume]]*Tabelle1[[#This Row],[density]]</f>
        <v>41.536000000000001</v>
      </c>
    </row>
    <row r="20" spans="1:16" x14ac:dyDescent="0.3">
      <c r="L20" s="1" t="s">
        <v>23</v>
      </c>
      <c r="M20" s="11">
        <f>L4</f>
        <v>44</v>
      </c>
      <c r="N20" s="81">
        <v>0.86699999999999999</v>
      </c>
      <c r="O20" s="80">
        <f>Tabelle1[[#This Row],[volume]]*Tabelle1[[#This Row],[density]]</f>
        <v>38.147999999999996</v>
      </c>
    </row>
    <row r="22" spans="1:16" x14ac:dyDescent="0.3">
      <c r="A22" s="33" t="s">
        <v>441</v>
      </c>
    </row>
    <row r="23" spans="1:16" ht="28" x14ac:dyDescent="0.3">
      <c r="A23" s="11" t="s">
        <v>187</v>
      </c>
      <c r="B23" s="11" t="s">
        <v>214</v>
      </c>
      <c r="C23" s="11" t="s">
        <v>215</v>
      </c>
      <c r="D23" s="39" t="s">
        <v>216</v>
      </c>
      <c r="E23" s="44" t="s">
        <v>230</v>
      </c>
      <c r="F23" s="12" t="s">
        <v>217</v>
      </c>
      <c r="G23" s="79" t="s">
        <v>229</v>
      </c>
      <c r="H23" s="11" t="s">
        <v>218</v>
      </c>
      <c r="I23" s="11" t="s">
        <v>219</v>
      </c>
      <c r="J23" s="12" t="s">
        <v>217</v>
      </c>
      <c r="K23" s="79" t="s">
        <v>229</v>
      </c>
      <c r="L23" s="11" t="s">
        <v>220</v>
      </c>
      <c r="N23" s="11" t="s">
        <v>186</v>
      </c>
      <c r="O23" s="11" t="s">
        <v>185</v>
      </c>
      <c r="P23" s="12"/>
    </row>
    <row r="24" spans="1:16" ht="14.5" thickBot="1" x14ac:dyDescent="0.35">
      <c r="A24" s="41"/>
      <c r="B24" s="41"/>
      <c r="C24" s="41"/>
      <c r="D24" s="42" t="s">
        <v>65</v>
      </c>
      <c r="E24" s="43" t="s">
        <v>184</v>
      </c>
      <c r="F24" s="41" t="s">
        <v>183</v>
      </c>
      <c r="G24" s="42" t="s">
        <v>70</v>
      </c>
      <c r="H24" s="41" t="s">
        <v>65</v>
      </c>
      <c r="I24" s="41" t="s">
        <v>184</v>
      </c>
      <c r="J24" s="41" t="s">
        <v>183</v>
      </c>
      <c r="K24" s="42" t="s">
        <v>184</v>
      </c>
      <c r="L24" s="41" t="s">
        <v>182</v>
      </c>
      <c r="M24" s="41"/>
      <c r="N24" s="41" t="s">
        <v>181</v>
      </c>
      <c r="O24" s="41" t="s">
        <v>181</v>
      </c>
    </row>
    <row r="25" spans="1:16" ht="14.5" thickTop="1" x14ac:dyDescent="0.3">
      <c r="A25" s="11" t="s">
        <v>222</v>
      </c>
      <c r="B25" s="11" t="s">
        <v>27</v>
      </c>
      <c r="C25" s="9" t="s">
        <v>43</v>
      </c>
      <c r="D25" s="40">
        <v>221.34</v>
      </c>
      <c r="E25" s="86">
        <f>F25*D25</f>
        <v>88.978680000000011</v>
      </c>
      <c r="F25" s="78">
        <f>N25*L25</f>
        <v>0.40200000000000002</v>
      </c>
      <c r="G25" s="127">
        <f>(E25*3)/1000</f>
        <v>0.26693604000000004</v>
      </c>
      <c r="H25" s="11">
        <v>164.21</v>
      </c>
      <c r="I25" s="129">
        <f>J25*H25</f>
        <v>16.503105000000001</v>
      </c>
      <c r="J25" s="11">
        <f>L25*O25</f>
        <v>0.10050000000000001</v>
      </c>
      <c r="K25" s="82">
        <f>I25*3</f>
        <v>49.509315000000001</v>
      </c>
      <c r="L25" s="38">
        <v>12</v>
      </c>
      <c r="N25" s="11">
        <v>3.3500000000000002E-2</v>
      </c>
      <c r="O25" s="11">
        <v>8.3750000000000005E-3</v>
      </c>
    </row>
    <row r="26" spans="1:16" x14ac:dyDescent="0.3">
      <c r="A26" s="11" t="s">
        <v>28</v>
      </c>
      <c r="B26" s="11" t="s">
        <v>74</v>
      </c>
      <c r="C26" s="9" t="s">
        <v>44</v>
      </c>
      <c r="D26" s="40">
        <v>279.38</v>
      </c>
      <c r="E26" s="86">
        <f>F26*D26</f>
        <v>112.31076</v>
      </c>
      <c r="F26" s="78">
        <f t="shared" ref="F26:F34" si="6">N26*L26</f>
        <v>0.40200000000000002</v>
      </c>
      <c r="G26" s="128">
        <f>(E26*3)/1000</f>
        <v>0.33693227999999997</v>
      </c>
      <c r="H26" s="11">
        <v>164.21</v>
      </c>
      <c r="I26" s="130">
        <f t="shared" ref="I26:I33" si="7">J26*H26</f>
        <v>16.503105000000001</v>
      </c>
      <c r="J26" s="11">
        <f t="shared" ref="J26:J34" si="8">L26*O26</f>
        <v>0.10050000000000001</v>
      </c>
      <c r="K26" s="82">
        <f t="shared" ref="K26:K34" si="9">I26*3</f>
        <v>49.509315000000001</v>
      </c>
      <c r="L26" s="38">
        <v>12</v>
      </c>
      <c r="N26" s="11">
        <v>3.3500000000000002E-2</v>
      </c>
      <c r="O26" s="11">
        <v>8.3750000000000005E-3</v>
      </c>
    </row>
    <row r="27" spans="1:16" x14ac:dyDescent="0.3">
      <c r="A27" s="45" t="s">
        <v>29</v>
      </c>
      <c r="B27" s="11" t="s">
        <v>75</v>
      </c>
      <c r="C27" s="9" t="s">
        <v>45</v>
      </c>
      <c r="D27" s="40">
        <v>272.43</v>
      </c>
      <c r="E27" s="86">
        <f t="shared" ref="E27:E34" si="10">F27*D27</f>
        <v>109.51686000000001</v>
      </c>
      <c r="F27" s="78">
        <f t="shared" si="6"/>
        <v>0.40200000000000002</v>
      </c>
      <c r="G27" s="128">
        <f t="shared" ref="G27:G34" si="11">(E27*3)/1000</f>
        <v>0.32855058000000004</v>
      </c>
      <c r="H27" s="11">
        <v>164.21</v>
      </c>
      <c r="I27" s="130">
        <f t="shared" si="7"/>
        <v>16.503105000000001</v>
      </c>
      <c r="J27" s="11">
        <f t="shared" si="8"/>
        <v>0.10050000000000001</v>
      </c>
      <c r="K27" s="82">
        <f t="shared" si="9"/>
        <v>49.509315000000001</v>
      </c>
      <c r="L27" s="38">
        <v>12</v>
      </c>
      <c r="N27" s="11">
        <v>3.3500000000000002E-2</v>
      </c>
      <c r="O27" s="11">
        <v>8.3750000000000005E-3</v>
      </c>
    </row>
    <row r="28" spans="1:16" x14ac:dyDescent="0.3">
      <c r="A28" s="45" t="s">
        <v>30</v>
      </c>
      <c r="B28" s="11" t="s">
        <v>76</v>
      </c>
      <c r="C28" s="9" t="s">
        <v>46</v>
      </c>
      <c r="D28" s="40">
        <v>345.63</v>
      </c>
      <c r="E28" s="86">
        <f t="shared" si="10"/>
        <v>138.94326000000001</v>
      </c>
      <c r="F28" s="78">
        <f t="shared" si="6"/>
        <v>0.40200000000000002</v>
      </c>
      <c r="G28" s="128">
        <f t="shared" si="11"/>
        <v>0.41682978000000004</v>
      </c>
      <c r="H28" s="11">
        <v>164.21</v>
      </c>
      <c r="I28" s="130">
        <f t="shared" si="7"/>
        <v>16.503105000000001</v>
      </c>
      <c r="J28" s="11">
        <f t="shared" si="8"/>
        <v>0.10050000000000001</v>
      </c>
      <c r="K28" s="82">
        <f t="shared" si="9"/>
        <v>49.509315000000001</v>
      </c>
      <c r="L28" s="38">
        <v>12</v>
      </c>
      <c r="N28" s="11">
        <v>3.3500000000000002E-2</v>
      </c>
      <c r="O28" s="11">
        <v>8.3750000000000005E-3</v>
      </c>
    </row>
    <row r="29" spans="1:16" x14ac:dyDescent="0.3">
      <c r="A29" s="45" t="s">
        <v>34</v>
      </c>
      <c r="B29" s="11" t="s">
        <v>77</v>
      </c>
      <c r="C29" s="9" t="s">
        <v>47</v>
      </c>
      <c r="D29" s="40">
        <v>364.63</v>
      </c>
      <c r="E29" s="86">
        <f t="shared" si="10"/>
        <v>146.58126000000001</v>
      </c>
      <c r="F29" s="78">
        <f t="shared" si="6"/>
        <v>0.40200000000000002</v>
      </c>
      <c r="G29" s="128">
        <f t="shared" si="11"/>
        <v>0.43974378000000003</v>
      </c>
      <c r="H29" s="11">
        <v>164.21</v>
      </c>
      <c r="I29" s="130">
        <f t="shared" si="7"/>
        <v>16.503105000000001</v>
      </c>
      <c r="J29" s="11">
        <f t="shared" si="8"/>
        <v>0.10050000000000001</v>
      </c>
      <c r="K29" s="82">
        <f t="shared" si="9"/>
        <v>49.509315000000001</v>
      </c>
      <c r="L29" s="38">
        <v>12</v>
      </c>
      <c r="N29" s="11">
        <v>3.3500000000000002E-2</v>
      </c>
      <c r="O29" s="11">
        <v>8.3750000000000005E-3</v>
      </c>
    </row>
    <row r="30" spans="1:16" x14ac:dyDescent="0.3">
      <c r="A30" s="45" t="s">
        <v>31</v>
      </c>
      <c r="B30" s="11" t="s">
        <v>78</v>
      </c>
      <c r="C30" s="9" t="s">
        <v>48</v>
      </c>
      <c r="D30" s="40">
        <v>317.58</v>
      </c>
      <c r="E30" s="86">
        <f t="shared" si="10"/>
        <v>127.66716</v>
      </c>
      <c r="F30" s="78">
        <f t="shared" si="6"/>
        <v>0.40200000000000002</v>
      </c>
      <c r="G30" s="128">
        <f t="shared" si="11"/>
        <v>0.38300148000000001</v>
      </c>
      <c r="H30" s="11">
        <v>164.21</v>
      </c>
      <c r="I30" s="130">
        <f t="shared" si="7"/>
        <v>16.503105000000001</v>
      </c>
      <c r="J30" s="11">
        <f t="shared" si="8"/>
        <v>0.10050000000000001</v>
      </c>
      <c r="K30" s="82">
        <f t="shared" si="9"/>
        <v>49.509315000000001</v>
      </c>
      <c r="L30" s="38">
        <v>12</v>
      </c>
      <c r="N30" s="11">
        <v>3.3500000000000002E-2</v>
      </c>
      <c r="O30" s="11">
        <v>8.3750000000000005E-3</v>
      </c>
    </row>
    <row r="31" spans="1:16" x14ac:dyDescent="0.3">
      <c r="A31" s="45" t="s">
        <v>35</v>
      </c>
      <c r="B31" s="11" t="s">
        <v>79</v>
      </c>
      <c r="C31" s="9" t="s">
        <v>49</v>
      </c>
      <c r="D31" s="40">
        <v>233.35</v>
      </c>
      <c r="E31" s="86">
        <f t="shared" si="10"/>
        <v>93.806700000000006</v>
      </c>
      <c r="F31" s="78">
        <f t="shared" si="6"/>
        <v>0.40200000000000002</v>
      </c>
      <c r="G31" s="128">
        <f t="shared" si="11"/>
        <v>0.28142010000000006</v>
      </c>
      <c r="H31" s="11">
        <v>164.21</v>
      </c>
      <c r="I31" s="130">
        <f t="shared" si="7"/>
        <v>16.503105000000001</v>
      </c>
      <c r="J31" s="11">
        <f t="shared" si="8"/>
        <v>0.10050000000000001</v>
      </c>
      <c r="K31" s="82">
        <f t="shared" si="9"/>
        <v>49.509315000000001</v>
      </c>
      <c r="L31" s="38">
        <v>12</v>
      </c>
      <c r="N31" s="11">
        <v>3.3500000000000002E-2</v>
      </c>
      <c r="O31" s="11">
        <v>8.3750000000000005E-3</v>
      </c>
    </row>
    <row r="32" spans="1:16" x14ac:dyDescent="0.3">
      <c r="A32" s="45" t="s">
        <v>36</v>
      </c>
      <c r="B32" s="11" t="s">
        <v>80</v>
      </c>
      <c r="C32" s="9" t="s">
        <v>50</v>
      </c>
      <c r="D32" s="40">
        <v>251.37</v>
      </c>
      <c r="E32" s="86">
        <f t="shared" si="10"/>
        <v>101.05074</v>
      </c>
      <c r="F32" s="78">
        <f t="shared" si="6"/>
        <v>0.40200000000000002</v>
      </c>
      <c r="G32" s="128">
        <f t="shared" si="11"/>
        <v>0.30315221999999997</v>
      </c>
      <c r="H32" s="11">
        <v>164.21</v>
      </c>
      <c r="I32" s="130">
        <f t="shared" si="7"/>
        <v>16.503105000000001</v>
      </c>
      <c r="J32" s="11">
        <f t="shared" si="8"/>
        <v>0.10050000000000001</v>
      </c>
      <c r="K32" s="82">
        <f t="shared" si="9"/>
        <v>49.509315000000001</v>
      </c>
      <c r="L32" s="38">
        <v>12</v>
      </c>
      <c r="N32" s="11">
        <v>3.3500000000000002E-2</v>
      </c>
      <c r="O32" s="11">
        <v>8.3750000000000005E-3</v>
      </c>
    </row>
    <row r="33" spans="1:15" x14ac:dyDescent="0.3">
      <c r="A33" s="45" t="s">
        <v>37</v>
      </c>
      <c r="B33" s="11" t="s">
        <v>64</v>
      </c>
      <c r="C33" s="9" t="s">
        <v>51</v>
      </c>
      <c r="D33" s="40">
        <v>290.47000000000003</v>
      </c>
      <c r="E33" s="86">
        <f t="shared" si="10"/>
        <v>116.76894000000001</v>
      </c>
      <c r="F33" s="78">
        <f t="shared" si="6"/>
        <v>0.40200000000000002</v>
      </c>
      <c r="G33" s="128">
        <f t="shared" si="11"/>
        <v>0.35030682000000002</v>
      </c>
      <c r="H33" s="11">
        <v>164.21</v>
      </c>
      <c r="I33" s="130">
        <f t="shared" si="7"/>
        <v>16.503105000000001</v>
      </c>
      <c r="J33" s="11">
        <f t="shared" si="8"/>
        <v>0.10050000000000001</v>
      </c>
      <c r="K33" s="82">
        <f t="shared" si="9"/>
        <v>49.509315000000001</v>
      </c>
      <c r="L33" s="38">
        <v>12</v>
      </c>
      <c r="N33" s="11">
        <v>3.3500000000000002E-2</v>
      </c>
      <c r="O33" s="11">
        <v>8.3750000000000005E-3</v>
      </c>
    </row>
    <row r="34" spans="1:15" x14ac:dyDescent="0.3">
      <c r="A34" s="45" t="s">
        <v>33</v>
      </c>
      <c r="B34" s="11" t="s">
        <v>81</v>
      </c>
      <c r="C34" s="9" t="s">
        <v>52</v>
      </c>
      <c r="D34" s="40">
        <v>222.33</v>
      </c>
      <c r="E34" s="86">
        <f t="shared" si="10"/>
        <v>89.376660000000015</v>
      </c>
      <c r="F34" s="78">
        <f t="shared" si="6"/>
        <v>0.40200000000000002</v>
      </c>
      <c r="G34" s="128">
        <f t="shared" si="11"/>
        <v>0.26812998000000005</v>
      </c>
      <c r="H34" s="11">
        <v>164.21</v>
      </c>
      <c r="I34" s="130">
        <f>J34*H34</f>
        <v>16.503105000000001</v>
      </c>
      <c r="J34" s="11">
        <f t="shared" si="8"/>
        <v>0.10050000000000001</v>
      </c>
      <c r="K34" s="82">
        <f t="shared" si="9"/>
        <v>49.509315000000001</v>
      </c>
      <c r="L34" s="38">
        <v>12</v>
      </c>
      <c r="N34" s="11">
        <v>3.3500000000000002E-2</v>
      </c>
      <c r="O34" s="11">
        <v>8.3750000000000005E-3</v>
      </c>
    </row>
    <row r="35" spans="1:15" x14ac:dyDescent="0.3">
      <c r="K35" s="83">
        <f>SUM(K25:K34)</f>
        <v>495.09315000000009</v>
      </c>
    </row>
    <row r="37" spans="1:15" x14ac:dyDescent="0.3">
      <c r="L37" s="1" t="s">
        <v>221</v>
      </c>
      <c r="M37" s="1" t="s">
        <v>225</v>
      </c>
      <c r="N37" s="1" t="s">
        <v>223</v>
      </c>
      <c r="O37" s="1" t="s">
        <v>224</v>
      </c>
    </row>
    <row r="38" spans="1:15" x14ac:dyDescent="0.3">
      <c r="M38" s="11" t="s">
        <v>182</v>
      </c>
      <c r="N38" s="11" t="s">
        <v>69</v>
      </c>
      <c r="O38" s="11" t="s">
        <v>70</v>
      </c>
    </row>
    <row r="39" spans="1:15" x14ac:dyDescent="0.3">
      <c r="L39" s="1" t="s">
        <v>24</v>
      </c>
      <c r="M39" s="11">
        <f>L25</f>
        <v>12</v>
      </c>
      <c r="N39" s="81">
        <v>1.1000000000000001</v>
      </c>
      <c r="O39" s="80">
        <f>Tabelle13[[#This Row],[volume]]*Tabelle13[[#This Row],[density]]</f>
        <v>13.200000000000001</v>
      </c>
    </row>
    <row r="40" spans="1:15" x14ac:dyDescent="0.3">
      <c r="L40" s="1" t="s">
        <v>20</v>
      </c>
      <c r="M40" s="11">
        <f>L25</f>
        <v>12</v>
      </c>
      <c r="N40" s="81">
        <v>0.94399999999999995</v>
      </c>
      <c r="O40" s="80">
        <f>Tabelle13[[#This Row],[volume]]*Tabelle13[[#This Row],[density]]</f>
        <v>11.327999999999999</v>
      </c>
    </row>
    <row r="41" spans="1:15" x14ac:dyDescent="0.3">
      <c r="L41" s="1" t="s">
        <v>23</v>
      </c>
      <c r="M41" s="11">
        <f>L25</f>
        <v>12</v>
      </c>
      <c r="N41" s="81">
        <v>0.86699999999999999</v>
      </c>
      <c r="O41" s="80">
        <f>Tabelle13[[#This Row],[volume]]*Tabelle13[[#This Row],[density]]</f>
        <v>10.404</v>
      </c>
    </row>
  </sheetData>
  <pageMargins left="0.7" right="0.7" top="0.78740157499999996" bottom="0.78740157499999996" header="0.3" footer="0.3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FF8CF-EED6-4639-A858-AA61202A3B52}">
  <sheetPr>
    <pageSetUpPr fitToPage="1"/>
  </sheetPr>
  <dimension ref="A1:P34"/>
  <sheetViews>
    <sheetView zoomScaleNormal="100" workbookViewId="0">
      <selection activeCell="D5" sqref="D5"/>
    </sheetView>
  </sheetViews>
  <sheetFormatPr baseColWidth="10" defaultRowHeight="14.5" x14ac:dyDescent="0.35"/>
  <cols>
    <col min="1" max="1" width="11.453125" style="11"/>
    <col min="2" max="2" width="22.26953125" style="11" customWidth="1"/>
    <col min="3" max="5" width="11.453125" style="11"/>
    <col min="6" max="6" width="24.1796875" style="11" customWidth="1"/>
    <col min="7" max="7" width="16" style="11" customWidth="1"/>
    <col min="8" max="8" width="15" style="11" customWidth="1"/>
    <col min="9" max="9" width="16.1796875" style="11" customWidth="1"/>
    <col min="10" max="10" width="13.7265625" style="11" bestFit="1" customWidth="1"/>
    <col min="11" max="14" width="11.453125" style="11"/>
    <col min="15" max="15" width="22.453125" style="11" customWidth="1"/>
  </cols>
  <sheetData>
    <row r="1" spans="1:16" x14ac:dyDescent="0.35">
      <c r="A1" s="33" t="s">
        <v>450</v>
      </c>
      <c r="E1" s="131" t="s">
        <v>223</v>
      </c>
      <c r="P1" s="11"/>
    </row>
    <row r="2" spans="1:16" x14ac:dyDescent="0.35">
      <c r="A2" s="1"/>
      <c r="E2" s="131"/>
      <c r="P2" s="11"/>
    </row>
    <row r="3" spans="1:16" x14ac:dyDescent="0.35">
      <c r="A3" s="1"/>
      <c r="B3" s="1" t="s">
        <v>444</v>
      </c>
      <c r="C3" s="11">
        <v>90.08</v>
      </c>
      <c r="P3" s="11"/>
    </row>
    <row r="4" spans="1:16" ht="85" thickBot="1" x14ac:dyDescent="0.4">
      <c r="C4" s="12"/>
      <c r="D4" s="135" t="s">
        <v>449</v>
      </c>
      <c r="E4" s="134" t="s">
        <v>445</v>
      </c>
      <c r="F4" s="133" t="s">
        <v>447</v>
      </c>
      <c r="G4" s="133" t="s">
        <v>442</v>
      </c>
      <c r="H4" s="133" t="s">
        <v>448</v>
      </c>
      <c r="I4" s="133" t="s">
        <v>446</v>
      </c>
      <c r="P4" s="11"/>
    </row>
    <row r="5" spans="1:16" x14ac:dyDescent="0.35">
      <c r="C5" s="12"/>
      <c r="D5" s="11" t="s">
        <v>24</v>
      </c>
      <c r="E5" s="81">
        <v>1.1000000000000001</v>
      </c>
      <c r="F5" s="11">
        <v>0.1</v>
      </c>
      <c r="G5" s="12">
        <v>1.472</v>
      </c>
      <c r="H5" s="132">
        <f>(G5*F5)*C$3</f>
        <v>13.259775999999999</v>
      </c>
      <c r="I5" s="1">
        <f>(F5*E5)*1000</f>
        <v>110.00000000000001</v>
      </c>
      <c r="P5" s="11"/>
    </row>
    <row r="6" spans="1:16" ht="42.5" x14ac:dyDescent="0.35">
      <c r="C6" s="12"/>
      <c r="D6" s="79" t="s">
        <v>443</v>
      </c>
      <c r="E6" s="81">
        <v>0.94399999999999995</v>
      </c>
      <c r="F6" s="11">
        <v>0.1</v>
      </c>
      <c r="G6" s="12">
        <v>1.472</v>
      </c>
      <c r="H6" s="132">
        <f>(G6*F6)*C$3</f>
        <v>13.259775999999999</v>
      </c>
      <c r="I6" s="1">
        <f>(F6*E6)*1000</f>
        <v>94.399999999999991</v>
      </c>
      <c r="P6" s="11"/>
    </row>
    <row r="7" spans="1:16" x14ac:dyDescent="0.35">
      <c r="C7" s="12"/>
      <c r="D7" s="39" t="s">
        <v>23</v>
      </c>
      <c r="E7" s="11">
        <v>0.86699999999999999</v>
      </c>
      <c r="F7" s="11">
        <v>0.1</v>
      </c>
      <c r="G7" s="12">
        <v>1.472</v>
      </c>
      <c r="H7" s="132">
        <f>(G7*F7)*C$3</f>
        <v>13.259775999999999</v>
      </c>
      <c r="I7" s="1">
        <f>(F7*E7)*1000</f>
        <v>86.7</v>
      </c>
    </row>
    <row r="8" spans="1:16" x14ac:dyDescent="0.35">
      <c r="C8" s="12"/>
      <c r="H8" s="12"/>
    </row>
    <row r="9" spans="1:16" x14ac:dyDescent="0.35">
      <c r="A9" s="87"/>
      <c r="B9" s="1"/>
      <c r="C9" s="1"/>
      <c r="D9" s="1"/>
      <c r="E9" s="1"/>
      <c r="F9" s="1"/>
      <c r="G9" s="1"/>
    </row>
    <row r="11" spans="1:16" x14ac:dyDescent="0.35">
      <c r="H11" s="1"/>
      <c r="I11" s="1"/>
      <c r="J11" s="1"/>
      <c r="K11" s="1"/>
    </row>
    <row r="13" spans="1:16" x14ac:dyDescent="0.35">
      <c r="C13" s="12"/>
      <c r="D13" s="12"/>
      <c r="F13" s="12"/>
      <c r="G13" s="12"/>
      <c r="H13" s="1"/>
      <c r="J13" s="81"/>
      <c r="K13" s="80"/>
      <c r="L13" s="12"/>
      <c r="M13" s="12"/>
      <c r="N13" s="12"/>
      <c r="O13" s="12"/>
    </row>
    <row r="14" spans="1:16" x14ac:dyDescent="0.35">
      <c r="H14" s="1"/>
      <c r="J14" s="81"/>
      <c r="K14" s="80"/>
    </row>
    <row r="15" spans="1:16" x14ac:dyDescent="0.35">
      <c r="A15" s="1"/>
      <c r="H15" s="1"/>
      <c r="J15" s="81"/>
      <c r="K15" s="80"/>
    </row>
    <row r="16" spans="1:16" x14ac:dyDescent="0.35">
      <c r="I16" s="1"/>
    </row>
    <row r="17" spans="1:9" x14ac:dyDescent="0.35">
      <c r="A17" s="1"/>
    </row>
    <row r="18" spans="1:9" x14ac:dyDescent="0.35">
      <c r="G18" s="12"/>
      <c r="H18" s="12"/>
      <c r="I18" s="12"/>
    </row>
    <row r="20" spans="1:9" x14ac:dyDescent="0.35">
      <c r="I20" s="1"/>
    </row>
    <row r="21" spans="1:9" x14ac:dyDescent="0.35">
      <c r="A21" s="1"/>
    </row>
    <row r="22" spans="1:9" x14ac:dyDescent="0.35">
      <c r="G22" s="12"/>
      <c r="H22" s="12"/>
      <c r="I22" s="12"/>
    </row>
    <row r="25" spans="1:9" x14ac:dyDescent="0.35">
      <c r="A25" s="1"/>
    </row>
    <row r="26" spans="1:9" x14ac:dyDescent="0.35">
      <c r="G26" s="12"/>
      <c r="H26" s="12"/>
      <c r="I26" s="12"/>
    </row>
    <row r="29" spans="1:9" x14ac:dyDescent="0.35">
      <c r="A29" s="1"/>
    </row>
    <row r="30" spans="1:9" x14ac:dyDescent="0.35">
      <c r="G30" s="12"/>
      <c r="H30" s="12"/>
      <c r="I30" s="12"/>
    </row>
    <row r="33" spans="1:9" x14ac:dyDescent="0.35">
      <c r="A33" s="1"/>
    </row>
    <row r="34" spans="1:9" x14ac:dyDescent="0.35">
      <c r="G34" s="12"/>
      <c r="H34" s="12"/>
      <c r="I34" s="12"/>
    </row>
  </sheetData>
  <pageMargins left="0.7" right="0.7" top="0.78740157499999996" bottom="0.78740157499999996" header="0.3" footer="0.3"/>
  <pageSetup paperSize="9" scale="94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6623D-8BDC-4EB0-A1AB-9FF8377F8583}">
  <sheetPr>
    <pageSetUpPr fitToPage="1"/>
  </sheetPr>
  <dimension ref="A1:Q31"/>
  <sheetViews>
    <sheetView topLeftCell="A8" zoomScaleNormal="100" workbookViewId="0">
      <selection activeCell="Q29" sqref="Q29"/>
    </sheetView>
  </sheetViews>
  <sheetFormatPr baseColWidth="10" defaultRowHeight="14.5" x14ac:dyDescent="0.35"/>
  <cols>
    <col min="1" max="5" width="11.453125" style="11"/>
    <col min="6" max="6" width="24.1796875" style="11" customWidth="1"/>
    <col min="7" max="9" width="11.453125" style="11"/>
    <col min="10" max="10" width="12.81640625" style="11" customWidth="1"/>
    <col min="11" max="11" width="16.1796875" style="11" customWidth="1"/>
    <col min="12" max="12" width="13.7265625" style="11" bestFit="1" customWidth="1"/>
    <col min="13" max="16" width="11.453125" style="11"/>
    <col min="17" max="17" width="22.453125" style="11" customWidth="1"/>
  </cols>
  <sheetData>
    <row r="1" spans="1:17" x14ac:dyDescent="0.35">
      <c r="A1" s="1" t="s">
        <v>407</v>
      </c>
      <c r="C1" s="11" t="s">
        <v>408</v>
      </c>
    </row>
    <row r="2" spans="1:17" x14ac:dyDescent="0.35">
      <c r="C2" s="12"/>
    </row>
    <row r="3" spans="1:17" x14ac:dyDescent="0.35">
      <c r="A3" s="87" t="s">
        <v>409</v>
      </c>
      <c r="B3" s="1" t="s">
        <v>410</v>
      </c>
      <c r="C3" s="1"/>
      <c r="D3" s="1"/>
      <c r="E3" s="1"/>
      <c r="F3" s="1"/>
      <c r="G3" s="1"/>
      <c r="H3" s="1"/>
    </row>
    <row r="6" spans="1:17" x14ac:dyDescent="0.35">
      <c r="L6" s="1" t="s">
        <v>429</v>
      </c>
    </row>
    <row r="7" spans="1:17" ht="56.5" x14ac:dyDescent="0.35">
      <c r="C7" s="12" t="s">
        <v>162</v>
      </c>
      <c r="D7" s="12" t="s">
        <v>413</v>
      </c>
      <c r="F7" s="12" t="s">
        <v>414</v>
      </c>
      <c r="H7" s="12" t="s">
        <v>415</v>
      </c>
      <c r="I7" s="12" t="s">
        <v>416</v>
      </c>
      <c r="J7" s="12" t="s">
        <v>417</v>
      </c>
      <c r="K7" s="12" t="s">
        <v>418</v>
      </c>
      <c r="M7" s="12" t="s">
        <v>23</v>
      </c>
      <c r="N7" s="12" t="s">
        <v>20</v>
      </c>
      <c r="O7" s="12" t="s">
        <v>24</v>
      </c>
      <c r="P7" s="12" t="s">
        <v>21</v>
      </c>
      <c r="Q7" s="12" t="s">
        <v>419</v>
      </c>
    </row>
    <row r="8" spans="1:17" ht="15" thickBot="1" x14ac:dyDescent="0.4">
      <c r="A8" s="11" t="s">
        <v>411</v>
      </c>
      <c r="C8" s="11">
        <v>90.08</v>
      </c>
      <c r="F8" s="11">
        <v>3.68</v>
      </c>
      <c r="H8" s="11">
        <f>F8*C8</f>
        <v>331.49439999999998</v>
      </c>
      <c r="I8" s="11" t="s">
        <v>163</v>
      </c>
      <c r="J8" s="11">
        <v>331.5</v>
      </c>
      <c r="K8" s="1">
        <f>J8/C8</f>
        <v>3.6800621669627001</v>
      </c>
      <c r="L8" s="11" t="s">
        <v>164</v>
      </c>
      <c r="Q8" s="11" t="s">
        <v>166</v>
      </c>
    </row>
    <row r="9" spans="1:17" ht="15" thickBot="1" x14ac:dyDescent="0.4">
      <c r="A9" s="1" t="s">
        <v>412</v>
      </c>
      <c r="C9" s="11">
        <v>142.29</v>
      </c>
      <c r="D9" s="11">
        <v>0.73</v>
      </c>
      <c r="F9" s="11">
        <v>3.68</v>
      </c>
      <c r="H9" s="11">
        <f>F9*C9</f>
        <v>523.62720000000002</v>
      </c>
      <c r="I9" s="11">
        <f>H9/D9</f>
        <v>717.29753424657542</v>
      </c>
      <c r="J9" s="11">
        <v>720</v>
      </c>
      <c r="K9" s="1">
        <f>(J9*0.73)/142.29</f>
        <v>3.6938646426312465</v>
      </c>
      <c r="L9" s="11" t="s">
        <v>165</v>
      </c>
      <c r="M9" s="16">
        <f xml:space="preserve"> J9/10</f>
        <v>72</v>
      </c>
      <c r="N9" s="17">
        <f>M9</f>
        <v>72</v>
      </c>
      <c r="O9" s="17">
        <f>N9</f>
        <v>72</v>
      </c>
      <c r="P9" s="18">
        <f>O9</f>
        <v>72</v>
      </c>
      <c r="Q9" s="11" t="s">
        <v>166</v>
      </c>
    </row>
    <row r="10" spans="1:17" x14ac:dyDescent="0.35">
      <c r="K10" s="1"/>
    </row>
    <row r="11" spans="1:17" x14ac:dyDescent="0.35">
      <c r="A11" s="1" t="s">
        <v>420</v>
      </c>
    </row>
    <row r="12" spans="1:17" ht="42.5" x14ac:dyDescent="0.35">
      <c r="G12" s="12" t="s">
        <v>426</v>
      </c>
      <c r="H12" s="12" t="s">
        <v>425</v>
      </c>
      <c r="J12" s="12" t="s">
        <v>167</v>
      </c>
      <c r="K12" s="12" t="s">
        <v>168</v>
      </c>
    </row>
    <row r="13" spans="1:17" x14ac:dyDescent="0.35">
      <c r="G13" s="11">
        <v>33</v>
      </c>
      <c r="H13" s="11">
        <v>40</v>
      </c>
      <c r="J13" s="11">
        <f>(G13/1000)/(H13/1000)</f>
        <v>0.82500000000000007</v>
      </c>
      <c r="K13" s="11">
        <f>(G13/C8)/(H13/1000)</f>
        <v>9.1585257548845469</v>
      </c>
      <c r="M13" s="13"/>
      <c r="N13" s="15"/>
      <c r="O13" s="15"/>
      <c r="P13" s="13"/>
      <c r="Q13" s="11" t="s">
        <v>166</v>
      </c>
    </row>
    <row r="14" spans="1:17" x14ac:dyDescent="0.35">
      <c r="K14" s="1"/>
    </row>
    <row r="15" spans="1:17" x14ac:dyDescent="0.35">
      <c r="A15" s="1" t="s">
        <v>421</v>
      </c>
    </row>
    <row r="16" spans="1:17" ht="42.5" x14ac:dyDescent="0.35">
      <c r="G16" s="12" t="s">
        <v>426</v>
      </c>
      <c r="H16" s="12" t="s">
        <v>425</v>
      </c>
      <c r="J16" s="12" t="s">
        <v>167</v>
      </c>
      <c r="K16" s="12" t="s">
        <v>168</v>
      </c>
    </row>
    <row r="17" spans="1:17" x14ac:dyDescent="0.35">
      <c r="G17" s="11">
        <v>33</v>
      </c>
      <c r="H17" s="11">
        <v>100</v>
      </c>
      <c r="J17" s="11">
        <f>(G17/1000)/(H17/1000)</f>
        <v>0.33</v>
      </c>
      <c r="K17" s="11">
        <f>(G17/C8)/(H17/1000)</f>
        <v>3.6634103019538187</v>
      </c>
      <c r="M17" s="13"/>
      <c r="N17" s="14"/>
      <c r="O17" s="14"/>
      <c r="P17" s="15"/>
      <c r="Q17" s="11" t="s">
        <v>166</v>
      </c>
    </row>
    <row r="19" spans="1:17" x14ac:dyDescent="0.35">
      <c r="A19" s="1" t="s">
        <v>422</v>
      </c>
    </row>
    <row r="20" spans="1:17" ht="42.5" x14ac:dyDescent="0.35">
      <c r="G20" s="12" t="s">
        <v>426</v>
      </c>
      <c r="H20" s="12" t="s">
        <v>425</v>
      </c>
      <c r="J20" s="12" t="s">
        <v>167</v>
      </c>
      <c r="K20" s="12" t="s">
        <v>168</v>
      </c>
    </row>
    <row r="21" spans="1:17" x14ac:dyDescent="0.35">
      <c r="G21" s="11">
        <v>33</v>
      </c>
      <c r="H21" s="11">
        <v>200</v>
      </c>
      <c r="J21" s="11">
        <f>(G21/1000)/(H21/1000)</f>
        <v>0.16500000000000001</v>
      </c>
      <c r="K21" s="11">
        <f>(G21/C8)/(H21/1000)</f>
        <v>1.8317051509769093</v>
      </c>
      <c r="M21" s="13"/>
      <c r="N21" s="14"/>
      <c r="O21" s="14"/>
      <c r="P21" s="14"/>
      <c r="Q21" s="11" t="s">
        <v>166</v>
      </c>
    </row>
    <row r="23" spans="1:17" x14ac:dyDescent="0.35">
      <c r="A23" s="1" t="s">
        <v>423</v>
      </c>
    </row>
    <row r="24" spans="1:17" ht="43" thickBot="1" x14ac:dyDescent="0.4">
      <c r="G24" s="12" t="s">
        <v>426</v>
      </c>
      <c r="H24" s="12" t="s">
        <v>425</v>
      </c>
      <c r="J24" s="12" t="s">
        <v>167</v>
      </c>
      <c r="K24" s="12" t="s">
        <v>168</v>
      </c>
    </row>
    <row r="25" spans="1:17" ht="15" thickBot="1" x14ac:dyDescent="0.4">
      <c r="G25" s="11">
        <v>33.15</v>
      </c>
      <c r="H25" s="11">
        <v>250</v>
      </c>
      <c r="J25" s="11">
        <f>(G25/1000)/(H25/1000)</f>
        <v>0.1326</v>
      </c>
      <c r="K25" s="11">
        <f>(G25/C8)/(H25/1000)</f>
        <v>1.4720248667850799</v>
      </c>
      <c r="M25" s="16"/>
      <c r="N25" s="17"/>
      <c r="O25" s="17"/>
      <c r="P25" s="18"/>
      <c r="Q25" s="11" t="s">
        <v>166</v>
      </c>
    </row>
    <row r="27" spans="1:17" x14ac:dyDescent="0.35">
      <c r="A27" s="1" t="s">
        <v>424</v>
      </c>
    </row>
    <row r="28" spans="1:17" ht="42.5" x14ac:dyDescent="0.35">
      <c r="G28" s="12" t="s">
        <v>426</v>
      </c>
      <c r="H28" s="12" t="s">
        <v>425</v>
      </c>
      <c r="J28" s="12" t="s">
        <v>167</v>
      </c>
      <c r="K28" s="12" t="s">
        <v>168</v>
      </c>
    </row>
    <row r="29" spans="1:17" x14ac:dyDescent="0.35">
      <c r="G29" s="11">
        <v>33</v>
      </c>
      <c r="H29" s="11">
        <v>1000</v>
      </c>
      <c r="J29" s="11">
        <f>(G29/1000)/(H29/1000)</f>
        <v>3.3000000000000002E-2</v>
      </c>
      <c r="K29" s="11">
        <f>(G29/C8)/(H29/1000)</f>
        <v>0.36634103019538189</v>
      </c>
      <c r="M29" s="14"/>
      <c r="N29" s="14"/>
      <c r="O29" s="14"/>
      <c r="P29" s="14"/>
      <c r="Q29" s="11" t="s">
        <v>166</v>
      </c>
    </row>
    <row r="30" spans="1:17" x14ac:dyDescent="0.35">
      <c r="M30" s="13" t="s">
        <v>427</v>
      </c>
      <c r="N30" s="13"/>
    </row>
    <row r="31" spans="1:17" x14ac:dyDescent="0.35">
      <c r="M31" s="14" t="s">
        <v>428</v>
      </c>
    </row>
  </sheetData>
  <pageMargins left="0.7" right="0.7" top="0.78740157499999996" bottom="0.78740157499999996" header="0.3" footer="0.3"/>
  <pageSetup paperSize="9" scale="58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A2099-3726-4C5B-A764-D19C5B05F525}">
  <sheetPr>
    <pageSetUpPr fitToPage="1"/>
  </sheetPr>
  <dimension ref="A1:O57"/>
  <sheetViews>
    <sheetView topLeftCell="A10" zoomScale="70" zoomScaleNormal="70" workbookViewId="0">
      <selection activeCell="L48" sqref="L48:M55"/>
    </sheetView>
  </sheetViews>
  <sheetFormatPr baseColWidth="10" defaultColWidth="11.453125" defaultRowHeight="14" x14ac:dyDescent="0.3"/>
  <cols>
    <col min="1" max="1" width="35" style="11" bestFit="1" customWidth="1"/>
    <col min="2" max="2" width="35" style="11" customWidth="1"/>
    <col min="3" max="3" width="18.1796875" style="11" customWidth="1"/>
    <col min="4" max="4" width="16.81640625" style="11" bestFit="1" customWidth="1"/>
    <col min="5" max="5" width="29.7265625" style="11" customWidth="1"/>
    <col min="6" max="6" width="11.453125" style="11"/>
    <col min="7" max="7" width="23" style="11" customWidth="1"/>
    <col min="8" max="8" width="12.1796875" style="11" customWidth="1"/>
    <col min="9" max="9" width="9.26953125" style="11" customWidth="1"/>
    <col min="10" max="11" width="30.1796875" style="11" customWidth="1"/>
    <col min="12" max="12" width="18" style="11" bestFit="1" customWidth="1"/>
    <col min="13" max="13" width="15" style="11" customWidth="1"/>
    <col min="14" max="14" width="25.453125" style="19" customWidth="1"/>
    <col min="15" max="16384" width="11.453125" style="11"/>
  </cols>
  <sheetData>
    <row r="1" spans="1:15" ht="20" x14ac:dyDescent="0.4">
      <c r="A1" s="125" t="s">
        <v>431</v>
      </c>
      <c r="G1" s="94" t="s">
        <v>253</v>
      </c>
      <c r="H1" s="93" t="s">
        <v>430</v>
      </c>
      <c r="J1" s="90" t="s">
        <v>374</v>
      </c>
      <c r="K1" s="90"/>
    </row>
    <row r="3" spans="1:15" x14ac:dyDescent="0.3">
      <c r="A3" s="11" t="s">
        <v>375</v>
      </c>
      <c r="C3" s="90" t="s">
        <v>14</v>
      </c>
      <c r="D3" s="90">
        <v>1</v>
      </c>
      <c r="E3" s="11" t="s">
        <v>376</v>
      </c>
      <c r="F3" s="90" t="s">
        <v>20</v>
      </c>
      <c r="H3" s="1" t="s">
        <v>377</v>
      </c>
      <c r="I3" s="1"/>
      <c r="J3" s="1"/>
      <c r="K3" s="1"/>
      <c r="L3" s="1"/>
      <c r="M3" s="1"/>
      <c r="O3" s="1" t="s">
        <v>252</v>
      </c>
    </row>
    <row r="4" spans="1:15" x14ac:dyDescent="0.3">
      <c r="A4" s="11" t="s">
        <v>378</v>
      </c>
      <c r="C4" s="90" t="s">
        <v>15</v>
      </c>
      <c r="D4" s="90">
        <v>2</v>
      </c>
      <c r="E4" s="11" t="s">
        <v>379</v>
      </c>
      <c r="F4" s="90" t="s">
        <v>24</v>
      </c>
      <c r="H4" s="1" t="s">
        <v>380</v>
      </c>
      <c r="I4" s="1"/>
      <c r="J4" s="1"/>
      <c r="K4" s="1"/>
      <c r="L4" s="1"/>
      <c r="M4" s="1"/>
      <c r="O4" s="1" t="s">
        <v>252</v>
      </c>
    </row>
    <row r="5" spans="1:15" x14ac:dyDescent="0.3">
      <c r="A5" s="11" t="s">
        <v>381</v>
      </c>
      <c r="C5" s="90" t="s">
        <v>16</v>
      </c>
      <c r="D5" s="90">
        <v>3</v>
      </c>
      <c r="E5" s="11" t="s">
        <v>382</v>
      </c>
      <c r="F5" s="90" t="s">
        <v>25</v>
      </c>
    </row>
    <row r="6" spans="1:15" x14ac:dyDescent="0.3">
      <c r="A6" s="11" t="s">
        <v>383</v>
      </c>
      <c r="C6" s="90" t="s">
        <v>17</v>
      </c>
      <c r="D6" s="90">
        <v>4</v>
      </c>
      <c r="F6" s="90"/>
    </row>
    <row r="7" spans="1:15" x14ac:dyDescent="0.3">
      <c r="A7" s="11" t="s">
        <v>384</v>
      </c>
      <c r="C7" s="90" t="s">
        <v>177</v>
      </c>
      <c r="D7" s="90">
        <v>5</v>
      </c>
      <c r="H7" s="90"/>
      <c r="M7" s="19"/>
    </row>
    <row r="8" spans="1:15" ht="14.5" x14ac:dyDescent="0.35">
      <c r="A8" s="11" t="s">
        <v>251</v>
      </c>
      <c r="C8" s="92"/>
      <c r="D8" s="91" t="s">
        <v>27</v>
      </c>
      <c r="E8" s="87" t="s">
        <v>43</v>
      </c>
      <c r="M8" s="19"/>
    </row>
    <row r="11" spans="1:15" x14ac:dyDescent="0.3">
      <c r="A11" s="1" t="s">
        <v>385</v>
      </c>
      <c r="B11" s="1"/>
      <c r="C11" s="1" t="s">
        <v>250</v>
      </c>
      <c r="D11" s="1" t="s">
        <v>249</v>
      </c>
      <c r="E11" s="1" t="s">
        <v>248</v>
      </c>
      <c r="F11" s="1" t="s">
        <v>386</v>
      </c>
      <c r="G11" s="1" t="s">
        <v>387</v>
      </c>
      <c r="H11" s="1" t="s">
        <v>247</v>
      </c>
      <c r="I11" s="1" t="s">
        <v>246</v>
      </c>
      <c r="J11" s="7" t="str">
        <f>"solution with "&amp;D8&amp; " and AIBN"</f>
        <v>solution with CPDB and AIBN</v>
      </c>
      <c r="K11" s="7" t="s">
        <v>388</v>
      </c>
      <c r="L11" s="1" t="s">
        <v>389</v>
      </c>
      <c r="M11" s="1" t="str">
        <f>"V"&amp;"(Anisole)"</f>
        <v>V(Anisole)</v>
      </c>
      <c r="N11" s="4" t="s">
        <v>221</v>
      </c>
      <c r="O11" s="1" t="s">
        <v>390</v>
      </c>
    </row>
    <row r="12" spans="1:15" x14ac:dyDescent="0.3">
      <c r="C12" s="11" t="s">
        <v>70</v>
      </c>
      <c r="D12" s="11" t="s">
        <v>182</v>
      </c>
      <c r="E12" s="11" t="s">
        <v>183</v>
      </c>
      <c r="G12" s="11" t="s">
        <v>182</v>
      </c>
      <c r="H12" s="11" t="s">
        <v>183</v>
      </c>
      <c r="I12" s="11" t="s">
        <v>183</v>
      </c>
      <c r="J12" s="11" t="str">
        <f>"c("&amp;D8&amp;") = 33,5 mmol/L"</f>
        <v>c(CPDB) = 33,5 mmol/L</v>
      </c>
      <c r="L12" s="11" t="s">
        <v>182</v>
      </c>
      <c r="M12" s="11" t="s">
        <v>182</v>
      </c>
      <c r="N12" s="22" t="s">
        <v>182</v>
      </c>
      <c r="O12" s="11" t="s">
        <v>182</v>
      </c>
    </row>
    <row r="13" spans="1:15" x14ac:dyDescent="0.3">
      <c r="A13" s="11" t="str">
        <f>"MRG-"&amp;H1&amp;"-"&amp;D3&amp;"-"&amp;E8&amp;"-"&amp;F3&amp;""</f>
        <v>MRG-0XX-X-X-1-A-DMF</v>
      </c>
      <c r="B13" s="11">
        <v>1</v>
      </c>
      <c r="C13" s="90">
        <v>1.0415000000000001</v>
      </c>
      <c r="D13" s="87">
        <v>1.1499999999999999</v>
      </c>
      <c r="E13" s="11">
        <v>10</v>
      </c>
      <c r="F13" s="11">
        <v>1</v>
      </c>
      <c r="G13" s="1">
        <v>1.99</v>
      </c>
      <c r="H13" s="11">
        <v>6.6699999999999995E-2</v>
      </c>
      <c r="I13" s="11">
        <v>1.6670000000000001E-2</v>
      </c>
      <c r="J13" s="11" t="s">
        <v>245</v>
      </c>
      <c r="K13" s="11" t="s">
        <v>391</v>
      </c>
      <c r="L13" s="89">
        <f>IF(K13="Anisole",0,2.5)</f>
        <v>0</v>
      </c>
      <c r="M13" s="89">
        <f>IF(K13="Anisole",0.4,0)</f>
        <v>0.4</v>
      </c>
      <c r="N13" s="88">
        <f>10-M13-G13-D13-L13</f>
        <v>6.4599999999999991</v>
      </c>
      <c r="O13" s="1">
        <f>SUM(D13,G13,M13,N13,L13)</f>
        <v>9.9999999999999982</v>
      </c>
    </row>
    <row r="14" spans="1:15" x14ac:dyDescent="0.3">
      <c r="A14" s="11" t="str">
        <f>"MRG-"&amp;H1&amp;"-"&amp;D3&amp;"-"&amp;E8&amp;"-"&amp;F4&amp;""</f>
        <v>MRG-0XX-X-X-1-A-DMSO</v>
      </c>
      <c r="B14" s="11">
        <v>2</v>
      </c>
      <c r="C14" s="11">
        <f>C13</f>
        <v>1.0415000000000001</v>
      </c>
      <c r="D14" s="1">
        <f>D13</f>
        <v>1.1499999999999999</v>
      </c>
      <c r="E14" s="11">
        <v>10</v>
      </c>
      <c r="F14" s="11">
        <v>2</v>
      </c>
      <c r="G14" s="1">
        <f>G13</f>
        <v>1.99</v>
      </c>
      <c r="H14" s="11">
        <v>6.6699999999999995E-2</v>
      </c>
      <c r="I14" s="11">
        <v>1.6670000000000001E-2</v>
      </c>
      <c r="K14" s="11" t="s">
        <v>391</v>
      </c>
      <c r="L14" s="89">
        <f>IF(K14="Anisole",0,2.5)</f>
        <v>0</v>
      </c>
      <c r="M14" s="89">
        <f>IF(K14="Anisole",0.4,0)</f>
        <v>0.4</v>
      </c>
      <c r="N14" s="88">
        <f>10-M14-G14-D14-L14</f>
        <v>6.4599999999999991</v>
      </c>
      <c r="O14" s="1">
        <f>SUM(D14,G14,M14,N14,L14)</f>
        <v>9.9999999999999982</v>
      </c>
    </row>
    <row r="15" spans="1:15" x14ac:dyDescent="0.3">
      <c r="A15" s="11" t="str">
        <f>"MRG-"&amp;H1&amp;"-"&amp;D3&amp;"-"&amp;E8&amp;"-"&amp;F5&amp;""</f>
        <v>MRG-0XX-X-X-1-A-Tol</v>
      </c>
      <c r="B15" s="11">
        <v>3</v>
      </c>
      <c r="C15" s="11">
        <f>C13</f>
        <v>1.0415000000000001</v>
      </c>
      <c r="D15" s="1">
        <f>D14</f>
        <v>1.1499999999999999</v>
      </c>
      <c r="E15" s="11">
        <v>10</v>
      </c>
      <c r="F15" s="11">
        <v>3</v>
      </c>
      <c r="G15" s="1">
        <f>G14</f>
        <v>1.99</v>
      </c>
      <c r="H15" s="11">
        <v>6.6699999999999995E-2</v>
      </c>
      <c r="I15" s="11">
        <v>1.6670000000000001E-2</v>
      </c>
      <c r="K15" s="11" t="s">
        <v>391</v>
      </c>
      <c r="L15" s="89">
        <f>IF(K15="Anisole",0,2.5)</f>
        <v>0</v>
      </c>
      <c r="M15" s="89">
        <f>IF(K15="Anisole",0.4,0)</f>
        <v>0.4</v>
      </c>
      <c r="N15" s="88">
        <f>10-M15-G15-D15-L15</f>
        <v>6.4599999999999991</v>
      </c>
      <c r="O15" s="1">
        <f>SUM(D15,G15,M15,N15,L15)</f>
        <v>9.9999999999999982</v>
      </c>
    </row>
    <row r="16" spans="1:15" x14ac:dyDescent="0.3">
      <c r="D16" s="1"/>
      <c r="G16" s="1"/>
      <c r="L16" s="89"/>
      <c r="M16" s="89"/>
      <c r="N16" s="9"/>
      <c r="O16" s="1"/>
    </row>
    <row r="17" spans="1:15" x14ac:dyDescent="0.3">
      <c r="D17" s="1"/>
      <c r="G17" s="1"/>
      <c r="L17" s="89"/>
      <c r="M17" s="89"/>
      <c r="N17" s="9"/>
      <c r="O17" s="1"/>
    </row>
    <row r="18" spans="1:15" x14ac:dyDescent="0.3">
      <c r="D18" s="1"/>
      <c r="G18" s="1"/>
      <c r="L18" s="89"/>
      <c r="M18" s="89"/>
      <c r="N18" s="9"/>
      <c r="O18" s="1"/>
    </row>
    <row r="19" spans="1:15" x14ac:dyDescent="0.3">
      <c r="A19" s="11" t="str">
        <f>"MRG-"&amp;H1&amp;"-"&amp;D4&amp;"-"&amp;E8&amp;"-"&amp;F3&amp;""</f>
        <v>MRG-0XX-X-X-2-A-DMF</v>
      </c>
      <c r="B19" s="11">
        <v>4</v>
      </c>
      <c r="C19" s="90">
        <v>1.3859999999999999</v>
      </c>
      <c r="D19" s="87">
        <v>1.2709999999999999</v>
      </c>
      <c r="E19" s="11">
        <v>10</v>
      </c>
      <c r="F19" s="11">
        <v>4</v>
      </c>
      <c r="G19" s="1">
        <v>1.99</v>
      </c>
      <c r="H19" s="11">
        <v>6.6699999999999995E-2</v>
      </c>
      <c r="I19" s="11">
        <v>1.6670000000000001E-2</v>
      </c>
      <c r="K19" s="11" t="s">
        <v>391</v>
      </c>
      <c r="L19" s="89">
        <f>IF(K19="Anisole",0,2.5)</f>
        <v>0</v>
      </c>
      <c r="M19" s="89">
        <f>IF(K19="Anisole",0.4,0)</f>
        <v>0.4</v>
      </c>
      <c r="N19" s="88">
        <f>10-M19-G19-D19-L19</f>
        <v>6.3389999999999995</v>
      </c>
      <c r="O19" s="1">
        <f>SUM(D19,G19,M19,N19,L19)</f>
        <v>10</v>
      </c>
    </row>
    <row r="20" spans="1:15" x14ac:dyDescent="0.3">
      <c r="A20" s="11" t="str">
        <f>"MRG-"&amp;H1&amp;"-"&amp;D4&amp;"-"&amp;E8&amp;"-"&amp;F4&amp;""</f>
        <v>MRG-0XX-X-X-2-A-DMSO</v>
      </c>
      <c r="B20" s="11">
        <v>5</v>
      </c>
      <c r="C20" s="11">
        <f>C19</f>
        <v>1.3859999999999999</v>
      </c>
      <c r="D20" s="1">
        <f>D19</f>
        <v>1.2709999999999999</v>
      </c>
      <c r="E20" s="11">
        <v>10</v>
      </c>
      <c r="F20" s="11">
        <v>5</v>
      </c>
      <c r="G20" s="1">
        <v>1.99</v>
      </c>
      <c r="H20" s="11">
        <v>6.6699999999999995E-2</v>
      </c>
      <c r="I20" s="11">
        <v>1.6670000000000001E-2</v>
      </c>
      <c r="K20" s="11" t="s">
        <v>391</v>
      </c>
      <c r="L20" s="89">
        <f>IF(K20="Anisole",0,2.5)</f>
        <v>0</v>
      </c>
      <c r="M20" s="89">
        <f>IF(K20="Anisole",0.4,0)</f>
        <v>0.4</v>
      </c>
      <c r="N20" s="88">
        <f>10-M20-G20-D20-L20</f>
        <v>6.3389999999999995</v>
      </c>
      <c r="O20" s="1">
        <f>SUM(D20,G20,M20,N20,L20)</f>
        <v>10</v>
      </c>
    </row>
    <row r="21" spans="1:15" x14ac:dyDescent="0.3">
      <c r="A21" s="11" t="str">
        <f>"MRG-"&amp;H1&amp;"-"&amp;D4&amp;"-"&amp;E8&amp;"-"&amp;F5&amp;""</f>
        <v>MRG-0XX-X-X-2-A-Tol</v>
      </c>
      <c r="B21" s="11">
        <v>6</v>
      </c>
      <c r="C21" s="11">
        <f>C20</f>
        <v>1.3859999999999999</v>
      </c>
      <c r="D21" s="1">
        <f>D20</f>
        <v>1.2709999999999999</v>
      </c>
      <c r="E21" s="11">
        <v>10</v>
      </c>
      <c r="F21" s="11">
        <v>6</v>
      </c>
      <c r="G21" s="1">
        <v>1.99</v>
      </c>
      <c r="H21" s="11">
        <v>6.6699999999999995E-2</v>
      </c>
      <c r="I21" s="11">
        <v>1.6670000000000001E-2</v>
      </c>
      <c r="K21" s="11" t="s">
        <v>391</v>
      </c>
      <c r="L21" s="89">
        <f>IF(K21="Anisole",0,2.5)</f>
        <v>0</v>
      </c>
      <c r="M21" s="89">
        <f>IF(K21="Anisole",0.4,0)</f>
        <v>0.4</v>
      </c>
      <c r="N21" s="88">
        <f>10-M21-G21-D21-L21</f>
        <v>6.3389999999999995</v>
      </c>
      <c r="O21" s="1">
        <f>SUM(D21,G21,M21,N21,L21)</f>
        <v>10</v>
      </c>
    </row>
    <row r="22" spans="1:15" x14ac:dyDescent="0.3">
      <c r="D22" s="1"/>
      <c r="G22" s="1"/>
      <c r="L22" s="89"/>
      <c r="M22" s="89"/>
      <c r="N22" s="9"/>
      <c r="O22" s="1"/>
    </row>
    <row r="23" spans="1:15" x14ac:dyDescent="0.3">
      <c r="D23" s="1"/>
      <c r="G23" s="1"/>
      <c r="L23" s="89"/>
      <c r="M23" s="89"/>
      <c r="N23" s="9"/>
      <c r="O23" s="1"/>
    </row>
    <row r="24" spans="1:15" x14ac:dyDescent="0.3">
      <c r="D24" s="1"/>
      <c r="G24" s="1"/>
      <c r="L24" s="89"/>
      <c r="M24" s="89"/>
      <c r="N24" s="9"/>
      <c r="O24" s="1"/>
    </row>
    <row r="25" spans="1:15" x14ac:dyDescent="0.3">
      <c r="A25" s="11" t="str">
        <f>"MRG-"&amp;H1&amp;"-"&amp;D5&amp;"-"&amp;E8&amp;"-"&amp;F3&amp;""</f>
        <v>MRG-0XX-X-X-3-A-DMF</v>
      </c>
      <c r="B25" s="11">
        <v>7</v>
      </c>
      <c r="C25" s="90">
        <v>1.8305</v>
      </c>
      <c r="D25" s="87">
        <v>1.3080000000000001</v>
      </c>
      <c r="E25" s="11">
        <v>10</v>
      </c>
      <c r="F25" s="11">
        <v>7</v>
      </c>
      <c r="G25" s="1">
        <v>1.99</v>
      </c>
      <c r="H25" s="11">
        <v>6.6699999999999995E-2</v>
      </c>
      <c r="I25" s="11">
        <v>1.6670000000000001E-2</v>
      </c>
      <c r="K25" s="11" t="s">
        <v>391</v>
      </c>
      <c r="L25" s="89">
        <f>IF(K25="Anisole",0,2.5)</f>
        <v>0</v>
      </c>
      <c r="M25" s="89">
        <f>IF(K25="Anisole",0.4,0)</f>
        <v>0.4</v>
      </c>
      <c r="N25" s="88">
        <f>10-M25-G25-D25-L25</f>
        <v>6.3019999999999996</v>
      </c>
      <c r="O25" s="1">
        <f>SUM(D25,G25,M25,N25,L25)</f>
        <v>10</v>
      </c>
    </row>
    <row r="26" spans="1:15" x14ac:dyDescent="0.3">
      <c r="A26" s="11" t="str">
        <f>"MRG-"&amp;H1&amp;"-"&amp;D5&amp;"-"&amp;E8&amp;"-"&amp;F4&amp;""</f>
        <v>MRG-0XX-X-X-3-A-DMSO</v>
      </c>
      <c r="B26" s="11">
        <v>8</v>
      </c>
      <c r="C26" s="11">
        <f>C25</f>
        <v>1.8305</v>
      </c>
      <c r="D26" s="1">
        <f>D25</f>
        <v>1.3080000000000001</v>
      </c>
      <c r="E26" s="11">
        <v>10</v>
      </c>
      <c r="F26" s="11">
        <v>8</v>
      </c>
      <c r="G26" s="1">
        <v>1.99</v>
      </c>
      <c r="H26" s="11">
        <v>6.6699999999999995E-2</v>
      </c>
      <c r="I26" s="11">
        <v>1.6670000000000001E-2</v>
      </c>
      <c r="K26" s="11" t="s">
        <v>391</v>
      </c>
      <c r="L26" s="89">
        <f>IF(K26="Anisole",0,2.5)</f>
        <v>0</v>
      </c>
      <c r="M26" s="89">
        <f>IF(K26="Anisole",0.4,0)</f>
        <v>0.4</v>
      </c>
      <c r="N26" s="88">
        <f>10-M26-G26-D26-L26</f>
        <v>6.3019999999999996</v>
      </c>
      <c r="O26" s="1">
        <f>SUM(D26,G26,M26,N26,L26)</f>
        <v>10</v>
      </c>
    </row>
    <row r="27" spans="1:15" x14ac:dyDescent="0.3">
      <c r="A27" s="11" t="str">
        <f>"MRG-"&amp;H1&amp;"-"&amp;D5&amp;"-"&amp;E8&amp;"-"&amp;F5&amp;""</f>
        <v>MRG-0XX-X-X-3-A-Tol</v>
      </c>
      <c r="B27" s="11">
        <v>9</v>
      </c>
      <c r="C27" s="11">
        <f>C26</f>
        <v>1.8305</v>
      </c>
      <c r="D27" s="1">
        <f>D26</f>
        <v>1.3080000000000001</v>
      </c>
      <c r="E27" s="11">
        <v>10</v>
      </c>
      <c r="F27" s="11">
        <v>9</v>
      </c>
      <c r="G27" s="1">
        <v>1.99</v>
      </c>
      <c r="H27" s="11">
        <v>6.6699999999999995E-2</v>
      </c>
      <c r="I27" s="11">
        <v>1.6670000000000001E-2</v>
      </c>
      <c r="K27" s="11" t="s">
        <v>391</v>
      </c>
      <c r="L27" s="89">
        <f>IF(K27="Anisole",0,2.5)</f>
        <v>0</v>
      </c>
      <c r="M27" s="89">
        <f>IF(K27="Anisole",0.4,0)</f>
        <v>0.4</v>
      </c>
      <c r="N27" s="88">
        <f>10-M27-G27-D27-L27</f>
        <v>6.3019999999999996</v>
      </c>
      <c r="O27" s="1">
        <f>SUM(D27,G27,M27,N27,L27)</f>
        <v>10</v>
      </c>
    </row>
    <row r="28" spans="1:15" x14ac:dyDescent="0.3">
      <c r="D28" s="1"/>
      <c r="G28" s="1"/>
      <c r="L28" s="89"/>
      <c r="M28" s="89"/>
      <c r="N28" s="9"/>
      <c r="O28" s="1"/>
    </row>
    <row r="29" spans="1:15" x14ac:dyDescent="0.3">
      <c r="D29" s="1"/>
      <c r="G29" s="1"/>
      <c r="L29" s="89"/>
      <c r="M29" s="89"/>
      <c r="N29" s="9"/>
      <c r="O29" s="1"/>
    </row>
    <row r="30" spans="1:15" x14ac:dyDescent="0.3">
      <c r="D30" s="1"/>
      <c r="G30" s="1"/>
      <c r="L30" s="89"/>
      <c r="M30" s="89"/>
      <c r="O30" s="1"/>
    </row>
    <row r="31" spans="1:15" x14ac:dyDescent="0.3">
      <c r="A31" s="11" t="str">
        <f>"MRG-"&amp;H1&amp;"-"&amp;D6&amp;"-"&amp;E8&amp;"-"&amp;F3&amp;""</f>
        <v>MRG-0XX-X-X-4-A-DMF</v>
      </c>
      <c r="B31" s="11">
        <v>10</v>
      </c>
      <c r="C31" s="90">
        <v>1.1818</v>
      </c>
      <c r="D31" s="87">
        <v>1.3180000000000001</v>
      </c>
      <c r="E31" s="11">
        <v>10</v>
      </c>
      <c r="F31" s="11">
        <v>10</v>
      </c>
      <c r="G31" s="1">
        <v>1.99</v>
      </c>
      <c r="H31" s="11">
        <v>6.6699999999999995E-2</v>
      </c>
      <c r="I31" s="11">
        <v>1.6670000000000001E-2</v>
      </c>
      <c r="K31" s="11" t="s">
        <v>391</v>
      </c>
      <c r="L31" s="89">
        <f>IF(K31="Anisole",0,2.5)</f>
        <v>0</v>
      </c>
      <c r="M31" s="89">
        <f>IF(K31="Anisole",0.4,0)</f>
        <v>0.4</v>
      </c>
      <c r="N31" s="88">
        <f>10-M31-G31-D31-L31</f>
        <v>6.2919999999999998</v>
      </c>
      <c r="O31" s="1">
        <f>SUM(D31,G31,M31,N31,L31)</f>
        <v>10</v>
      </c>
    </row>
    <row r="32" spans="1:15" x14ac:dyDescent="0.3">
      <c r="A32" s="11" t="str">
        <f>"MRG-"&amp;H1&amp;"-"&amp;D6&amp;"-"&amp;E8&amp;"-"&amp;F4&amp;""</f>
        <v>MRG-0XX-X-X-4-A-DMSO</v>
      </c>
      <c r="B32" s="11">
        <v>11</v>
      </c>
      <c r="C32" s="11">
        <f>C31</f>
        <v>1.1818</v>
      </c>
      <c r="D32" s="1">
        <f>D31</f>
        <v>1.3180000000000001</v>
      </c>
      <c r="E32" s="11">
        <v>10</v>
      </c>
      <c r="F32" s="11">
        <v>11</v>
      </c>
      <c r="G32" s="1">
        <v>1.99</v>
      </c>
      <c r="H32" s="11">
        <v>6.6699999999999995E-2</v>
      </c>
      <c r="I32" s="11">
        <v>1.6670000000000001E-2</v>
      </c>
      <c r="K32" s="11" t="s">
        <v>391</v>
      </c>
      <c r="L32" s="89">
        <f>IF(K32="Anisole",0,2.5)</f>
        <v>0</v>
      </c>
      <c r="M32" s="89">
        <f>IF(K32="Anisole",0.4,0)</f>
        <v>0.4</v>
      </c>
      <c r="N32" s="88">
        <f>10-M32-G32-D32-L32</f>
        <v>6.2919999999999998</v>
      </c>
      <c r="O32" s="1">
        <f>SUM(D32,G32,M32,N32,L32)</f>
        <v>10</v>
      </c>
    </row>
    <row r="33" spans="1:15" x14ac:dyDescent="0.3">
      <c r="A33" s="11" t="str">
        <f>"MRG-"&amp;H1&amp;"-"&amp;D6&amp;"-"&amp;E8&amp;"-"&amp;F5&amp;""</f>
        <v>MRG-0XX-X-X-4-A-Tol</v>
      </c>
      <c r="B33" s="11">
        <v>12</v>
      </c>
      <c r="C33" s="11">
        <f>C32</f>
        <v>1.1818</v>
      </c>
      <c r="D33" s="1">
        <f>D32</f>
        <v>1.3180000000000001</v>
      </c>
      <c r="E33" s="11">
        <v>10</v>
      </c>
      <c r="F33" s="11">
        <v>12</v>
      </c>
      <c r="G33" s="1">
        <v>1.99</v>
      </c>
      <c r="H33" s="11">
        <v>6.6699999999999995E-2</v>
      </c>
      <c r="I33" s="11">
        <v>1.6670000000000001E-2</v>
      </c>
      <c r="K33" s="11" t="s">
        <v>391</v>
      </c>
      <c r="L33" s="89">
        <f>IF(K33="Anisole",0,2.5)</f>
        <v>0</v>
      </c>
      <c r="M33" s="89">
        <f>IF(K33="Anisole",0.4,0)</f>
        <v>0.4</v>
      </c>
      <c r="N33" s="88">
        <f>10-M33-G33-D33-L33</f>
        <v>6.2919999999999998</v>
      </c>
      <c r="O33" s="1">
        <f>SUM(D33,G33,M33,N33,L33)</f>
        <v>10</v>
      </c>
    </row>
    <row r="34" spans="1:15" x14ac:dyDescent="0.3">
      <c r="L34" s="89"/>
      <c r="M34" s="89"/>
      <c r="O34" s="1"/>
    </row>
    <row r="35" spans="1:15" x14ac:dyDescent="0.3">
      <c r="L35" s="89"/>
      <c r="M35" s="89"/>
      <c r="O35" s="1"/>
    </row>
    <row r="36" spans="1:15" x14ac:dyDescent="0.3">
      <c r="L36" s="89"/>
      <c r="M36" s="89"/>
      <c r="O36" s="1"/>
    </row>
    <row r="37" spans="1:15" x14ac:dyDescent="0.3">
      <c r="A37" s="11" t="str">
        <f>"MRG-"&amp;H1&amp;"-"&amp;D7&amp;"-"&amp;E8&amp;"-"&amp;F3&amp;""</f>
        <v>MRG-0XX-X-X-5-A-DMF</v>
      </c>
      <c r="B37" s="11">
        <v>13</v>
      </c>
      <c r="C37" s="11">
        <v>1.3418000000000001</v>
      </c>
      <c r="D37" s="87">
        <v>1.339</v>
      </c>
      <c r="E37" s="11">
        <v>10</v>
      </c>
      <c r="F37" s="11">
        <v>13</v>
      </c>
      <c r="G37" s="1">
        <v>1.99</v>
      </c>
      <c r="H37" s="11">
        <v>6.6699999999999995E-2</v>
      </c>
      <c r="I37" s="11">
        <v>1.6670000000000001E-2</v>
      </c>
      <c r="K37" s="11" t="s">
        <v>391</v>
      </c>
      <c r="L37" s="89">
        <f>IF(K37="Anisole",0,2.5)</f>
        <v>0</v>
      </c>
      <c r="M37" s="89">
        <f>IF(K37="Anisole",0.4,0)</f>
        <v>0.4</v>
      </c>
      <c r="N37" s="88">
        <f>10-M37-G37-D37-L37</f>
        <v>6.270999999999999</v>
      </c>
      <c r="O37" s="1">
        <f>SUM(D37,G37,M37,N37,L37)</f>
        <v>9.9999999999999982</v>
      </c>
    </row>
    <row r="38" spans="1:15" x14ac:dyDescent="0.3">
      <c r="A38" s="11" t="str">
        <f>"MRG-"&amp;H1&amp;"-"&amp;D7&amp;"-"&amp;E8&amp;"-"&amp;F4&amp;""</f>
        <v>MRG-0XX-X-X-5-A-DMSO</v>
      </c>
      <c r="B38" s="11">
        <v>14</v>
      </c>
      <c r="C38" s="11">
        <f>C37</f>
        <v>1.3418000000000001</v>
      </c>
      <c r="D38" s="1">
        <f>D37</f>
        <v>1.339</v>
      </c>
      <c r="E38" s="11">
        <v>10</v>
      </c>
      <c r="F38" s="11">
        <v>14</v>
      </c>
      <c r="G38" s="1">
        <v>1.99</v>
      </c>
      <c r="H38" s="11">
        <v>6.6699999999999995E-2</v>
      </c>
      <c r="I38" s="11">
        <v>1.6670000000000001E-2</v>
      </c>
      <c r="K38" s="11" t="s">
        <v>391</v>
      </c>
      <c r="L38" s="89">
        <f>IF(K38="Anisole",0,2.5)</f>
        <v>0</v>
      </c>
      <c r="M38" s="89">
        <f>IF(K38="Anisole",0.4,0)</f>
        <v>0.4</v>
      </c>
      <c r="N38" s="88">
        <f>10-M38-G38-D38-L38</f>
        <v>6.270999999999999</v>
      </c>
      <c r="O38" s="1">
        <f>SUM(D38,G38,M38,N38,L38)</f>
        <v>9.9999999999999982</v>
      </c>
    </row>
    <row r="39" spans="1:15" x14ac:dyDescent="0.3">
      <c r="A39" s="11" t="str">
        <f>"MRG-"&amp;H1&amp;"-"&amp;D7&amp;"-"&amp;E8&amp;"-"&amp;F5&amp;""</f>
        <v>MRG-0XX-X-X-5-A-Tol</v>
      </c>
      <c r="B39" s="11">
        <v>15</v>
      </c>
      <c r="C39" s="11">
        <f>C37</f>
        <v>1.3418000000000001</v>
      </c>
      <c r="D39" s="1">
        <f>D37</f>
        <v>1.339</v>
      </c>
      <c r="E39" s="11">
        <v>10</v>
      </c>
      <c r="F39" s="11">
        <v>15</v>
      </c>
      <c r="G39" s="1">
        <v>1.99</v>
      </c>
      <c r="H39" s="11">
        <v>6.6699999999999995E-2</v>
      </c>
      <c r="I39" s="11">
        <v>1.6670000000000001E-2</v>
      </c>
      <c r="K39" s="11" t="s">
        <v>391</v>
      </c>
      <c r="L39" s="89">
        <f>IF(K39="Anisole",0,2.5)</f>
        <v>0</v>
      </c>
      <c r="M39" s="89">
        <f>IF(K39="Anisole",0.4,0)</f>
        <v>0.4</v>
      </c>
      <c r="N39" s="88">
        <f>10-M39-G39-D39-L39</f>
        <v>6.270999999999999</v>
      </c>
      <c r="O39" s="1">
        <f>SUM(D39,G39,M39,N39,L39)</f>
        <v>9.9999999999999982</v>
      </c>
    </row>
    <row r="40" spans="1:15" x14ac:dyDescent="0.3">
      <c r="L40" s="87"/>
    </row>
    <row r="48" spans="1:15" x14ac:dyDescent="0.3">
      <c r="C48" s="1" t="s">
        <v>213</v>
      </c>
      <c r="D48" s="1" t="str">
        <f xml:space="preserve"> ""&amp;C3&amp;" total:"</f>
        <v>Styrene total:</v>
      </c>
      <c r="G48" s="1" t="str">
        <f xml:space="preserve"> "total volume RAFT in "&amp;F3&amp;""</f>
        <v>total volume RAFT in DMF</v>
      </c>
      <c r="L48" s="1" t="s">
        <v>432</v>
      </c>
      <c r="M48" s="1"/>
      <c r="N48" s="9" t="str">
        <f xml:space="preserve"> "volume "&amp;F3&amp; " total:"</f>
        <v>volume DMF total:</v>
      </c>
    </row>
    <row r="49" spans="3:15" x14ac:dyDescent="0.3">
      <c r="C49" s="1"/>
      <c r="D49" s="1">
        <f>SUM(D13:D16)</f>
        <v>3.4499999999999997</v>
      </c>
      <c r="E49" s="11" t="s">
        <v>190</v>
      </c>
      <c r="G49" s="1">
        <f>SUM(G13,G19,G25,G31,G37)</f>
        <v>9.9499999999999993</v>
      </c>
      <c r="H49" s="11" t="s">
        <v>190</v>
      </c>
      <c r="L49" s="1">
        <f>SUM(M13:M39)</f>
        <v>6.0000000000000009</v>
      </c>
      <c r="M49" s="11" t="s">
        <v>190</v>
      </c>
      <c r="N49" s="9">
        <f>N13+N19+N25+N31+N37</f>
        <v>31.664000000000001</v>
      </c>
      <c r="O49" s="11" t="s">
        <v>190</v>
      </c>
    </row>
    <row r="50" spans="3:15" x14ac:dyDescent="0.3">
      <c r="C50" s="1" t="s">
        <v>244</v>
      </c>
      <c r="D50" s="1" t="str">
        <f xml:space="preserve"> ""&amp;C4&amp;" total:"</f>
        <v>4-Chlorostyrene total:</v>
      </c>
      <c r="G50" s="1" t="str">
        <f xml:space="preserve"> "total volume RAFT in "&amp;F4&amp;""</f>
        <v>total volume RAFT in DMSO</v>
      </c>
      <c r="L50" s="1" t="str">
        <f xml:space="preserve"> "Trioxane in "&amp;F3&amp;"  total:"</f>
        <v>Trioxane in DMF  total:</v>
      </c>
      <c r="N50" s="9" t="str">
        <f>"volume " &amp;F4&amp; " total:"</f>
        <v>volume DMSO total:</v>
      </c>
    </row>
    <row r="51" spans="3:15" x14ac:dyDescent="0.3">
      <c r="C51" s="1"/>
      <c r="D51" s="1">
        <f>SUM(D19:D22)</f>
        <v>3.8129999999999997</v>
      </c>
      <c r="E51" s="11" t="s">
        <v>190</v>
      </c>
      <c r="G51" s="1">
        <f>G14+G20+G26+G32+G38</f>
        <v>9.9499999999999993</v>
      </c>
      <c r="H51" s="11" t="s">
        <v>190</v>
      </c>
      <c r="L51" s="1">
        <f>SUM(L13,L19,L25,L31)</f>
        <v>0</v>
      </c>
      <c r="M51" s="11" t="s">
        <v>190</v>
      </c>
      <c r="N51" s="9">
        <f xml:space="preserve"> N14+N20+N26+N32+N38</f>
        <v>31.664000000000001</v>
      </c>
      <c r="O51" s="11" t="s">
        <v>190</v>
      </c>
    </row>
    <row r="52" spans="3:15" x14ac:dyDescent="0.3">
      <c r="C52" s="1" t="s">
        <v>243</v>
      </c>
      <c r="D52" s="1" t="str">
        <f xml:space="preserve"> ""&amp;C5&amp;" total:"</f>
        <v>4-Bromostyrene total:</v>
      </c>
      <c r="G52" s="1" t="str">
        <f xml:space="preserve"> "total volume RAFT in "&amp;F5&amp;""</f>
        <v>total volume RAFT in Tol</v>
      </c>
      <c r="L52" s="1" t="str">
        <f xml:space="preserve"> "Trioxane in "&amp;F4&amp;"  total:"</f>
        <v>Trioxane in DMSO  total:</v>
      </c>
      <c r="M52" s="1"/>
      <c r="N52" s="9" t="str">
        <f xml:space="preserve"> "volume "&amp;F5&amp;" total:"</f>
        <v>volume Tol total:</v>
      </c>
    </row>
    <row r="53" spans="3:15" x14ac:dyDescent="0.3">
      <c r="C53" s="1"/>
      <c r="D53" s="1">
        <f>SUM(D25:D28)</f>
        <v>3.9240000000000004</v>
      </c>
      <c r="E53" s="11" t="s">
        <v>190</v>
      </c>
      <c r="G53" s="1">
        <f>G21+G15+G27+G33+G39</f>
        <v>9.9499999999999993</v>
      </c>
      <c r="H53" s="11" t="s">
        <v>190</v>
      </c>
      <c r="L53" s="1">
        <f>SUM(L14,L20,L26,L32)</f>
        <v>0</v>
      </c>
      <c r="M53" s="11" t="s">
        <v>190</v>
      </c>
      <c r="N53" s="9">
        <f>N15+N21+N27+N33+N39</f>
        <v>31.664000000000001</v>
      </c>
      <c r="O53" s="11" t="s">
        <v>190</v>
      </c>
    </row>
    <row r="54" spans="3:15" x14ac:dyDescent="0.3">
      <c r="C54" s="1" t="s">
        <v>242</v>
      </c>
      <c r="D54" s="1" t="str">
        <f xml:space="preserve"> ""&amp;C6&amp;" total:"</f>
        <v>4-Methylstyrene total:</v>
      </c>
      <c r="G54" s="1"/>
      <c r="L54" s="1" t="str">
        <f xml:space="preserve"> "Trioxane in "&amp;F5&amp;"  total:"</f>
        <v>Trioxane in Tol  total:</v>
      </c>
      <c r="M54" s="1"/>
      <c r="N54" s="9"/>
    </row>
    <row r="55" spans="3:15" x14ac:dyDescent="0.3">
      <c r="D55" s="1">
        <f>SUM(D31:D33)</f>
        <v>3.9540000000000002</v>
      </c>
      <c r="E55" s="11" t="s">
        <v>190</v>
      </c>
      <c r="G55" s="1"/>
      <c r="L55" s="1">
        <f>SUM(L13,L19,L25,L31)</f>
        <v>0</v>
      </c>
      <c r="M55" s="11" t="s">
        <v>190</v>
      </c>
      <c r="N55" s="9"/>
    </row>
    <row r="56" spans="3:15" x14ac:dyDescent="0.3">
      <c r="C56" s="1" t="s">
        <v>241</v>
      </c>
      <c r="D56" s="1" t="str">
        <f xml:space="preserve"> ""&amp;C7&amp;" total:"</f>
        <v>4-Methoxystyrene total:</v>
      </c>
    </row>
    <row r="57" spans="3:15" x14ac:dyDescent="0.3">
      <c r="D57" s="1">
        <f>D37+D38+D39</f>
        <v>4.0169999999999995</v>
      </c>
      <c r="E57" s="11" t="s">
        <v>190</v>
      </c>
    </row>
  </sheetData>
  <pageMargins left="0.7" right="0.7" top="0.78740157499999996" bottom="0.78740157499999996" header="0.3" footer="0.3"/>
  <pageSetup paperSize="9" scale="6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9D8C6-E810-40CD-8917-7D5EEFD4C57C}">
  <dimension ref="A1:E98"/>
  <sheetViews>
    <sheetView topLeftCell="A53" workbookViewId="0">
      <selection activeCell="D92" sqref="D92"/>
    </sheetView>
  </sheetViews>
  <sheetFormatPr baseColWidth="10" defaultRowHeight="14.5" x14ac:dyDescent="0.35"/>
  <cols>
    <col min="1" max="1" width="4.7265625" customWidth="1"/>
    <col min="2" max="2" width="31.1796875" bestFit="1" customWidth="1"/>
    <col min="3" max="3" width="15.26953125" bestFit="1" customWidth="1"/>
    <col min="4" max="4" width="46" bestFit="1" customWidth="1"/>
  </cols>
  <sheetData>
    <row r="1" spans="1:5" ht="15" thickBot="1" x14ac:dyDescent="0.4">
      <c r="A1" s="115" t="s">
        <v>255</v>
      </c>
      <c r="B1" s="116" t="s">
        <v>392</v>
      </c>
      <c r="C1" s="115" t="s">
        <v>221</v>
      </c>
      <c r="D1" s="116" t="s">
        <v>393</v>
      </c>
      <c r="E1" s="117" t="s">
        <v>394</v>
      </c>
    </row>
    <row r="2" spans="1:5" x14ac:dyDescent="0.35">
      <c r="A2" s="19">
        <v>1</v>
      </c>
      <c r="B2" s="95" t="str">
        <f>"MRG-"&amp;'reagent overview'!H1&amp;"-"&amp;'reagent overview'!D3&amp;"-"&amp;'reagent overview'!E8&amp;"-"&amp;'reagent overview'!F3&amp;"-1-0h"</f>
        <v>MRG-0XX-X-X-1-A-DMF-1-0h</v>
      </c>
      <c r="C2" s="19" t="s">
        <v>254</v>
      </c>
      <c r="D2" s="22" t="str">
        <f>"MRG-"&amp;'reagent overview'!H1&amp;"-1-1-10"</f>
        <v>MRG-0XX-X-X-1-1-10</v>
      </c>
      <c r="E2" s="11" t="s">
        <v>256</v>
      </c>
    </row>
    <row r="3" spans="1:5" x14ac:dyDescent="0.35">
      <c r="A3" s="19">
        <v>2</v>
      </c>
      <c r="B3" s="95" t="str">
        <f>"MRG-"&amp;'reagent overview'!H1&amp;"-"&amp;'reagent overview'!D3&amp;"-"&amp;'reagent overview'!E8&amp;"-"&amp;'reagent overview'!F3&amp;"-1-1h"</f>
        <v>MRG-0XX-X-X-1-A-DMF-1-1h</v>
      </c>
      <c r="C3" s="19" t="s">
        <v>254</v>
      </c>
      <c r="D3" s="22" t="str">
        <f>"MRG-"&amp;'reagent overview'!H1&amp;"-1-1-20"</f>
        <v>MRG-0XX-X-X-1-1-20</v>
      </c>
      <c r="E3" s="11" t="s">
        <v>268</v>
      </c>
    </row>
    <row r="4" spans="1:5" x14ac:dyDescent="0.35">
      <c r="A4" s="19">
        <v>3</v>
      </c>
      <c r="B4" s="95" t="str">
        <f>"MRG-"&amp;'reagent overview'!H1&amp;"-"&amp;'reagent overview'!D3&amp;"-"&amp;'reagent overview'!E8&amp;"-"&amp;'reagent overview'!F3&amp;"-1-2h"</f>
        <v>MRG-0XX-X-X-1-A-DMF-1-2h</v>
      </c>
      <c r="C4" s="19" t="s">
        <v>254</v>
      </c>
      <c r="D4" s="22" t="str">
        <f>"MRG-"&amp;'reagent overview'!H1&amp;"-1-30"</f>
        <v>MRG-0XX-X-X-1-30</v>
      </c>
      <c r="E4" s="11" t="s">
        <v>270</v>
      </c>
    </row>
    <row r="5" spans="1:5" x14ac:dyDescent="0.35">
      <c r="A5" s="19">
        <v>4</v>
      </c>
      <c r="B5" s="95" t="str">
        <f>"MRG-"&amp;'reagent overview'!H1&amp;"-"&amp;'reagent overview'!D3&amp;"-"&amp;'reagent overview'!E8&amp;"-"&amp;'reagent overview'!F3&amp;"-1-4h"</f>
        <v>MRG-0XX-X-X-1-A-DMF-1-4h</v>
      </c>
      <c r="C5" s="19" t="s">
        <v>254</v>
      </c>
      <c r="D5" s="22" t="str">
        <f>"MRG-"&amp;'reagent overview'!H1&amp;"-1-40"</f>
        <v>MRG-0XX-X-X-1-40</v>
      </c>
      <c r="E5" s="11" t="s">
        <v>271</v>
      </c>
    </row>
    <row r="6" spans="1:5" x14ac:dyDescent="0.35">
      <c r="A6" s="19">
        <v>5</v>
      </c>
      <c r="B6" s="95" t="str">
        <f>"MRG-"&amp;'reagent overview'!H1&amp;"-"&amp;'reagent overview'!D3&amp;"-"&amp;'reagent overview'!E8&amp;"-"&amp;'reagent overview'!F3&amp;"-1-8h"</f>
        <v>MRG-0XX-X-X-1-A-DMF-1-8h</v>
      </c>
      <c r="C6" s="19" t="s">
        <v>254</v>
      </c>
      <c r="D6" s="22" t="str">
        <f>"MRG-"&amp;'reagent overview'!H1&amp;"-1-50"</f>
        <v>MRG-0XX-X-X-1-50</v>
      </c>
      <c r="E6" s="11" t="s">
        <v>272</v>
      </c>
    </row>
    <row r="7" spans="1:5" x14ac:dyDescent="0.35">
      <c r="A7" s="19">
        <v>6</v>
      </c>
      <c r="B7" s="95" t="str">
        <f>"MRG-"&amp;'reagent overview'!H1&amp;"-"&amp;'reagent overview'!D3&amp;"-"&amp;'reagent overview'!E8&amp;"-"&amp;'reagent overview'!F3&amp;"-1-15h"</f>
        <v>MRG-0XX-X-X-1-A-DMF-1-15h</v>
      </c>
      <c r="C7" s="19" t="s">
        <v>254</v>
      </c>
      <c r="D7" s="22" t="str">
        <f>"MRG-"&amp;'reagent overview'!H1&amp;"-1-60"</f>
        <v>MRG-0XX-X-X-1-60</v>
      </c>
      <c r="E7" s="11" t="s">
        <v>273</v>
      </c>
    </row>
    <row r="8" spans="1:5" x14ac:dyDescent="0.35">
      <c r="A8" s="19">
        <v>7</v>
      </c>
      <c r="B8" s="95" t="str">
        <f>"MRG-"&amp;'reagent overview'!H1&amp;"-"&amp;'reagent overview'!D3&amp;"-"&amp;'reagent overview'!E8&amp;"-"&amp;'reagent overview'!F4&amp;"-1-0h"</f>
        <v>MRG-0XX-X-X-1-A-DMSO-1-0h</v>
      </c>
      <c r="C8" s="19" t="s">
        <v>254</v>
      </c>
      <c r="D8" s="22" t="str">
        <f>"MRG-"&amp;'reagent overview'!H1&amp;"-1-70"</f>
        <v>MRG-0XX-X-X-1-70</v>
      </c>
      <c r="E8" s="11" t="s">
        <v>274</v>
      </c>
    </row>
    <row r="9" spans="1:5" x14ac:dyDescent="0.35">
      <c r="A9" s="19">
        <v>8</v>
      </c>
      <c r="B9" s="95" t="str">
        <f>"MRG-"&amp;'reagent overview'!H1&amp;"-"&amp;'reagent overview'!D3&amp;"-"&amp;'reagent overview'!E8&amp;"-"&amp;'reagent overview'!F4&amp;"-1-1h"</f>
        <v>MRG-0XX-X-X-1-A-DMSO-1-1h</v>
      </c>
      <c r="C9" s="19" t="s">
        <v>254</v>
      </c>
      <c r="D9" s="22" t="str">
        <f>"MRG-"&amp;'reagent overview'!H1&amp;"-1-80"</f>
        <v>MRG-0XX-X-X-1-80</v>
      </c>
      <c r="E9" s="11" t="s">
        <v>275</v>
      </c>
    </row>
    <row r="10" spans="1:5" x14ac:dyDescent="0.35">
      <c r="A10" s="19">
        <v>9</v>
      </c>
      <c r="B10" s="95" t="str">
        <f>"MRG-"&amp;'reagent overview'!H1&amp;"-"&amp;'reagent overview'!D3&amp;"-"&amp;'reagent overview'!E8&amp;"-"&amp;'reagent overview'!F4&amp;"-1-2h"</f>
        <v>MRG-0XX-X-X-1-A-DMSO-1-2h</v>
      </c>
      <c r="C10" s="19" t="s">
        <v>254</v>
      </c>
      <c r="D10" s="22" t="str">
        <f>"MRG-"&amp;'reagent overview'!H1&amp;"-1-90"</f>
        <v>MRG-0XX-X-X-1-90</v>
      </c>
      <c r="E10" s="11" t="s">
        <v>257</v>
      </c>
    </row>
    <row r="11" spans="1:5" x14ac:dyDescent="0.35">
      <c r="A11" s="19">
        <v>10</v>
      </c>
      <c r="B11" s="95" t="str">
        <f>"MRG-"&amp;'reagent overview'!H1&amp;"-"&amp;'reagent overview'!D3&amp;"-"&amp;'reagent overview'!E8&amp;"-"&amp;'reagent overview'!F4&amp;"-1-4h"</f>
        <v>MRG-0XX-X-X-1-A-DMSO-1-4h</v>
      </c>
      <c r="C11" s="19" t="s">
        <v>254</v>
      </c>
      <c r="D11" s="22" t="str">
        <f>"MRG-"&amp;'reagent overview'!H1&amp;"-1-100"</f>
        <v>MRG-0XX-X-X-1-100</v>
      </c>
      <c r="E11" s="11" t="s">
        <v>276</v>
      </c>
    </row>
    <row r="12" spans="1:5" x14ac:dyDescent="0.35">
      <c r="A12" s="19">
        <v>11</v>
      </c>
      <c r="B12" s="95" t="str">
        <f>"MRG-"&amp;'reagent overview'!H1&amp;"-"&amp;'reagent overview'!D3&amp;"-"&amp;'reagent overview'!E8&amp;"-"&amp;'reagent overview'!F4&amp;"-1-8h"</f>
        <v>MRG-0XX-X-X-1-A-DMSO-1-8h</v>
      </c>
      <c r="C12" s="19" t="s">
        <v>254</v>
      </c>
      <c r="D12" s="22" t="str">
        <f>"MRG-"&amp;'reagent overview'!H1&amp;"-1-110"</f>
        <v>MRG-0XX-X-X-1-110</v>
      </c>
      <c r="E12" s="11" t="s">
        <v>277</v>
      </c>
    </row>
    <row r="13" spans="1:5" x14ac:dyDescent="0.35">
      <c r="A13" s="19">
        <v>12</v>
      </c>
      <c r="B13" s="95" t="str">
        <f>"MRG-"&amp;'reagent overview'!H1&amp;"-"&amp;'reagent overview'!D3&amp;"-"&amp;'reagent overview'!E8&amp;"-"&amp;'reagent overview'!F4&amp;"-1-15h"</f>
        <v>MRG-0XX-X-X-1-A-DMSO-1-15h</v>
      </c>
      <c r="C13" s="19" t="s">
        <v>254</v>
      </c>
      <c r="D13" s="22" t="str">
        <f>"MRG-"&amp;'reagent overview'!H1&amp;"-1-120"</f>
        <v>MRG-0XX-X-X-1-120</v>
      </c>
      <c r="E13" s="11" t="s">
        <v>278</v>
      </c>
    </row>
    <row r="14" spans="1:5" x14ac:dyDescent="0.35">
      <c r="A14" s="19">
        <v>13</v>
      </c>
      <c r="B14" s="95" t="str">
        <f>"MRG-"&amp;'reagent overview'!H1&amp;"-"&amp;'reagent overview'!D3&amp;"-"&amp;'reagent overview'!E8&amp;"-"&amp;'reagent overview'!F5&amp;"-1-0h"</f>
        <v>MRG-0XX-X-X-1-A-Tol-1-0h</v>
      </c>
      <c r="C14" s="19" t="s">
        <v>254</v>
      </c>
      <c r="D14" s="22" t="str">
        <f>"MRG-"&amp;'reagent overview'!H1&amp;"-1-130"</f>
        <v>MRG-0XX-X-X-1-130</v>
      </c>
      <c r="E14" s="11" t="s">
        <v>279</v>
      </c>
    </row>
    <row r="15" spans="1:5" x14ac:dyDescent="0.35">
      <c r="A15" s="19">
        <v>14</v>
      </c>
      <c r="B15" s="95" t="str">
        <f>"MRG-"&amp;'reagent overview'!H1&amp;"-"&amp;'reagent overview'!D3&amp;"-"&amp;'reagent overview'!E8&amp;"-"&amp;'reagent overview'!F5&amp;"-1-1h"</f>
        <v>MRG-0XX-X-X-1-A-Tol-1-1h</v>
      </c>
      <c r="C15" s="19" t="s">
        <v>254</v>
      </c>
      <c r="D15" s="22" t="str">
        <f>"MRG-"&amp;'reagent overview'!H1&amp;"-1-140"</f>
        <v>MRG-0XX-X-X-1-140</v>
      </c>
      <c r="E15" s="11" t="s">
        <v>280</v>
      </c>
    </row>
    <row r="16" spans="1:5" x14ac:dyDescent="0.35">
      <c r="A16" s="19">
        <v>15</v>
      </c>
      <c r="B16" s="95" t="str">
        <f>"MRG-"&amp;'reagent overview'!H1&amp;"-"&amp;'reagent overview'!D3&amp;"-"&amp;'reagent overview'!E8&amp;"-"&amp;'reagent overview'!F5&amp;"-1-2h"</f>
        <v>MRG-0XX-X-X-1-A-Tol-1-2h</v>
      </c>
      <c r="C16" s="19" t="s">
        <v>254</v>
      </c>
      <c r="D16" s="22" t="str">
        <f>"MRG-"&amp;'reagent overview'!H1&amp;"-1-150"</f>
        <v>MRG-0XX-X-X-1-150</v>
      </c>
      <c r="E16" s="11" t="s">
        <v>281</v>
      </c>
    </row>
    <row r="17" spans="1:5" x14ac:dyDescent="0.35">
      <c r="A17" s="19">
        <v>16</v>
      </c>
      <c r="B17" s="95" t="str">
        <f>"MRG-"&amp;'reagent overview'!H1&amp;"-"&amp;'reagent overview'!D3&amp;"-"&amp;'reagent overview'!E8&amp;"-"&amp;'reagent overview'!F5&amp;"-1-4h"</f>
        <v>MRG-0XX-X-X-1-A-Tol-1-4h</v>
      </c>
      <c r="C17" s="19" t="s">
        <v>254</v>
      </c>
      <c r="D17" s="22" t="str">
        <f>"MRG-"&amp;'reagent overview'!H1&amp;"-1-160"</f>
        <v>MRG-0XX-X-X-1-160</v>
      </c>
      <c r="E17" s="11" t="s">
        <v>282</v>
      </c>
    </row>
    <row r="18" spans="1:5" x14ac:dyDescent="0.35">
      <c r="A18" s="19">
        <v>17</v>
      </c>
      <c r="B18" s="95" t="str">
        <f>"MRG-"&amp;'reagent overview'!H1&amp;"-"&amp;'reagent overview'!D3&amp;"-"&amp;'reagent overview'!E8&amp;"-"&amp;'reagent overview'!F5&amp;"-1-8h"</f>
        <v>MRG-0XX-X-X-1-A-Tol-1-8h</v>
      </c>
      <c r="C18" s="19" t="s">
        <v>254</v>
      </c>
      <c r="D18" s="22" t="str">
        <f>"MRG-"&amp;'reagent overview'!H1&amp;"-1-170"</f>
        <v>MRG-0XX-X-X-1-170</v>
      </c>
      <c r="E18" s="11" t="s">
        <v>258</v>
      </c>
    </row>
    <row r="19" spans="1:5" ht="15" thickBot="1" x14ac:dyDescent="0.4">
      <c r="A19" s="118">
        <v>18</v>
      </c>
      <c r="B19" s="119" t="str">
        <f>"MRG-"&amp;'reagent overview'!H1&amp;"-"&amp;'reagent overview'!D3&amp;"-"&amp;'reagent overview'!E8&amp;"-"&amp;'reagent overview'!F5&amp;"-1-15h"</f>
        <v>MRG-0XX-X-X-1-A-Tol-1-15h</v>
      </c>
      <c r="C19" s="118" t="s">
        <v>254</v>
      </c>
      <c r="D19" s="120" t="str">
        <f>"MRG-"&amp;'reagent overview'!H1&amp;"-1-180"</f>
        <v>MRG-0XX-X-X-1-180</v>
      </c>
      <c r="E19" s="41" t="s">
        <v>283</v>
      </c>
    </row>
    <row r="20" spans="1:5" x14ac:dyDescent="0.35">
      <c r="A20" s="19">
        <v>19</v>
      </c>
      <c r="B20" s="95" t="str">
        <f>"MRG-"&amp;'reagent overview'!H1&amp;"-"&amp;'reagent overview'!D4&amp;"-"&amp;'reagent overview'!E8&amp;"-"&amp;'reagent overview'!F3&amp;"-1-0h"</f>
        <v>MRG-0XX-X-X-2-A-DMF-1-0h</v>
      </c>
      <c r="C20" s="19" t="s">
        <v>254</v>
      </c>
      <c r="D20" s="22" t="str">
        <f>"MRG-"&amp;'reagent overview'!H1&amp;"-1-190"</f>
        <v>MRG-0XX-X-X-1-190</v>
      </c>
      <c r="E20" s="11" t="s">
        <v>284</v>
      </c>
    </row>
    <row r="21" spans="1:5" x14ac:dyDescent="0.35">
      <c r="A21" s="19">
        <v>20</v>
      </c>
      <c r="B21" s="95" t="str">
        <f>"MRG-"&amp;'reagent overview'!H1&amp;"-"&amp;'reagent overview'!D4&amp;"-"&amp;'reagent overview'!E8&amp;"-"&amp;'reagent overview'!F3&amp;"-1-1h"</f>
        <v>MRG-0XX-X-X-2-A-DMF-1-1h</v>
      </c>
      <c r="C21" s="19" t="s">
        <v>254</v>
      </c>
      <c r="D21" s="22" t="str">
        <f>"MRG-"&amp;'reagent overview'!H1&amp;"-1-200"</f>
        <v>MRG-0XX-X-X-1-200</v>
      </c>
      <c r="E21" s="11" t="s">
        <v>285</v>
      </c>
    </row>
    <row r="22" spans="1:5" x14ac:dyDescent="0.35">
      <c r="A22" s="19">
        <v>21</v>
      </c>
      <c r="B22" s="95" t="str">
        <f>"MRG-"&amp;'reagent overview'!H1&amp;"-"&amp;'reagent overview'!D4&amp;"-"&amp;'reagent overview'!E8&amp;"-"&amp;'reagent overview'!F3&amp;"-1-2h"</f>
        <v>MRG-0XX-X-X-2-A-DMF-1-2h</v>
      </c>
      <c r="C22" s="19" t="s">
        <v>254</v>
      </c>
      <c r="D22" s="22" t="str">
        <f>"MRG-"&amp;'reagent overview'!H1&amp;"-1-210"</f>
        <v>MRG-0XX-X-X-1-210</v>
      </c>
      <c r="E22" s="11" t="s">
        <v>286</v>
      </c>
    </row>
    <row r="23" spans="1:5" x14ac:dyDescent="0.35">
      <c r="A23" s="19">
        <v>22</v>
      </c>
      <c r="B23" s="95" t="str">
        <f>"MRG-"&amp;'reagent overview'!H1&amp;"-"&amp;'reagent overview'!D4&amp;"-"&amp;'reagent overview'!E8&amp;"-"&amp;'reagent overview'!F3&amp;"-1-4h"</f>
        <v>MRG-0XX-X-X-2-A-DMF-1-4h</v>
      </c>
      <c r="C23" s="19" t="s">
        <v>254</v>
      </c>
      <c r="D23" s="22" t="str">
        <f>"MRG-"&amp;'reagent overview'!H1&amp;"-1-220"</f>
        <v>MRG-0XX-X-X-1-220</v>
      </c>
      <c r="E23" s="11" t="s">
        <v>287</v>
      </c>
    </row>
    <row r="24" spans="1:5" x14ac:dyDescent="0.35">
      <c r="A24" s="19">
        <v>23</v>
      </c>
      <c r="B24" s="95" t="str">
        <f>"MRG-"&amp;'reagent overview'!H1&amp;"-"&amp;'reagent overview'!D4&amp;"-"&amp;'reagent overview'!E8&amp;"-"&amp;'reagent overview'!F3&amp;"-1-8h"</f>
        <v>MRG-0XX-X-X-2-A-DMF-1-8h</v>
      </c>
      <c r="C24" s="19" t="s">
        <v>254</v>
      </c>
      <c r="D24" s="22" t="str">
        <f>"MRG-"&amp;'reagent overview'!H1&amp;"-1-230"</f>
        <v>MRG-0XX-X-X-1-230</v>
      </c>
      <c r="E24" s="11" t="s">
        <v>288</v>
      </c>
    </row>
    <row r="25" spans="1:5" x14ac:dyDescent="0.35">
      <c r="A25" s="19">
        <v>24</v>
      </c>
      <c r="B25" s="95" t="str">
        <f>"MRG-"&amp;'reagent overview'!H1&amp;"-"&amp;'reagent overview'!D4&amp;"-"&amp;'reagent overview'!E8&amp;"-"&amp;'reagent overview'!F3&amp;"-1-15h"</f>
        <v>MRG-0XX-X-X-2-A-DMF-1-15h</v>
      </c>
      <c r="C25" s="19" t="s">
        <v>254</v>
      </c>
      <c r="D25" s="22" t="str">
        <f>"MRG-"&amp;'reagent overview'!H1&amp;"-1-240"</f>
        <v>MRG-0XX-X-X-1-240</v>
      </c>
      <c r="E25" s="11" t="s">
        <v>289</v>
      </c>
    </row>
    <row r="26" spans="1:5" x14ac:dyDescent="0.35">
      <c r="A26" s="19">
        <v>25</v>
      </c>
      <c r="B26" s="95" t="str">
        <f>"MRG-"&amp;'reagent overview'!H1&amp;"-"&amp;'reagent overview'!D4&amp;"-"&amp;'reagent overview'!E8&amp;"-"&amp;'reagent overview'!F4&amp;"-1-0h"</f>
        <v>MRG-0XX-X-X-2-A-DMSO-1-0h</v>
      </c>
      <c r="C26" s="19" t="s">
        <v>254</v>
      </c>
      <c r="D26" s="22" t="str">
        <f>"MRG-"&amp;'reagent overview'!H1&amp;"-1-250"</f>
        <v>MRG-0XX-X-X-1-250</v>
      </c>
      <c r="E26" s="11" t="s">
        <v>259</v>
      </c>
    </row>
    <row r="27" spans="1:5" x14ac:dyDescent="0.35">
      <c r="A27" s="19">
        <v>26</v>
      </c>
      <c r="B27" s="95" t="str">
        <f>"MRG-"&amp;'reagent overview'!H1&amp;"-"&amp;'reagent overview'!D4&amp;"-"&amp;'reagent overview'!E8&amp;"-"&amp;'reagent overview'!F4&amp;"-1-1h"</f>
        <v>MRG-0XX-X-X-2-A-DMSO-1-1h</v>
      </c>
      <c r="C27" s="19" t="s">
        <v>254</v>
      </c>
      <c r="D27" s="22" t="str">
        <f>"MRG-"&amp;'reagent overview'!H1&amp;"-1-260"</f>
        <v>MRG-0XX-X-X-1-260</v>
      </c>
      <c r="E27" s="11" t="s">
        <v>290</v>
      </c>
    </row>
    <row r="28" spans="1:5" x14ac:dyDescent="0.35">
      <c r="A28" s="19">
        <v>27</v>
      </c>
      <c r="B28" s="95" t="str">
        <f>"MRG-"&amp;'reagent overview'!H1&amp;"-"&amp;'reagent overview'!D4&amp;"-"&amp;'reagent overview'!E8&amp;"-"&amp;'reagent overview'!F4&amp;"-1-2h"</f>
        <v>MRG-0XX-X-X-2-A-DMSO-1-2h</v>
      </c>
      <c r="C28" s="19" t="s">
        <v>254</v>
      </c>
      <c r="D28" s="22" t="str">
        <f>"MRG-"&amp;'reagent overview'!H1&amp;"-1-270"</f>
        <v>MRG-0XX-X-X-1-270</v>
      </c>
      <c r="E28" s="11" t="s">
        <v>291</v>
      </c>
    </row>
    <row r="29" spans="1:5" x14ac:dyDescent="0.35">
      <c r="A29" s="19">
        <v>28</v>
      </c>
      <c r="B29" s="95" t="str">
        <f>"MRG-"&amp;'reagent overview'!H1&amp;"-"&amp;'reagent overview'!D4&amp;"-"&amp;'reagent overview'!E8&amp;"-"&amp;'reagent overview'!F4&amp;"-1-4h"</f>
        <v>MRG-0XX-X-X-2-A-DMSO-1-4h</v>
      </c>
      <c r="C29" s="19" t="s">
        <v>254</v>
      </c>
      <c r="D29" s="22" t="str">
        <f>"MRG-"&amp;'reagent overview'!H1&amp;"-1-280"</f>
        <v>MRG-0XX-X-X-1-280</v>
      </c>
      <c r="E29" s="11" t="s">
        <v>292</v>
      </c>
    </row>
    <row r="30" spans="1:5" x14ac:dyDescent="0.35">
      <c r="A30" s="19">
        <v>29</v>
      </c>
      <c r="B30" s="95" t="str">
        <f>"MRG-"&amp;'reagent overview'!H1&amp;"-"&amp;'reagent overview'!D4&amp;"-"&amp;'reagent overview'!E8&amp;"-"&amp;'reagent overview'!F4&amp;"-1-8h"</f>
        <v>MRG-0XX-X-X-2-A-DMSO-1-8h</v>
      </c>
      <c r="C30" s="19" t="s">
        <v>254</v>
      </c>
      <c r="D30" s="22" t="str">
        <f>"MRG-"&amp;'reagent overview'!H1&amp;"-1-290"</f>
        <v>MRG-0XX-X-X-1-290</v>
      </c>
      <c r="E30" s="11" t="s">
        <v>293</v>
      </c>
    </row>
    <row r="31" spans="1:5" x14ac:dyDescent="0.35">
      <c r="A31" s="19">
        <v>30</v>
      </c>
      <c r="B31" s="95" t="str">
        <f>"MRG-"&amp;'reagent overview'!H1&amp;"-"&amp;'reagent overview'!D4&amp;"-"&amp;'reagent overview'!E8&amp;"-"&amp;'reagent overview'!F4&amp;"-1-15h"</f>
        <v>MRG-0XX-X-X-2-A-DMSO-1-15h</v>
      </c>
      <c r="C31" s="19" t="s">
        <v>254</v>
      </c>
      <c r="D31" s="22" t="str">
        <f>"MRG-"&amp;'reagent overview'!H1&amp;"-1-300"</f>
        <v>MRG-0XX-X-X-1-300</v>
      </c>
      <c r="E31" s="11" t="s">
        <v>294</v>
      </c>
    </row>
    <row r="32" spans="1:5" x14ac:dyDescent="0.35">
      <c r="A32" s="19">
        <v>31</v>
      </c>
      <c r="B32" s="95" t="str">
        <f>"MRG-"&amp;'reagent overview'!H1&amp;"-"&amp;'reagent overview'!D4&amp;"-"&amp;'reagent overview'!E8&amp;"-"&amp;'reagent overview'!F5&amp;"-1-0h"</f>
        <v>MRG-0XX-X-X-2-A-Tol-1-0h</v>
      </c>
      <c r="C32" s="19" t="s">
        <v>254</v>
      </c>
      <c r="D32" s="22" t="str">
        <f>"MRG-"&amp;'reagent overview'!H1&amp;"-1-310"</f>
        <v>MRG-0XX-X-X-1-310</v>
      </c>
      <c r="E32" s="11" t="s">
        <v>295</v>
      </c>
    </row>
    <row r="33" spans="1:5" x14ac:dyDescent="0.35">
      <c r="A33" s="19">
        <v>32</v>
      </c>
      <c r="B33" s="95" t="str">
        <f>"MRG-"&amp;'reagent overview'!H1&amp;"-"&amp;'reagent overview'!D4&amp;"-"&amp;'reagent overview'!E8&amp;"-"&amp;'reagent overview'!F5&amp;"-1-1h"</f>
        <v>MRG-0XX-X-X-2-A-Tol-1-1h</v>
      </c>
      <c r="C33" s="19" t="s">
        <v>254</v>
      </c>
      <c r="D33" s="22" t="str">
        <f>"MRG-"&amp;'reagent overview'!H1&amp;"-1-320"</f>
        <v>MRG-0XX-X-X-1-320</v>
      </c>
      <c r="E33" s="11" t="s">
        <v>296</v>
      </c>
    </row>
    <row r="34" spans="1:5" x14ac:dyDescent="0.35">
      <c r="A34" s="19">
        <v>33</v>
      </c>
      <c r="B34" s="95" t="str">
        <f>"MRG-"&amp;'reagent overview'!H1&amp;"-"&amp;'reagent overview'!D4&amp;"-"&amp;'reagent overview'!E8&amp;"-"&amp;'reagent overview'!F5&amp;"-1-2h"</f>
        <v>MRG-0XX-X-X-2-A-Tol-1-2h</v>
      </c>
      <c r="C34" s="19" t="s">
        <v>254</v>
      </c>
      <c r="D34" s="22" t="str">
        <f>"MRG-"&amp;'reagent overview'!H1&amp;"-1-330"</f>
        <v>MRG-0XX-X-X-1-330</v>
      </c>
      <c r="E34" s="11" t="s">
        <v>260</v>
      </c>
    </row>
    <row r="35" spans="1:5" x14ac:dyDescent="0.35">
      <c r="A35" s="19">
        <v>34</v>
      </c>
      <c r="B35" s="95" t="str">
        <f>"MRG-"&amp;'reagent overview'!H1&amp;"-"&amp;'reagent overview'!D4&amp;"-"&amp;'reagent overview'!E8&amp;"-"&amp;'reagent overview'!F5&amp;"-1-4h"</f>
        <v>MRG-0XX-X-X-2-A-Tol-1-4h</v>
      </c>
      <c r="C35" s="19" t="s">
        <v>254</v>
      </c>
      <c r="D35" s="22" t="str">
        <f>"MRG-"&amp;'reagent overview'!H1&amp;"-1-340"</f>
        <v>MRG-0XX-X-X-1-340</v>
      </c>
      <c r="E35" s="11" t="s">
        <v>297</v>
      </c>
    </row>
    <row r="36" spans="1:5" x14ac:dyDescent="0.35">
      <c r="A36" s="19">
        <v>35</v>
      </c>
      <c r="B36" s="95" t="str">
        <f>"MRG-"&amp;'reagent overview'!H1&amp;"-"&amp;'reagent overview'!D4&amp;"-"&amp;'reagent overview'!E8&amp;"-"&amp;'reagent overview'!F5&amp;"-1-8h"</f>
        <v>MRG-0XX-X-X-2-A-Tol-1-8h</v>
      </c>
      <c r="C36" s="19" t="s">
        <v>254</v>
      </c>
      <c r="D36" s="22" t="str">
        <f>"MRG-"&amp;'reagent overview'!H1&amp;"-1-350"</f>
        <v>MRG-0XX-X-X-1-350</v>
      </c>
      <c r="E36" s="11" t="s">
        <v>298</v>
      </c>
    </row>
    <row r="37" spans="1:5" ht="15" thickBot="1" x14ac:dyDescent="0.4">
      <c r="A37" s="118">
        <v>36</v>
      </c>
      <c r="B37" s="119" t="str">
        <f>"MRG-"&amp;'reagent overview'!H1&amp;"-"&amp;'reagent overview'!D4&amp;"-"&amp;'reagent overview'!E8&amp;"-"&amp;'reagent overview'!F5&amp;"-1-15h"</f>
        <v>MRG-0XX-X-X-2-A-Tol-1-15h</v>
      </c>
      <c r="C37" s="118" t="s">
        <v>254</v>
      </c>
      <c r="D37" s="120" t="str">
        <f>"MRG-"&amp;'reagent overview'!H1&amp;"-1-360"</f>
        <v>MRG-0XX-X-X-1-360</v>
      </c>
      <c r="E37" s="41" t="s">
        <v>299</v>
      </c>
    </row>
    <row r="38" spans="1:5" x14ac:dyDescent="0.35">
      <c r="A38" s="19">
        <v>37</v>
      </c>
      <c r="B38" s="95" t="str">
        <f>"MRG-"&amp;'reagent overview'!H1&amp;"-"&amp;'reagent overview'!D5&amp;"-"&amp;'reagent overview'!E8&amp;"-"&amp;'reagent overview'!F3&amp;"-1-0h"</f>
        <v>MRG-0XX-X-X-3-A-DMF-1-0h</v>
      </c>
      <c r="C38" s="19" t="s">
        <v>254</v>
      </c>
      <c r="D38" s="22" t="str">
        <f>"MRG-"&amp;'reagent overview'!H1&amp;"-1-370"</f>
        <v>MRG-0XX-X-X-1-370</v>
      </c>
      <c r="E38" s="11" t="s">
        <v>300</v>
      </c>
    </row>
    <row r="39" spans="1:5" x14ac:dyDescent="0.35">
      <c r="A39" s="19">
        <v>38</v>
      </c>
      <c r="B39" s="95" t="str">
        <f>"MRG-"&amp;'reagent overview'!H1&amp;"-"&amp;'reagent overview'!D5&amp;"-"&amp;'reagent overview'!E8&amp;"-"&amp;'reagent overview'!F3&amp;"-1-1h"</f>
        <v>MRG-0XX-X-X-3-A-DMF-1-1h</v>
      </c>
      <c r="C39" s="19" t="s">
        <v>254</v>
      </c>
      <c r="D39" s="22" t="str">
        <f>"MRG-"&amp;'reagent overview'!H1&amp;"-1-380"</f>
        <v>MRG-0XX-X-X-1-380</v>
      </c>
      <c r="E39" s="11" t="s">
        <v>301</v>
      </c>
    </row>
    <row r="40" spans="1:5" x14ac:dyDescent="0.35">
      <c r="A40" s="19">
        <v>39</v>
      </c>
      <c r="B40" s="95" t="str">
        <f>"MRG-"&amp;'reagent overview'!H1&amp;"-"&amp;'reagent overview'!D5&amp;"-"&amp;'reagent overview'!E8&amp;"-"&amp;'reagent overview'!F3&amp;"-1-2h"</f>
        <v>MRG-0XX-X-X-3-A-DMF-1-2h</v>
      </c>
      <c r="C40" s="19" t="s">
        <v>254</v>
      </c>
      <c r="D40" s="22" t="str">
        <f>"MRG-"&amp;'reagent overview'!H1&amp;"-1-390"</f>
        <v>MRG-0XX-X-X-1-390</v>
      </c>
      <c r="E40" s="11" t="s">
        <v>302</v>
      </c>
    </row>
    <row r="41" spans="1:5" x14ac:dyDescent="0.35">
      <c r="A41" s="19">
        <v>40</v>
      </c>
      <c r="B41" s="95" t="str">
        <f>"MRG-"&amp;'reagent overview'!H1&amp;"-"&amp;'reagent overview'!D5&amp;"-"&amp;'reagent overview'!E8&amp;"-"&amp;'reagent overview'!F3&amp;"-1-4h"</f>
        <v>MRG-0XX-X-X-3-A-DMF-1-4h</v>
      </c>
      <c r="C41" s="19" t="s">
        <v>254</v>
      </c>
      <c r="D41" s="22" t="str">
        <f>"MRG-"&amp;'reagent overview'!H1&amp;"-1-400"</f>
        <v>MRG-0XX-X-X-1-400</v>
      </c>
      <c r="E41" s="11" t="s">
        <v>303</v>
      </c>
    </row>
    <row r="42" spans="1:5" x14ac:dyDescent="0.35">
      <c r="A42" s="19">
        <v>41</v>
      </c>
      <c r="B42" s="95" t="str">
        <f>"MRG-"&amp;'reagent overview'!H1&amp;"-"&amp;'reagent overview'!D5&amp;"-"&amp;'reagent overview'!E8&amp;"-"&amp;'reagent overview'!F3&amp;"-1-8h"</f>
        <v>MRG-0XX-X-X-3-A-DMF-1-8h</v>
      </c>
      <c r="C42" s="19" t="s">
        <v>254</v>
      </c>
      <c r="D42" s="22" t="str">
        <f>"MRG-"&amp;'reagent overview'!H1&amp;"-1-410"</f>
        <v>MRG-0XX-X-X-1-410</v>
      </c>
      <c r="E42" s="11" t="s">
        <v>261</v>
      </c>
    </row>
    <row r="43" spans="1:5" x14ac:dyDescent="0.35">
      <c r="A43" s="19">
        <v>42</v>
      </c>
      <c r="B43" s="95" t="str">
        <f>"MRG-"&amp;'reagent overview'!H1&amp;"-"&amp;'reagent overview'!D5&amp;"-"&amp;'reagent overview'!E8&amp;"-"&amp;'reagent overview'!F3&amp;"-1-15h"</f>
        <v>MRG-0XX-X-X-3-A-DMF-1-15h</v>
      </c>
      <c r="C43" s="19" t="s">
        <v>254</v>
      </c>
      <c r="D43" s="22" t="str">
        <f>"MRG-"&amp;'reagent overview'!H1&amp;"-1-420"</f>
        <v>MRG-0XX-X-X-1-420</v>
      </c>
      <c r="E43" s="11" t="s">
        <v>269</v>
      </c>
    </row>
    <row r="44" spans="1:5" x14ac:dyDescent="0.35">
      <c r="A44" s="19">
        <v>43</v>
      </c>
      <c r="B44" s="95" t="str">
        <f>"MRG-"&amp;'reagent overview'!H1&amp;"-"&amp;'reagent overview'!D5&amp;"-"&amp;'reagent overview'!E8&amp;"-"&amp;'reagent overview'!F4&amp;"-1-0h"</f>
        <v>MRG-0XX-X-X-3-A-DMSO-1-0h</v>
      </c>
      <c r="C44" s="19" t="s">
        <v>254</v>
      </c>
      <c r="D44" s="22" t="str">
        <f>"MRG-"&amp;'reagent overview'!H1&amp;"-1-430"</f>
        <v>MRG-0XX-X-X-1-430</v>
      </c>
      <c r="E44" s="11" t="s">
        <v>304</v>
      </c>
    </row>
    <row r="45" spans="1:5" x14ac:dyDescent="0.35">
      <c r="A45" s="19">
        <v>44</v>
      </c>
      <c r="B45" s="95" t="str">
        <f>"MRG-"&amp;'reagent overview'!H1&amp;"-"&amp;'reagent overview'!D5&amp;"-"&amp;'reagent overview'!E8&amp;"-"&amp;'reagent overview'!F4&amp;"-1-1h"</f>
        <v>MRG-0XX-X-X-3-A-DMSO-1-1h</v>
      </c>
      <c r="C45" s="19" t="s">
        <v>254</v>
      </c>
      <c r="D45" s="22" t="str">
        <f>"MRG-"&amp;'reagent overview'!H1&amp;"-1-440"</f>
        <v>MRG-0XX-X-X-1-440</v>
      </c>
      <c r="E45" s="11" t="s">
        <v>305</v>
      </c>
    </row>
    <row r="46" spans="1:5" x14ac:dyDescent="0.35">
      <c r="A46" s="19">
        <v>45</v>
      </c>
      <c r="B46" s="95" t="str">
        <f>"MRG-"&amp;'reagent overview'!H1&amp;"-"&amp;'reagent overview'!D5&amp;"-"&amp;'reagent overview'!E8&amp;"-"&amp;'reagent overview'!F4&amp;"-1-2h"</f>
        <v>MRG-0XX-X-X-3-A-DMSO-1-2h</v>
      </c>
      <c r="C46" s="19" t="s">
        <v>254</v>
      </c>
      <c r="D46" s="22" t="str">
        <f>"MRG-"&amp;'reagent overview'!H1&amp;"-1-450"</f>
        <v>MRG-0XX-X-X-1-450</v>
      </c>
      <c r="E46" s="11" t="s">
        <v>306</v>
      </c>
    </row>
    <row r="47" spans="1:5" x14ac:dyDescent="0.35">
      <c r="A47" s="19">
        <v>46</v>
      </c>
      <c r="B47" s="95" t="str">
        <f>"MRG-"&amp;'reagent overview'!H1&amp;"-"&amp;'reagent overview'!D5&amp;"-"&amp;'reagent overview'!E8&amp;"-"&amp;'reagent overview'!F4&amp;"-1-4h"</f>
        <v>MRG-0XX-X-X-3-A-DMSO-1-4h</v>
      </c>
      <c r="C47" s="19" t="s">
        <v>254</v>
      </c>
      <c r="D47" s="22" t="str">
        <f>"MRG-"&amp;'reagent overview'!H1&amp;"-1-460"</f>
        <v>MRG-0XX-X-X-1-460</v>
      </c>
      <c r="E47" s="11" t="s">
        <v>307</v>
      </c>
    </row>
    <row r="48" spans="1:5" x14ac:dyDescent="0.35">
      <c r="A48" s="19">
        <v>47</v>
      </c>
      <c r="B48" s="95" t="str">
        <f>"MRG-"&amp;'reagent overview'!H1&amp;"-"&amp;'reagent overview'!D5&amp;"-"&amp;'reagent overview'!E8&amp;"-"&amp;'reagent overview'!F4&amp;"-1-8h"</f>
        <v>MRG-0XX-X-X-3-A-DMSO-1-8h</v>
      </c>
      <c r="C48" s="19" t="s">
        <v>254</v>
      </c>
      <c r="D48" s="22" t="str">
        <f>"MRG-"&amp;'reagent overview'!H1&amp;"-1-470"</f>
        <v>MRG-0XX-X-X-1-470</v>
      </c>
      <c r="E48" s="11" t="s">
        <v>308</v>
      </c>
    </row>
    <row r="49" spans="1:5" x14ac:dyDescent="0.35">
      <c r="A49" s="19">
        <v>48</v>
      </c>
      <c r="B49" s="95" t="str">
        <f>"MRG-"&amp;'reagent overview'!H1&amp;"-"&amp;'reagent overview'!D5&amp;"-"&amp;'reagent overview'!E8&amp;"-"&amp;'reagent overview'!F4&amp;"-1-15h"</f>
        <v>MRG-0XX-X-X-3-A-DMSO-1-15h</v>
      </c>
      <c r="C49" s="19" t="s">
        <v>254</v>
      </c>
      <c r="D49" s="22" t="str">
        <f>"MRG-"&amp;'reagent overview'!H1&amp;"-1-480"</f>
        <v>MRG-0XX-X-X-1-480</v>
      </c>
      <c r="E49" s="11" t="s">
        <v>309</v>
      </c>
    </row>
    <row r="50" spans="1:5" x14ac:dyDescent="0.35">
      <c r="A50" s="19">
        <v>49</v>
      </c>
      <c r="B50" s="95" t="str">
        <f>"MRG-"&amp;'reagent overview'!H1&amp;"-"&amp;'reagent overview'!D5&amp;"-"&amp;'reagent overview'!E8&amp;"-"&amp;'reagent overview'!F5&amp;"-1-0h"</f>
        <v>MRG-0XX-X-X-3-A-Tol-1-0h</v>
      </c>
      <c r="C50" s="19" t="s">
        <v>254</v>
      </c>
      <c r="D50" s="22" t="str">
        <f>"MRG-"&amp;'reagent overview'!H1&amp;"-1-490"</f>
        <v>MRG-0XX-X-X-1-490</v>
      </c>
      <c r="E50" s="11" t="s">
        <v>262</v>
      </c>
    </row>
    <row r="51" spans="1:5" x14ac:dyDescent="0.35">
      <c r="A51" s="19">
        <v>50</v>
      </c>
      <c r="B51" s="95" t="str">
        <f>"MRG-"&amp;'reagent overview'!H1&amp;"-"&amp;'reagent overview'!D5&amp;"-"&amp;'reagent overview'!E8&amp;"-"&amp;'reagent overview'!F5&amp;"-1-1h"</f>
        <v>MRG-0XX-X-X-3-A-Tol-1-1h</v>
      </c>
      <c r="C51" s="19" t="s">
        <v>254</v>
      </c>
      <c r="D51" s="22" t="str">
        <f>"MRG-"&amp;'reagent overview'!H1&amp;"-1-500"</f>
        <v>MRG-0XX-X-X-1-500</v>
      </c>
      <c r="E51" s="11" t="s">
        <v>310</v>
      </c>
    </row>
    <row r="52" spans="1:5" x14ac:dyDescent="0.35">
      <c r="A52" s="19">
        <v>51</v>
      </c>
      <c r="B52" s="95" t="str">
        <f>"MRG-"&amp;'reagent overview'!H1&amp;"-"&amp;'reagent overview'!D5&amp;"-"&amp;'reagent overview'!E8&amp;"-"&amp;'reagent overview'!F5&amp;"-1-2h"</f>
        <v>MRG-0XX-X-X-3-A-Tol-1-2h</v>
      </c>
      <c r="C52" s="19" t="s">
        <v>254</v>
      </c>
      <c r="D52" s="22" t="str">
        <f>"MRG-"&amp;'reagent overview'!H1&amp;"-1-510"</f>
        <v>MRG-0XX-X-X-1-510</v>
      </c>
      <c r="E52" s="11" t="s">
        <v>311</v>
      </c>
    </row>
    <row r="53" spans="1:5" x14ac:dyDescent="0.35">
      <c r="A53" s="19">
        <v>52</v>
      </c>
      <c r="B53" s="95" t="str">
        <f>"MRG-"&amp;'reagent overview'!H1&amp;"-"&amp;'reagent overview'!D5&amp;"-"&amp;'reagent overview'!E8&amp;"-"&amp;'reagent overview'!F5&amp;"-1-4h"</f>
        <v>MRG-0XX-X-X-3-A-Tol-1-4h</v>
      </c>
      <c r="C53" s="19" t="s">
        <v>254</v>
      </c>
      <c r="D53" s="22" t="str">
        <f>"MRG-"&amp;'reagent overview'!H1&amp;"-1-520"</f>
        <v>MRG-0XX-X-X-1-520</v>
      </c>
      <c r="E53" s="11" t="s">
        <v>312</v>
      </c>
    </row>
    <row r="54" spans="1:5" x14ac:dyDescent="0.35">
      <c r="A54" s="19">
        <v>53</v>
      </c>
      <c r="B54" s="95" t="str">
        <f>"MRG-"&amp;'reagent overview'!H1&amp;"-"&amp;'reagent overview'!D5&amp;"-"&amp;'reagent overview'!E8&amp;"-"&amp;'reagent overview'!F5&amp;"-1-8h"</f>
        <v>MRG-0XX-X-X-3-A-Tol-1-8h</v>
      </c>
      <c r="C54" s="19" t="s">
        <v>254</v>
      </c>
      <c r="D54" s="22" t="str">
        <f>"MRG-"&amp;'reagent overview'!H1&amp;"-1-530"</f>
        <v>MRG-0XX-X-X-1-530</v>
      </c>
      <c r="E54" s="11" t="s">
        <v>313</v>
      </c>
    </row>
    <row r="55" spans="1:5" ht="15" thickBot="1" x14ac:dyDescent="0.4">
      <c r="A55" s="118">
        <v>54</v>
      </c>
      <c r="B55" s="119" t="str">
        <f>"MRG-"&amp;'reagent overview'!H1&amp;"-"&amp;'reagent overview'!D5&amp;"-"&amp;'reagent overview'!E8&amp;"-"&amp;'reagent overview'!F5&amp;"-1-15h"</f>
        <v>MRG-0XX-X-X-3-A-Tol-1-15h</v>
      </c>
      <c r="C55" s="118" t="s">
        <v>254</v>
      </c>
      <c r="D55" s="120" t="str">
        <f>"MRG-"&amp;'reagent overview'!H1&amp;"-1-540"</f>
        <v>MRG-0XX-X-X-1-540</v>
      </c>
      <c r="E55" s="41" t="s">
        <v>314</v>
      </c>
    </row>
    <row r="56" spans="1:5" x14ac:dyDescent="0.35">
      <c r="A56" s="19">
        <v>55</v>
      </c>
      <c r="B56" s="95" t="str">
        <f>"MRG-"&amp;'reagent overview'!H1&amp;"-"&amp;'reagent overview'!D6&amp;"-"&amp;'reagent overview'!E8&amp;"-"&amp;'reagent overview'!F3&amp;"-1-0h"</f>
        <v>MRG-0XX-X-X-4-A-DMF-1-0h</v>
      </c>
      <c r="C56" s="19" t="s">
        <v>254</v>
      </c>
      <c r="D56" s="22" t="str">
        <f>"MRG-"&amp;'reagent overview'!H1&amp;"-1-550"</f>
        <v>MRG-0XX-X-X-1-550</v>
      </c>
      <c r="E56" s="11" t="s">
        <v>315</v>
      </c>
    </row>
    <row r="57" spans="1:5" x14ac:dyDescent="0.35">
      <c r="A57" s="19">
        <v>56</v>
      </c>
      <c r="B57" s="95" t="str">
        <f>"MRG-"&amp;'reagent overview'!H1&amp;"-"&amp;'reagent overview'!D6&amp;"-"&amp;'reagent overview'!E8&amp;"-"&amp;'reagent overview'!F3&amp;"-1-1h"</f>
        <v>MRG-0XX-X-X-4-A-DMF-1-1h</v>
      </c>
      <c r="C57" s="19" t="s">
        <v>254</v>
      </c>
      <c r="D57" s="22" t="str">
        <f>"MRG-"&amp;'reagent overview'!H1&amp;"-1-560"</f>
        <v>MRG-0XX-X-X-1-560</v>
      </c>
      <c r="E57" s="11" t="s">
        <v>316</v>
      </c>
    </row>
    <row r="58" spans="1:5" x14ac:dyDescent="0.35">
      <c r="A58" s="19">
        <v>57</v>
      </c>
      <c r="B58" s="95" t="str">
        <f>"MRG-"&amp;'reagent overview'!H1&amp;"-"&amp;'reagent overview'!D6&amp;"-"&amp;'reagent overview'!E8&amp;"-"&amp;'reagent overview'!F3&amp;"-1-2h"</f>
        <v>MRG-0XX-X-X-4-A-DMF-1-2h</v>
      </c>
      <c r="C58" s="19" t="s">
        <v>254</v>
      </c>
      <c r="D58" s="22" t="str">
        <f>"MRG-"&amp;'reagent overview'!H1&amp;"-1-570"</f>
        <v>MRG-0XX-X-X-1-570</v>
      </c>
      <c r="E58" s="11" t="s">
        <v>263</v>
      </c>
    </row>
    <row r="59" spans="1:5" x14ac:dyDescent="0.35">
      <c r="A59" s="19">
        <v>58</v>
      </c>
      <c r="B59" s="95" t="str">
        <f>"MRG-"&amp;'reagent overview'!H1&amp;"-"&amp;'reagent overview'!D6&amp;"-"&amp;'reagent overview'!E8&amp;"-"&amp;'reagent overview'!F3&amp;"-1-4h"</f>
        <v>MRG-0XX-X-X-4-A-DMF-1-4h</v>
      </c>
      <c r="C59" s="19" t="s">
        <v>254</v>
      </c>
      <c r="D59" s="22" t="str">
        <f>"MRG-"&amp;'reagent overview'!H1&amp;"-1-580"</f>
        <v>MRG-0XX-X-X-1-580</v>
      </c>
      <c r="E59" s="11" t="s">
        <v>317</v>
      </c>
    </row>
    <row r="60" spans="1:5" x14ac:dyDescent="0.35">
      <c r="A60" s="19">
        <v>59</v>
      </c>
      <c r="B60" s="95" t="str">
        <f>"MRG-"&amp;'reagent overview'!H1&amp;"-"&amp;'reagent overview'!D6&amp;"-"&amp;'reagent overview'!E8&amp;"-"&amp;'reagent overview'!F3&amp;"-1-8h"</f>
        <v>MRG-0XX-X-X-4-A-DMF-1-8h</v>
      </c>
      <c r="C60" s="19" t="s">
        <v>254</v>
      </c>
      <c r="D60" s="22" t="str">
        <f>"MRG-"&amp;'reagent overview'!H1&amp;"-1-590"</f>
        <v>MRG-0XX-X-X-1-590</v>
      </c>
      <c r="E60" s="11" t="s">
        <v>318</v>
      </c>
    </row>
    <row r="61" spans="1:5" x14ac:dyDescent="0.35">
      <c r="A61" s="19">
        <v>60</v>
      </c>
      <c r="B61" s="95" t="str">
        <f>"MRG-"&amp;'reagent overview'!H1&amp;"-"&amp;'reagent overview'!D6&amp;"-"&amp;'reagent overview'!E8&amp;"-"&amp;'reagent overview'!F3&amp;"-1-15h"</f>
        <v>MRG-0XX-X-X-4-A-DMF-1-15h</v>
      </c>
      <c r="C61" s="19" t="s">
        <v>254</v>
      </c>
      <c r="D61" s="22" t="str">
        <f>"MRG-"&amp;'reagent overview'!H1&amp;"-1-600"</f>
        <v>MRG-0XX-X-X-1-600</v>
      </c>
      <c r="E61" s="11" t="s">
        <v>319</v>
      </c>
    </row>
    <row r="62" spans="1:5" x14ac:dyDescent="0.35">
      <c r="A62" s="19">
        <v>61</v>
      </c>
      <c r="B62" s="95" t="str">
        <f>"MRG-"&amp;'reagent overview'!H1&amp;"-"&amp;'reagent overview'!D6&amp;"-"&amp;'reagent overview'!E8&amp;"-"&amp;'reagent overview'!F4&amp;"-1-0h"</f>
        <v>MRG-0XX-X-X-4-A-DMSO-1-0h</v>
      </c>
      <c r="C62" s="19" t="s">
        <v>254</v>
      </c>
      <c r="D62" s="22" t="str">
        <f>"MRG-"&amp;'reagent overview'!H1&amp;"-1-610"</f>
        <v>MRG-0XX-X-X-1-610</v>
      </c>
      <c r="E62" s="11" t="s">
        <v>320</v>
      </c>
    </row>
    <row r="63" spans="1:5" x14ac:dyDescent="0.35">
      <c r="A63" s="19">
        <v>62</v>
      </c>
      <c r="B63" s="95" t="str">
        <f>"MRG-"&amp;'reagent overview'!H1&amp;"-"&amp;'reagent overview'!D6&amp;"-"&amp;'reagent overview'!E8&amp;"-"&amp;'reagent overview'!F4&amp;"-1-1h"</f>
        <v>MRG-0XX-X-X-4-A-DMSO-1-1h</v>
      </c>
      <c r="C63" s="19" t="s">
        <v>254</v>
      </c>
      <c r="D63" s="22" t="str">
        <f>"MRG-"&amp;'reagent overview'!H1&amp;"-1-620"</f>
        <v>MRG-0XX-X-X-1-620</v>
      </c>
      <c r="E63" s="11" t="s">
        <v>321</v>
      </c>
    </row>
    <row r="64" spans="1:5" x14ac:dyDescent="0.35">
      <c r="A64" s="19">
        <v>63</v>
      </c>
      <c r="B64" s="95" t="str">
        <f>"MRG-"&amp;'reagent overview'!H1&amp;"-"&amp;'reagent overview'!D6&amp;"-"&amp;'reagent overview'!E8&amp;"-"&amp;'reagent overview'!F4&amp;"-1-2h"</f>
        <v>MRG-0XX-X-X-4-A-DMSO-1-2h</v>
      </c>
      <c r="C64" s="19" t="s">
        <v>254</v>
      </c>
      <c r="D64" s="22" t="str">
        <f>"MRG-"&amp;'reagent overview'!H1&amp;"-1-630"</f>
        <v>MRG-0XX-X-X-1-630</v>
      </c>
      <c r="E64" s="11" t="s">
        <v>322</v>
      </c>
    </row>
    <row r="65" spans="1:5" x14ac:dyDescent="0.35">
      <c r="A65" s="19">
        <v>64</v>
      </c>
      <c r="B65" s="95" t="str">
        <f>"MRG-"&amp;'reagent overview'!H1&amp;"-"&amp;'reagent overview'!D6&amp;"-"&amp;'reagent overview'!E8&amp;"-"&amp;'reagent overview'!F4&amp;"-1-4h"</f>
        <v>MRG-0XX-X-X-4-A-DMSO-1-4h</v>
      </c>
      <c r="C65" s="19" t="s">
        <v>254</v>
      </c>
      <c r="D65" s="22" t="str">
        <f>"MRG-"&amp;'reagent overview'!H1&amp;"-1-640"</f>
        <v>MRG-0XX-X-X-1-640</v>
      </c>
      <c r="E65" s="11" t="s">
        <v>323</v>
      </c>
    </row>
    <row r="66" spans="1:5" x14ac:dyDescent="0.35">
      <c r="A66" s="19">
        <v>65</v>
      </c>
      <c r="B66" s="95" t="str">
        <f>"MRG-"&amp;'reagent overview'!H1&amp;"-"&amp;'reagent overview'!D6&amp;"-"&amp;'reagent overview'!E8&amp;"-"&amp;'reagent overview'!F4&amp;"-1-8h"</f>
        <v>MRG-0XX-X-X-4-A-DMSO-1-8h</v>
      </c>
      <c r="C66" s="19" t="s">
        <v>254</v>
      </c>
      <c r="D66" s="22" t="str">
        <f>"MRG-"&amp;'reagent overview'!H1&amp;"-1-650"</f>
        <v>MRG-0XX-X-X-1-650</v>
      </c>
      <c r="E66" s="11" t="s">
        <v>264</v>
      </c>
    </row>
    <row r="67" spans="1:5" x14ac:dyDescent="0.35">
      <c r="A67" s="19">
        <v>66</v>
      </c>
      <c r="B67" s="95" t="str">
        <f>"MRG-"&amp;'reagent overview'!H1&amp;"-"&amp;'reagent overview'!D6&amp;"-"&amp;'reagent overview'!E8&amp;"-"&amp;'reagent overview'!F4&amp;"-1-15h"</f>
        <v>MRG-0XX-X-X-4-A-DMSO-1-15h</v>
      </c>
      <c r="C67" s="19" t="s">
        <v>254</v>
      </c>
      <c r="D67" s="22" t="str">
        <f>"MRG-"&amp;'reagent overview'!H1&amp;"-1-660"</f>
        <v>MRG-0XX-X-X-1-660</v>
      </c>
      <c r="E67" s="11" t="s">
        <v>324</v>
      </c>
    </row>
    <row r="68" spans="1:5" x14ac:dyDescent="0.35">
      <c r="A68" s="19">
        <v>67</v>
      </c>
      <c r="B68" s="95" t="str">
        <f>"MRG-"&amp;'reagent overview'!H1&amp;"-"&amp;'reagent overview'!D6&amp;"-"&amp;'reagent overview'!E8&amp;"-"&amp;'reagent overview'!F5&amp;"-1-0h"</f>
        <v>MRG-0XX-X-X-4-A-Tol-1-0h</v>
      </c>
      <c r="C68" s="19" t="s">
        <v>254</v>
      </c>
      <c r="D68" s="22" t="str">
        <f>"MRG-"&amp;'reagent overview'!H1&amp;"-1-670"</f>
        <v>MRG-0XX-X-X-1-670</v>
      </c>
      <c r="E68" s="11" t="s">
        <v>325</v>
      </c>
    </row>
    <row r="69" spans="1:5" x14ac:dyDescent="0.35">
      <c r="A69" s="19">
        <v>68</v>
      </c>
      <c r="B69" s="95" t="str">
        <f>"MRG-"&amp;'reagent overview'!H1&amp;"-"&amp;'reagent overview'!D6&amp;"-"&amp;'reagent overview'!E8&amp;"-"&amp;'reagent overview'!F5&amp;"-1-1h"</f>
        <v>MRG-0XX-X-X-4-A-Tol-1-1h</v>
      </c>
      <c r="C69" s="19" t="s">
        <v>254</v>
      </c>
      <c r="D69" s="22" t="str">
        <f>"MRG-"&amp;'reagent overview'!H1&amp;"-1-680"</f>
        <v>MRG-0XX-X-X-1-680</v>
      </c>
      <c r="E69" s="11" t="s">
        <v>326</v>
      </c>
    </row>
    <row r="70" spans="1:5" x14ac:dyDescent="0.35">
      <c r="A70" s="19">
        <v>69</v>
      </c>
      <c r="B70" s="95" t="str">
        <f>"MRG-"&amp;'reagent overview'!H1&amp;"-"&amp;'reagent overview'!D6&amp;"-"&amp;'reagent overview'!E8&amp;"-"&amp;'reagent overview'!F5&amp;"-1-2h"</f>
        <v>MRG-0XX-X-X-4-A-Tol-1-2h</v>
      </c>
      <c r="C70" s="19" t="s">
        <v>254</v>
      </c>
      <c r="D70" s="22" t="str">
        <f>"MRG-"&amp;'reagent overview'!H1&amp;"-1-690"</f>
        <v>MRG-0XX-X-X-1-690</v>
      </c>
      <c r="E70" s="11" t="s">
        <v>327</v>
      </c>
    </row>
    <row r="71" spans="1:5" x14ac:dyDescent="0.35">
      <c r="A71" s="19">
        <v>70</v>
      </c>
      <c r="B71" s="95" t="str">
        <f>"MRG-"&amp;'reagent overview'!H1&amp;"-"&amp;'reagent overview'!D6&amp;"-"&amp;'reagent overview'!E8&amp;"-"&amp;'reagent overview'!F5&amp;"-1-4h"</f>
        <v>MRG-0XX-X-X-4-A-Tol-1-4h</v>
      </c>
      <c r="C71" s="19" t="s">
        <v>254</v>
      </c>
      <c r="D71" s="22" t="str">
        <f>"MRG-"&amp;'reagent overview'!H1&amp;"-1-700"</f>
        <v>MRG-0XX-X-X-1-700</v>
      </c>
      <c r="E71" s="11" t="s">
        <v>328</v>
      </c>
    </row>
    <row r="72" spans="1:5" x14ac:dyDescent="0.35">
      <c r="A72" s="19">
        <v>71</v>
      </c>
      <c r="B72" s="95" t="str">
        <f>"MRG-"&amp;'reagent overview'!H1&amp;"-"&amp;'reagent overview'!D6&amp;"-"&amp;'reagent overview'!E8&amp;"-"&amp;'reagent overview'!F5&amp;"-1-8h"</f>
        <v>MRG-0XX-X-X-4-A-Tol-1-8h</v>
      </c>
      <c r="C72" s="19" t="s">
        <v>254</v>
      </c>
      <c r="D72" s="22" t="str">
        <f>"MRG-"&amp;'reagent overview'!H1&amp;"-1-710"</f>
        <v>MRG-0XX-X-X-1-710</v>
      </c>
      <c r="E72" s="11" t="s">
        <v>329</v>
      </c>
    </row>
    <row r="73" spans="1:5" ht="15" thickBot="1" x14ac:dyDescent="0.4">
      <c r="A73" s="118">
        <v>72</v>
      </c>
      <c r="B73" s="119" t="str">
        <f>"MRG-"&amp;'reagent overview'!H1&amp;"-"&amp;'reagent overview'!D6&amp;"-"&amp;'reagent overview'!E8&amp;"-"&amp;'reagent overview'!F5&amp;"-1-15h"</f>
        <v>MRG-0XX-X-X-4-A-Tol-1-15h</v>
      </c>
      <c r="C73" s="118" t="s">
        <v>254</v>
      </c>
      <c r="D73" s="120" t="str">
        <f>"MRG-"&amp;'reagent overview'!H1&amp;"-1-720"</f>
        <v>MRG-0XX-X-X-1-720</v>
      </c>
      <c r="E73" s="41" t="s">
        <v>330</v>
      </c>
    </row>
    <row r="74" spans="1:5" x14ac:dyDescent="0.35">
      <c r="A74" s="19">
        <v>73</v>
      </c>
      <c r="B74" s="11" t="str">
        <f>"MRG-"&amp;'reagent overview'!H1&amp;"-"&amp;'reagent overview'!D7&amp;"-"&amp;'reagent overview'!E8&amp;"-"&amp;'reagent overview'!F3&amp;"-1-0h"</f>
        <v>MRG-0XX-X-X-5-A-DMF-1-0h</v>
      </c>
      <c r="C74" s="19" t="s">
        <v>254</v>
      </c>
      <c r="D74" s="22" t="str">
        <f>"MRG-"&amp;'reagent overview'!H1&amp;"-1-730"</f>
        <v>MRG-0XX-X-X-1-730</v>
      </c>
      <c r="E74" s="11" t="s">
        <v>265</v>
      </c>
    </row>
    <row r="75" spans="1:5" x14ac:dyDescent="0.35">
      <c r="A75" s="19">
        <v>74</v>
      </c>
      <c r="B75" s="11" t="str">
        <f>"MRG-"&amp;'reagent overview'!H1&amp;"-"&amp;'reagent overview'!D7&amp;"-"&amp;'reagent overview'!E8&amp;"-"&amp;'reagent overview'!F3&amp;"-1-1h"</f>
        <v>MRG-0XX-X-X-5-A-DMF-1-1h</v>
      </c>
      <c r="C75" s="19" t="s">
        <v>254</v>
      </c>
      <c r="D75" s="22" t="str">
        <f>"MRG-"&amp;'reagent overview'!H1&amp;"-1-740"</f>
        <v>MRG-0XX-X-X-1-740</v>
      </c>
      <c r="E75" s="11" t="s">
        <v>331</v>
      </c>
    </row>
    <row r="76" spans="1:5" x14ac:dyDescent="0.35">
      <c r="A76" s="19">
        <v>75</v>
      </c>
      <c r="B76" s="11" t="str">
        <f>"MRG-"&amp;'reagent overview'!H1&amp;"-"&amp;'reagent overview'!D7&amp;"-"&amp;'reagent overview'!E8&amp;"-"&amp;'reagent overview'!F3&amp;"-1-2h"</f>
        <v>MRG-0XX-X-X-5-A-DMF-1-2h</v>
      </c>
      <c r="C76" s="19" t="s">
        <v>254</v>
      </c>
      <c r="D76" s="22" t="str">
        <f>"MRG-"&amp;'reagent overview'!H1&amp;"-1-750"</f>
        <v>MRG-0XX-X-X-1-750</v>
      </c>
      <c r="E76" s="11" t="s">
        <v>332</v>
      </c>
    </row>
    <row r="77" spans="1:5" x14ac:dyDescent="0.35">
      <c r="A77" s="19">
        <v>76</v>
      </c>
      <c r="B77" s="11" t="str">
        <f>"MRG-"&amp;'reagent overview'!H1&amp;"-"&amp;'reagent overview'!D7&amp;"-"&amp;'reagent overview'!E8&amp;"-"&amp;'reagent overview'!F3&amp;"-1-4h"</f>
        <v>MRG-0XX-X-X-5-A-DMF-1-4h</v>
      </c>
      <c r="C77" s="19" t="s">
        <v>254</v>
      </c>
      <c r="D77" s="22" t="str">
        <f>"MRG-"&amp;'reagent overview'!H1&amp;"-1-760"</f>
        <v>MRG-0XX-X-X-1-760</v>
      </c>
      <c r="E77" s="11" t="s">
        <v>333</v>
      </c>
    </row>
    <row r="78" spans="1:5" x14ac:dyDescent="0.35">
      <c r="A78" s="19">
        <v>77</v>
      </c>
      <c r="B78" s="11" t="str">
        <f>"MRG-"&amp;'reagent overview'!H1&amp;"-"&amp;'reagent overview'!D7&amp;"-"&amp;'reagent overview'!E8&amp;"-"&amp;'reagent overview'!F3&amp;"-1-8h"</f>
        <v>MRG-0XX-X-X-5-A-DMF-1-8h</v>
      </c>
      <c r="C78" s="19" t="s">
        <v>254</v>
      </c>
      <c r="D78" s="22" t="str">
        <f>"MRG-"&amp;'reagent overview'!H1&amp;"-1-770"</f>
        <v>MRG-0XX-X-X-1-770</v>
      </c>
      <c r="E78" s="11" t="s">
        <v>334</v>
      </c>
    </row>
    <row r="79" spans="1:5" x14ac:dyDescent="0.35">
      <c r="A79" s="19">
        <v>78</v>
      </c>
      <c r="B79" s="11" t="str">
        <f>"MRG-"&amp;'reagent overview'!H1&amp;"-"&amp;'reagent overview'!D7&amp;"-"&amp;'reagent overview'!E8&amp;"-"&amp;'reagent overview'!F3&amp;"-1-15h"</f>
        <v>MRG-0XX-X-X-5-A-DMF-1-15h</v>
      </c>
      <c r="C79" s="19" t="s">
        <v>254</v>
      </c>
      <c r="D79" s="22" t="str">
        <f>"MRG-"&amp;'reagent overview'!H1&amp;"-1-780"</f>
        <v>MRG-0XX-X-X-1-780</v>
      </c>
      <c r="E79" s="11" t="s">
        <v>335</v>
      </c>
    </row>
    <row r="80" spans="1:5" x14ac:dyDescent="0.35">
      <c r="A80" s="19">
        <v>79</v>
      </c>
      <c r="B80" s="11" t="str">
        <f>"MRG-"&amp;'reagent overview'!H1&amp;"-"&amp;'reagent overview'!D7&amp;"-"&amp;'reagent overview'!E8&amp;"-"&amp;'reagent overview'!F4&amp;"-1-0h"</f>
        <v>MRG-0XX-X-X-5-A-DMSO-1-0h</v>
      </c>
      <c r="C80" s="19" t="s">
        <v>254</v>
      </c>
      <c r="D80" s="22" t="str">
        <f>"MRG-"&amp;'reagent overview'!H1&amp;"-1-790"</f>
        <v>MRG-0XX-X-X-1-790</v>
      </c>
      <c r="E80" s="11" t="s">
        <v>336</v>
      </c>
    </row>
    <row r="81" spans="1:5" x14ac:dyDescent="0.35">
      <c r="A81" s="19">
        <v>80</v>
      </c>
      <c r="B81" s="11" t="str">
        <f>"MRG-"&amp;'reagent overview'!H1&amp;"-"&amp;'reagent overview'!D7&amp;"-"&amp;'reagent overview'!E8&amp;"-"&amp;'reagent overview'!F4&amp;"-1-1h"</f>
        <v>MRG-0XX-X-X-5-A-DMSO-1-1h</v>
      </c>
      <c r="C81" s="19" t="s">
        <v>254</v>
      </c>
      <c r="D81" s="22" t="str">
        <f>"MRG-"&amp;'reagent overview'!H1&amp;"-1-800"</f>
        <v>MRG-0XX-X-X-1-800</v>
      </c>
      <c r="E81" s="11" t="s">
        <v>337</v>
      </c>
    </row>
    <row r="82" spans="1:5" x14ac:dyDescent="0.35">
      <c r="A82" s="19">
        <v>81</v>
      </c>
      <c r="B82" s="11" t="str">
        <f>"MRG-"&amp;'reagent overview'!H1&amp;"-"&amp;'reagent overview'!D7&amp;"-"&amp;'reagent overview'!E8&amp;"-"&amp;'reagent overview'!F4&amp;"-1-2h"</f>
        <v>MRG-0XX-X-X-5-A-DMSO-1-2h</v>
      </c>
      <c r="C82" s="19" t="s">
        <v>254</v>
      </c>
      <c r="D82" s="22" t="str">
        <f>"MRG-"&amp;'reagent overview'!H1&amp;"-1-810"</f>
        <v>MRG-0XX-X-X-1-810</v>
      </c>
      <c r="E82" s="11" t="s">
        <v>266</v>
      </c>
    </row>
    <row r="83" spans="1:5" x14ac:dyDescent="0.35">
      <c r="A83" s="19">
        <v>82</v>
      </c>
      <c r="B83" s="11" t="str">
        <f>"MRG-"&amp;'reagent overview'!H1&amp;"-"&amp;'reagent overview'!D7&amp;"-"&amp;'reagent overview'!E8&amp;"-"&amp;'reagent overview'!F4&amp;"-1-4h"</f>
        <v>MRG-0XX-X-X-5-A-DMSO-1-4h</v>
      </c>
      <c r="C83" s="19" t="s">
        <v>254</v>
      </c>
      <c r="D83" s="22" t="str">
        <f>"MRG-"&amp;'reagent overview'!H1&amp;"-1-820"</f>
        <v>MRG-0XX-X-X-1-820</v>
      </c>
      <c r="E83" s="11" t="s">
        <v>338</v>
      </c>
    </row>
    <row r="84" spans="1:5" x14ac:dyDescent="0.35">
      <c r="A84" s="19">
        <v>83</v>
      </c>
      <c r="B84" s="11" t="str">
        <f>"MRG-"&amp;'reagent overview'!H1&amp;"-"&amp;'reagent overview'!D7&amp;"-"&amp;'reagent overview'!E8&amp;"-"&amp;'reagent overview'!F4&amp;"-1-8h"</f>
        <v>MRG-0XX-X-X-5-A-DMSO-1-8h</v>
      </c>
      <c r="C84" s="19" t="s">
        <v>254</v>
      </c>
      <c r="D84" s="22" t="str">
        <f>"MRG-"&amp;'reagent overview'!H1&amp;"-1-830"</f>
        <v>MRG-0XX-X-X-1-830</v>
      </c>
      <c r="E84" s="11" t="s">
        <v>339</v>
      </c>
    </row>
    <row r="85" spans="1:5" x14ac:dyDescent="0.35">
      <c r="A85" s="19">
        <v>84</v>
      </c>
      <c r="B85" s="11" t="str">
        <f>"MRG-"&amp;'reagent overview'!H1&amp;"-"&amp;'reagent overview'!D7&amp;"-"&amp;'reagent overview'!E8&amp;"-"&amp;'reagent overview'!F4&amp;"-1-15h"</f>
        <v>MRG-0XX-X-X-5-A-DMSO-1-15h</v>
      </c>
      <c r="C85" s="19" t="s">
        <v>254</v>
      </c>
      <c r="D85" s="22" t="str">
        <f>"MRG-"&amp;'reagent overview'!H1&amp;"-1-840"</f>
        <v>MRG-0XX-X-X-1-840</v>
      </c>
      <c r="E85" s="11" t="s">
        <v>340</v>
      </c>
    </row>
    <row r="86" spans="1:5" x14ac:dyDescent="0.35">
      <c r="A86" s="19">
        <v>85</v>
      </c>
      <c r="B86" s="11" t="str">
        <f>"MRG-"&amp;'reagent overview'!H1&amp;"-"&amp;'reagent overview'!D7&amp;"-"&amp;'reagent overview'!E8&amp;"-"&amp;'reagent overview'!F5&amp;"-1-0h"</f>
        <v>MRG-0XX-X-X-5-A-Tol-1-0h</v>
      </c>
      <c r="C86" s="19" t="s">
        <v>254</v>
      </c>
      <c r="D86" s="22" t="str">
        <f>"MRG-"&amp;'reagent overview'!H1&amp;"-1-850"</f>
        <v>MRG-0XX-X-X-1-850</v>
      </c>
      <c r="E86" s="11" t="s">
        <v>341</v>
      </c>
    </row>
    <row r="87" spans="1:5" x14ac:dyDescent="0.35">
      <c r="A87" s="19">
        <v>86</v>
      </c>
      <c r="B87" s="11" t="str">
        <f>"MRG-"&amp;'reagent overview'!H1&amp;"-"&amp;'reagent overview'!D7&amp;"-"&amp;'reagent overview'!E8&amp;"-"&amp;'reagent overview'!F5&amp;"-1-1h"</f>
        <v>MRG-0XX-X-X-5-A-Tol-1-1h</v>
      </c>
      <c r="C87" s="19" t="s">
        <v>254</v>
      </c>
      <c r="D87" s="22" t="str">
        <f>"MRG-"&amp;'reagent overview'!H1&amp;"-1-860"</f>
        <v>MRG-0XX-X-X-1-860</v>
      </c>
      <c r="E87" s="11" t="s">
        <v>342</v>
      </c>
    </row>
    <row r="88" spans="1:5" x14ac:dyDescent="0.35">
      <c r="A88" s="19">
        <v>87</v>
      </c>
      <c r="B88" s="11" t="str">
        <f>"MRG-"&amp;'reagent overview'!H1&amp;"-"&amp;'reagent overview'!D7&amp;"-"&amp;'reagent overview'!E8&amp;"-"&amp;'reagent overview'!F5&amp;"-1-2h"</f>
        <v>MRG-0XX-X-X-5-A-Tol-1-2h</v>
      </c>
      <c r="C88" s="19" t="s">
        <v>254</v>
      </c>
      <c r="D88" s="22" t="str">
        <f>"MRG-"&amp;'reagent overview'!H1&amp;"-1-870"</f>
        <v>MRG-0XX-X-X-1-870</v>
      </c>
      <c r="E88" s="11" t="s">
        <v>343</v>
      </c>
    </row>
    <row r="89" spans="1:5" x14ac:dyDescent="0.35">
      <c r="A89" s="19">
        <v>88</v>
      </c>
      <c r="B89" s="11" t="str">
        <f>"MRG-"&amp;'reagent overview'!H1&amp;"-"&amp;'reagent overview'!D7&amp;"-"&amp;'reagent overview'!E8&amp;"-"&amp;'reagent overview'!F5&amp;"-1-4h"</f>
        <v>MRG-0XX-X-X-5-A-Tol-1-4h</v>
      </c>
      <c r="C89" s="19" t="s">
        <v>254</v>
      </c>
      <c r="D89" s="22" t="str">
        <f>"MRG-"&amp;'reagent overview'!H1&amp;"-1-880"</f>
        <v>MRG-0XX-X-X-1-880</v>
      </c>
      <c r="E89" s="11" t="s">
        <v>344</v>
      </c>
    </row>
    <row r="90" spans="1:5" x14ac:dyDescent="0.35">
      <c r="A90" s="19">
        <v>89</v>
      </c>
      <c r="B90" s="11" t="str">
        <f>"MRG-"&amp;'reagent overview'!H1&amp;"-"&amp;'reagent overview'!D7&amp;"-"&amp;'reagent overview'!E8&amp;"-"&amp;'reagent overview'!F5&amp;"-1-8h"</f>
        <v>MRG-0XX-X-X-5-A-Tol-1-8h</v>
      </c>
      <c r="C90" s="19" t="s">
        <v>254</v>
      </c>
      <c r="D90" s="22" t="str">
        <f>"MRG-"&amp;'reagent overview'!H1&amp;"-1-890"</f>
        <v>MRG-0XX-X-X-1-890</v>
      </c>
      <c r="E90" s="11" t="s">
        <v>267</v>
      </c>
    </row>
    <row r="91" spans="1:5" ht="15" thickBot="1" x14ac:dyDescent="0.4">
      <c r="A91" s="118">
        <v>90</v>
      </c>
      <c r="B91" s="41" t="str">
        <f>"MRG-"&amp;'reagent overview'!H1&amp;"-"&amp;'reagent overview'!D7&amp;"-"&amp;'reagent overview'!E8&amp;"-"&amp;'reagent overview'!F5&amp;"-1-15h"</f>
        <v>MRG-0XX-X-X-5-A-Tol-1-15h</v>
      </c>
      <c r="C91" s="118" t="s">
        <v>254</v>
      </c>
      <c r="D91" s="120" t="str">
        <f>"MRG-"&amp;'reagent overview'!H1&amp;"-1-900"</f>
        <v>MRG-0XX-X-X-1-900</v>
      </c>
      <c r="E91" s="41" t="s">
        <v>345</v>
      </c>
    </row>
    <row r="92" spans="1:5" x14ac:dyDescent="0.35">
      <c r="C92" s="19"/>
    </row>
    <row r="93" spans="1:5" x14ac:dyDescent="0.35">
      <c r="C93" s="19"/>
    </row>
    <row r="94" spans="1:5" x14ac:dyDescent="0.35">
      <c r="C94" s="19"/>
    </row>
    <row r="95" spans="1:5" x14ac:dyDescent="0.35">
      <c r="C95" s="19"/>
    </row>
    <row r="96" spans="1:5" x14ac:dyDescent="0.35">
      <c r="C96" s="19"/>
    </row>
    <row r="97" spans="3:3" x14ac:dyDescent="0.35">
      <c r="C97" s="19"/>
    </row>
    <row r="98" spans="3:3" x14ac:dyDescent="0.35">
      <c r="C98" s="19"/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77F63-E775-4A42-A0CC-A55787CF57B8}">
  <sheetPr>
    <pageSetUpPr fitToPage="1"/>
  </sheetPr>
  <dimension ref="A1:T29"/>
  <sheetViews>
    <sheetView workbookViewId="0">
      <selection activeCell="M9" sqref="M9"/>
    </sheetView>
  </sheetViews>
  <sheetFormatPr baseColWidth="10" defaultColWidth="11.453125" defaultRowHeight="14" x14ac:dyDescent="0.3"/>
  <cols>
    <col min="1" max="1" width="11.453125" style="11"/>
    <col min="2" max="2" width="14.54296875" style="11" customWidth="1"/>
    <col min="3" max="3" width="15.7265625" style="11" bestFit="1" customWidth="1"/>
    <col min="4" max="4" width="15.453125" style="11" customWidth="1"/>
    <col min="5" max="5" width="14.54296875" style="11" customWidth="1"/>
    <col min="6" max="6" width="15.81640625" style="11" customWidth="1"/>
    <col min="7" max="7" width="14.81640625" style="11" customWidth="1"/>
    <col min="8" max="8" width="16.26953125" style="11" bestFit="1" customWidth="1"/>
    <col min="9" max="9" width="14.453125" style="11" customWidth="1"/>
    <col min="10" max="10" width="14.1796875" style="11" customWidth="1"/>
    <col min="11" max="11" width="14.7265625" style="11" customWidth="1"/>
    <col min="12" max="12" width="14" style="11" customWidth="1"/>
    <col min="13" max="13" width="14.7265625" style="11" customWidth="1"/>
    <col min="14" max="14" width="14.54296875" style="11" customWidth="1"/>
    <col min="15" max="15" width="14.1796875" style="11" customWidth="1"/>
    <col min="16" max="16" width="14" style="11" customWidth="1"/>
    <col min="17" max="16384" width="11.453125" style="11"/>
  </cols>
  <sheetData>
    <row r="1" spans="1:20" ht="28" x14ac:dyDescent="0.3">
      <c r="D1" s="1" t="str">
        <f>"SEC (MRG-"&amp;'reagent overview'!H1&amp;")"</f>
        <v>SEC (MRG-0XX-X-X)</v>
      </c>
      <c r="F1" s="12" t="s">
        <v>395</v>
      </c>
      <c r="I1" s="1"/>
    </row>
    <row r="3" spans="1:20" x14ac:dyDescent="0.3">
      <c r="L3" s="87" t="s">
        <v>396</v>
      </c>
    </row>
    <row r="5" spans="1:20" x14ac:dyDescent="0.3">
      <c r="B5" s="1" t="str">
        <f>'reagent overview'!C3</f>
        <v>Styrene</v>
      </c>
      <c r="E5" s="1" t="str">
        <f>'reagent overview'!C4</f>
        <v>4-Chlorostyrene</v>
      </c>
      <c r="F5" s="1"/>
      <c r="H5" s="1" t="str">
        <f xml:space="preserve"> 'reagent overview'!C5</f>
        <v>4-Bromostyrene</v>
      </c>
      <c r="L5" s="1" t="str">
        <f>'reagent overview'!C3</f>
        <v>Styrene</v>
      </c>
      <c r="O5" s="1" t="str">
        <f>'reagent overview'!C4</f>
        <v>4-Chlorostyrene</v>
      </c>
      <c r="P5" s="1"/>
      <c r="R5" s="1" t="str">
        <f xml:space="preserve"> 'reagent overview'!C5</f>
        <v>4-Bromostyrene</v>
      </c>
    </row>
    <row r="7" spans="1:20" x14ac:dyDescent="0.3">
      <c r="B7" s="11">
        <v>1</v>
      </c>
      <c r="C7" s="11">
        <v>2</v>
      </c>
      <c r="D7" s="11">
        <v>3</v>
      </c>
      <c r="E7" s="11">
        <v>4</v>
      </c>
      <c r="F7" s="107">
        <v>5</v>
      </c>
      <c r="G7" s="11">
        <v>6</v>
      </c>
      <c r="H7" s="11">
        <v>7</v>
      </c>
      <c r="I7" s="11">
        <v>8</v>
      </c>
      <c r="J7" s="11">
        <v>9</v>
      </c>
      <c r="L7" s="11">
        <v>1</v>
      </c>
      <c r="M7" s="11">
        <v>2</v>
      </c>
      <c r="N7" s="11">
        <v>3</v>
      </c>
      <c r="O7" s="11">
        <v>4</v>
      </c>
      <c r="P7" s="107">
        <v>5</v>
      </c>
      <c r="Q7" s="11">
        <v>6</v>
      </c>
      <c r="R7" s="11">
        <v>7</v>
      </c>
      <c r="S7" s="11">
        <v>8</v>
      </c>
      <c r="T7" s="11">
        <v>9</v>
      </c>
    </row>
    <row r="8" spans="1:20" ht="42" x14ac:dyDescent="0.3">
      <c r="A8" s="11">
        <v>1</v>
      </c>
      <c r="B8" s="106" t="str">
        <f>"MRG-"&amp;'reagent overview'!H1&amp;"-"&amp;'reagent overview'!D3&amp;"-"&amp;'reagent overview'!E8&amp;"-"&amp;'reagent overview'!F3&amp;"-1-0h"</f>
        <v>MRG-0XX-X-X-1-A-DMF-1-0h</v>
      </c>
      <c r="C8" s="96" t="str">
        <f>"MRG-"&amp;'reagent overview'!H1&amp;"-"&amp;'reagent overview'!D3&amp;"-"&amp;'reagent overview'!E8&amp;"-"&amp;'reagent overview'!F4&amp;"-1-0h"</f>
        <v>MRG-0XX-X-X-1-A-DMSO-1-0h</v>
      </c>
      <c r="D8" s="98" t="str">
        <f>"MRG-"&amp;'reagent overview'!H1&amp;"-"&amp;'reagent overview'!D3&amp;"-"&amp;'reagent overview'!E8&amp;"-"&amp;'reagent overview'!F5&amp;"-1-0h"</f>
        <v>MRG-0XX-X-X-1-A-Tol-1-0h</v>
      </c>
      <c r="E8" s="121" t="str">
        <f>"MRG-"&amp;'reagent overview'!H1&amp;"-"&amp;'reagent overview'!D4&amp;"-"&amp;'reagent overview'!E8&amp;"-"&amp;'reagent overview'!F3&amp;"-1-0h"</f>
        <v>MRG-0XX-X-X-2-A-DMF-1-0h</v>
      </c>
      <c r="F8" s="122" t="str">
        <f>"MRG-"&amp;'reagent overview'!H1&amp;"-"&amp;'reagent overview'!D4&amp;"-"&amp;'reagent overview'!E8&amp;"-"&amp;'reagent overview'!F4&amp;"-1-0h"</f>
        <v>MRG-0XX-X-X-2-A-DMSO-1-0h</v>
      </c>
      <c r="G8" s="104" t="str">
        <f>"MRG-"&amp;'reagent overview'!H1&amp;"-"&amp;'reagent overview'!D4&amp;"-"&amp;'reagent overview'!E8&amp;"-"&amp;'reagent overview'!F5&amp;"-1-0h"</f>
        <v>MRG-0XX-X-X-2-A-Tol-1-0h</v>
      </c>
      <c r="H8" s="97" t="str">
        <f>"MRG-"&amp;'reagent overview'!H1&amp;"-"&amp;'reagent overview'!D5&amp;"-"&amp;'reagent overview'!E8&amp;"-"&amp;'reagent overview'!F3&amp;"-1-0h"</f>
        <v>MRG-0XX-X-X-3-A-DMF-1-0h</v>
      </c>
      <c r="I8" s="96" t="str">
        <f>"MRG-"&amp;'reagent overview'!H1&amp;"-"&amp;'reagent overview'!D5&amp;"-"&amp;'reagent overview'!E8&amp;"-"&amp;'reagent overview'!F4&amp;"-1-0h"</f>
        <v>MRG-0XX-X-X-3-A-DMSO-1-0h</v>
      </c>
      <c r="J8" s="103" t="str">
        <f>"MRG-"&amp;'reagent overview'!H1&amp;"-"&amp;'reagent overview'!D5&amp;"-"&amp;'reagent overview'!E8&amp;"-"&amp;'reagent overview'!F5&amp;"-1-0h"</f>
        <v>MRG-0XX-X-X-3-A-Tol-1-0h</v>
      </c>
      <c r="L8" s="106" t="str">
        <f>"MRG-"&amp;'reagent overview'!H1&amp;"-1-1"</f>
        <v>MRG-0XX-X-X-1-1</v>
      </c>
      <c r="M8" s="96" t="str">
        <f>"MRG-"&amp;'reagent overview'!H1&amp;"-1-9"</f>
        <v>MRG-0XX-X-X-1-9</v>
      </c>
      <c r="N8" s="98" t="str">
        <f>"MRG-"&amp;'reagent overview'!H1&amp;"-1-17"</f>
        <v>MRG-0XX-X-X-1-17</v>
      </c>
      <c r="O8" s="105" t="str">
        <f>"MRG-"&amp;'reagent overview'!H1&amp;"-1-25"</f>
        <v>MRG-0XX-X-X-1-25</v>
      </c>
      <c r="P8" s="105" t="str">
        <f>"MRG-"&amp;'reagent overview'!H1&amp;"-1-33"</f>
        <v>MRG-0XX-X-X-1-33</v>
      </c>
      <c r="Q8" s="104" t="str">
        <f>"MRG-"&amp;'reagent overview'!H1&amp;"-1-41"</f>
        <v>MRG-0XX-X-X-1-41</v>
      </c>
      <c r="R8" s="97" t="str">
        <f>"MRG-"&amp;'reagent overview'!H1&amp;"-1-49"</f>
        <v>MRG-0XX-X-X-1-49</v>
      </c>
      <c r="S8" s="96" t="str">
        <f>"MRG-"&amp;'reagent overview'!H1&amp;"-1-57"</f>
        <v>MRG-0XX-X-X-1-57</v>
      </c>
      <c r="T8" s="103" t="str">
        <f>"MRG-"&amp;'reagent overview'!H1&amp;"-1-65"</f>
        <v>MRG-0XX-X-X-1-65</v>
      </c>
    </row>
    <row r="9" spans="1:20" ht="42" x14ac:dyDescent="0.3">
      <c r="A9" s="11">
        <v>2</v>
      </c>
      <c r="B9" s="99" t="str">
        <f>"MRG-"&amp;'reagent overview'!H1&amp;"-"&amp;'reagent overview'!D3&amp;"-"&amp;'reagent overview'!E8&amp;"-"&amp;'reagent overview'!F3&amp;"-1-1h"</f>
        <v>MRG-0XX-X-X-1-A-DMF-1-1h</v>
      </c>
      <c r="C9" s="99" t="str">
        <f>"MRG-"&amp;'reagent overview'!H1&amp;"-"&amp;'reagent overview'!D3&amp;"-"&amp;'reagent overview'!E8&amp;"-"&amp;'reagent overview'!F4&amp;"-1-1h"</f>
        <v>MRG-0XX-X-X-1-A-DMSO-1-1h</v>
      </c>
      <c r="D9" s="101" t="str">
        <f>"MRG-"&amp;'reagent overview'!H1&amp;"-"&amp;'reagent overview'!D3&amp;"-"&amp;'reagent overview'!E8&amp;"-"&amp;'reagent overview'!F5&amp;"-1-1h"</f>
        <v>MRG-0XX-X-X-1-A-Tol-1-1h</v>
      </c>
      <c r="E9" s="123" t="str">
        <f>"MRG-"&amp;'reagent overview'!H1&amp;"-"&amp;'reagent overview'!D4&amp;"-"&amp;'reagent overview'!E8&amp;"-"&amp;'reagent overview'!F3&amp;"-1-1h"</f>
        <v>MRG-0XX-X-X-2-A-DMF-1-1h</v>
      </c>
      <c r="F9" s="102" t="str">
        <f>"MRG-"&amp;'reagent overview'!H1&amp;"-"&amp;'reagent overview'!D4&amp;"-"&amp;'reagent overview'!E8&amp;"-"&amp;'reagent overview'!F4&amp;"-1-1h"</f>
        <v>MRG-0XX-X-X-2-A-DMSO-1-1h</v>
      </c>
      <c r="G9" s="124" t="str">
        <f>"MRG-"&amp;'reagent overview'!H1&amp;"-"&amp;'reagent overview'!D4&amp;"-"&amp;'reagent overview'!E8&amp;"-"&amp;'reagent overview'!F5&amp;"-1-1h"</f>
        <v>MRG-0XX-X-X-2-A-Tol-1-1h</v>
      </c>
      <c r="H9" s="100" t="str">
        <f>"MRG-"&amp;'reagent overview'!H1&amp;"-"&amp;'reagent overview'!D5&amp;"-"&amp;'reagent overview'!E8&amp;"-"&amp;'reagent overview'!F3&amp;"-1-1h"</f>
        <v>MRG-0XX-X-X-3-A-DMF-1-1h</v>
      </c>
      <c r="I9" s="99" t="str">
        <f>"MRG-"&amp;'reagent overview'!H1&amp;"-"&amp;'reagent overview'!D5&amp;"-"&amp;'reagent overview'!E8&amp;"-"&amp;'reagent overview'!F4&amp;"-1-1h"</f>
        <v>MRG-0XX-X-X-3-A-DMSO-1-1h</v>
      </c>
      <c r="J9" s="101" t="str">
        <f>"MRG-"&amp;'reagent overview'!H1&amp;"-"&amp;'reagent overview'!D5&amp;"-"&amp;'reagent overview'!E8&amp;"-"&amp;'reagent overview'!F5&amp;"-1-1h"</f>
        <v>MRG-0XX-X-X-3-A-Tol-1-1h</v>
      </c>
      <c r="L9" s="99" t="str">
        <f>"MG-"&amp;'reagent overview'!H1&amp;"-1-2"</f>
        <v>MG-0XX-X-X-1-2</v>
      </c>
      <c r="M9" s="99" t="str">
        <f>"MRG-"&amp;'reagent overview'!H1&amp;"-1-10"</f>
        <v>MRG-0XX-X-X-1-10</v>
      </c>
      <c r="N9" s="101" t="str">
        <f>"MRG-"&amp;'reagent overview'!H1&amp;"-1-18"</f>
        <v>MRG-0XX-X-X-1-18</v>
      </c>
      <c r="O9" s="100" t="str">
        <f>"MRG-"&amp;'reagent overview'!H1&amp;"-1-26"</f>
        <v>MRG-0XX-X-X-1-26</v>
      </c>
      <c r="P9" s="100" t="str">
        <f>"MRG-"&amp;'reagent overview'!H1&amp;"-1-34"</f>
        <v>MRG-0XX-X-X-1-34</v>
      </c>
      <c r="Q9" s="101" t="str">
        <f>"MRG-"&amp;'reagent overview'!H1&amp;"-1-42"</f>
        <v>MRG-0XX-X-X-1-42</v>
      </c>
      <c r="R9" s="100" t="str">
        <f>"MRG-"&amp;'reagent overview'!H1&amp;"-1-50"</f>
        <v>MRG-0XX-X-X-1-50</v>
      </c>
      <c r="S9" s="99" t="str">
        <f>"MRG-"&amp;'reagent overview'!H1&amp;"-1-58"</f>
        <v>MRG-0XX-X-X-1-58</v>
      </c>
      <c r="T9" s="101" t="str">
        <f>"MRG-"&amp;'reagent overview'!H1&amp;"-1-66"</f>
        <v>MRG-0XX-X-X-1-66</v>
      </c>
    </row>
    <row r="10" spans="1:20" ht="42" x14ac:dyDescent="0.3">
      <c r="A10" s="11">
        <v>3</v>
      </c>
      <c r="B10" s="96" t="str">
        <f>"MRG-"&amp;'reagent overview'!H1&amp;"-"&amp;'reagent overview'!D3&amp;"-"&amp;'reagent overview'!E8&amp;"-"&amp;'reagent overview'!F3&amp;"-1-2h"</f>
        <v>MRG-0XX-X-X-1-A-DMF-1-2h</v>
      </c>
      <c r="C10" s="96" t="str">
        <f>"MRG-"&amp;'reagent overview'!H1&amp;"-"&amp;'reagent overview'!D3&amp;"-"&amp;'reagent overview'!E8&amp;"-"&amp;'reagent overview'!F4&amp;"-1-2h"</f>
        <v>MRG-0XX-X-X-1-A-DMSO-1-2h</v>
      </c>
      <c r="D10" s="98" t="str">
        <f>"MRG-"&amp;'reagent overview'!H1&amp;"-"&amp;'reagent overview'!D3&amp;"-"&amp;'reagent overview'!E8&amp;"-"&amp;'reagent overview'!F5&amp;"-1-2h"</f>
        <v>MRG-0XX-X-X-1-A-Tol-1-2h</v>
      </c>
      <c r="E10" s="97" t="str">
        <f>"MRG-"&amp;'reagent overview'!H1&amp;"-"&amp;'reagent overview'!D4&amp;"-"&amp;'reagent overview'!E8&amp;"-"&amp;'reagent overview'!F3&amp;"-1-2h"</f>
        <v>MRG-0XX-X-X-2-A-DMF-1-2h</v>
      </c>
      <c r="F10" s="96" t="str">
        <f>"MRG-"&amp;'reagent overview'!H1&amp;"-"&amp;'reagent overview'!D4&amp;"-"&amp;'reagent overview'!E8&amp;"-"&amp;'reagent overview'!F4&amp;"-1-2h"</f>
        <v>MRG-0XX-X-X-2-A-DMSO-1-2h</v>
      </c>
      <c r="G10" s="98" t="str">
        <f>"MRG-"&amp;'reagent overview'!H1&amp;"-"&amp;'reagent overview'!D4&amp;"-"&amp;'reagent overview'!E8&amp;"-"&amp;'reagent overview'!F5&amp;"-1-2h"</f>
        <v>MRG-0XX-X-X-2-A-Tol-1-2h</v>
      </c>
      <c r="H10" s="97" t="str">
        <f>"MRG-"&amp;'reagent overview'!H1&amp;"-"&amp;'reagent overview'!D5&amp;"-"&amp;'reagent overview'!E8&amp;"-"&amp;'reagent overview'!F3&amp;"-1-2h"</f>
        <v>MRG-0XX-X-X-3-A-DMF-1-2h</v>
      </c>
      <c r="I10" s="96" t="str">
        <f>"MRG-"&amp;'reagent overview'!H1&amp;"-"&amp;'reagent overview'!D5&amp;"-"&amp;'reagent overview'!E8&amp;"-"&amp;'reagent overview'!F4&amp;"-1-2h"</f>
        <v>MRG-0XX-X-X-3-A-DMSO-1-2h</v>
      </c>
      <c r="J10" s="98" t="str">
        <f>"MRG-"&amp;'reagent overview'!H1&amp;"-"&amp;'reagent overview'!D5&amp;"-"&amp;'reagent overview'!E8&amp;"-"&amp;'reagent overview'!F5&amp;"-1-2h"</f>
        <v>MRG-0XX-X-X-3-A-Tol-1-2h</v>
      </c>
      <c r="L10" s="96" t="str">
        <f>"MRG-"&amp;'reagent overview'!H1&amp;"-1-3"</f>
        <v>MRG-0XX-X-X-1-3</v>
      </c>
      <c r="M10" s="96" t="str">
        <f>"MRG-"&amp;'reagent overview'!H1&amp;"-1-11"</f>
        <v>MRG-0XX-X-X-1-11</v>
      </c>
      <c r="N10" s="98" t="str">
        <f>"MRG-"&amp;'reagent overview'!H1&amp;"-1-19"</f>
        <v>MRG-0XX-X-X-1-19</v>
      </c>
      <c r="O10" s="97" t="str">
        <f>"MRG-"&amp;'reagent overview'!H1&amp;"-1-27"</f>
        <v>MRG-0XX-X-X-1-27</v>
      </c>
      <c r="P10" s="97" t="str">
        <f>"MRG-"&amp;'reagent overview'!H1&amp;"-1-35"</f>
        <v>MRG-0XX-X-X-1-35</v>
      </c>
      <c r="Q10" s="98" t="str">
        <f>"MRG-"&amp;'reagent overview'!H1&amp;"-1-43"</f>
        <v>MRG-0XX-X-X-1-43</v>
      </c>
      <c r="R10" s="97" t="str">
        <f>"MRG-"&amp;'reagent overview'!H1&amp;"-1-51"</f>
        <v>MRG-0XX-X-X-1-51</v>
      </c>
      <c r="S10" s="96" t="str">
        <f>"MRG-"&amp;'reagent overview'!H1&amp;"-1-59"</f>
        <v>MRG-0XX-X-X-1-59</v>
      </c>
      <c r="T10" s="98" t="str">
        <f>"MRG-"&amp;'reagent overview'!H1&amp;"-1-67"</f>
        <v>MRG-0XX-X-X-1-67</v>
      </c>
    </row>
    <row r="11" spans="1:20" ht="42" x14ac:dyDescent="0.3">
      <c r="A11" s="11">
        <v>4</v>
      </c>
      <c r="B11" s="99" t="str">
        <f>"MRG-"&amp;'reagent overview'!H1&amp;"-"&amp;'reagent overview'!D3&amp;"-"&amp;'reagent overview'!E8&amp;"-"&amp;'reagent overview'!F3&amp;"-1-4h"</f>
        <v>MRG-0XX-X-X-1-A-DMF-1-4h</v>
      </c>
      <c r="C11" s="99" t="str">
        <f>"MRG-"&amp;'reagent overview'!H1&amp;"-"&amp;'reagent overview'!D3&amp;"-"&amp;'reagent overview'!E8&amp;"-"&amp;'reagent overview'!F4&amp;"-1-4h"</f>
        <v>MRG-0XX-X-X-1-A-DMSO-1-4h</v>
      </c>
      <c r="D11" s="101" t="str">
        <f>"MRG-"&amp;'reagent overview'!H1&amp;"-"&amp;'reagent overview'!D3&amp;"-"&amp;'reagent overview'!E8&amp;"-"&amp;'reagent overview'!F5&amp;"-1-4h"</f>
        <v>MRG-0XX-X-X-1-A-Tol-1-4h</v>
      </c>
      <c r="E11" s="100" t="str">
        <f>"MRG-"&amp;'reagent overview'!H1&amp;"-"&amp;'reagent overview'!D4&amp;"-"&amp;'reagent overview'!E8&amp;"-"&amp;'reagent overview'!F3&amp;"-1-4h"</f>
        <v>MRG-0XX-X-X-2-A-DMF-1-4h</v>
      </c>
      <c r="F11" s="99" t="str">
        <f>"MRG-"&amp;'reagent overview'!H1&amp;"-"&amp;'reagent overview'!D4&amp;"-"&amp;'reagent overview'!E8&amp;"-"&amp;'reagent overview'!F4&amp;"-1-4h"</f>
        <v>MRG-0XX-X-X-2-A-DMSO-1-4h</v>
      </c>
      <c r="G11" s="101" t="str">
        <f>"MRG-"&amp;'reagent overview'!H1&amp;"-"&amp;'reagent overview'!D4&amp;"-"&amp;'reagent overview'!E8&amp;"-"&amp;'reagent overview'!F5&amp;"-1-4h"</f>
        <v>MRG-0XX-X-X-2-A-Tol-1-4h</v>
      </c>
      <c r="H11" s="100" t="str">
        <f>"MRG-"&amp;'reagent overview'!H1&amp;"-"&amp;'reagent overview'!D5&amp;"-"&amp;'reagent overview'!E8&amp;"-"&amp;'reagent overview'!F3&amp;"-1-4h"</f>
        <v>MRG-0XX-X-X-3-A-DMF-1-4h</v>
      </c>
      <c r="I11" s="99" t="str">
        <f>"MRG-"&amp;'reagent overview'!H1&amp;"-"&amp;'reagent overview'!D5&amp;"-"&amp;'reagent overview'!E8&amp;"-"&amp;'reagent overview'!F4&amp;"-1-4h"</f>
        <v>MRG-0XX-X-X-3-A-DMSO-1-4h</v>
      </c>
      <c r="J11" s="101" t="str">
        <f>"MRG-"&amp;'reagent overview'!H1&amp;"-"&amp;'reagent overview'!D5&amp;"-"&amp;'reagent overview'!E8&amp;"-"&amp;'reagent overview'!F5&amp;"-1-4h"</f>
        <v>MRG-0XX-X-X-3-A-Tol-1-4h</v>
      </c>
      <c r="L11" s="99" t="str">
        <f>"MRG-"&amp;'reagent overview'!H1&amp;"-1-4"</f>
        <v>MRG-0XX-X-X-1-4</v>
      </c>
      <c r="M11" s="99" t="str">
        <f>"MRG-"&amp;'reagent overview'!H1&amp;"-1-12"</f>
        <v>MRG-0XX-X-X-1-12</v>
      </c>
      <c r="N11" s="101" t="str">
        <f>"MRG-"&amp;'reagent overview'!H1&amp;"-1-2"</f>
        <v>MRG-0XX-X-X-1-2</v>
      </c>
      <c r="O11" s="100" t="str">
        <f>"MRG-"&amp;'reagent overview'!H1&amp;"-1-28"</f>
        <v>MRG-0XX-X-X-1-28</v>
      </c>
      <c r="P11" s="100" t="str">
        <f>"MRG-"&amp;'reagent overview'!H1&amp;"-1-36"</f>
        <v>MRG-0XX-X-X-1-36</v>
      </c>
      <c r="Q11" s="101" t="str">
        <f>"MRG-"&amp;'reagent overview'!H1&amp;"-1-44"</f>
        <v>MRG-0XX-X-X-1-44</v>
      </c>
      <c r="R11" s="100" t="str">
        <f>"MRG-"&amp;'reagent overview'!H1&amp;"-1-52"</f>
        <v>MRG-0XX-X-X-1-52</v>
      </c>
      <c r="S11" s="99" t="str">
        <f>"MRG-"&amp;'reagent overview'!H1&amp;"-1-60"</f>
        <v>MRG-0XX-X-X-1-60</v>
      </c>
      <c r="T11" s="101" t="str">
        <f>"MRG-"&amp;'reagent overview'!H1&amp;"-1-68"</f>
        <v>MRG-0XX-X-X-1-68</v>
      </c>
    </row>
    <row r="12" spans="1:20" ht="42" x14ac:dyDescent="0.3">
      <c r="A12" s="11">
        <v>5</v>
      </c>
      <c r="B12" s="96" t="str">
        <f>"MRG-"&amp;'reagent overview'!H1&amp;"-"&amp;'reagent overview'!D3&amp;"-"&amp;'reagent overview'!E8&amp;"-"&amp;'reagent overview'!F3&amp;"-1-6h"</f>
        <v>MRG-0XX-X-X-1-A-DMF-1-6h</v>
      </c>
      <c r="C12" s="96" t="str">
        <f>"MRG-"&amp;'reagent overview'!H1&amp;"-"&amp;'reagent overview'!D3&amp;"-"&amp;'reagent overview'!E8&amp;"-"&amp;'reagent overview'!F4&amp;"-1-6h"</f>
        <v>MRG-0XX-X-X-1-A-DMSO-1-6h</v>
      </c>
      <c r="D12" s="98" t="str">
        <f>"MRG-"&amp;'reagent overview'!H1&amp;"-"&amp;'reagent overview'!D3&amp;"-"&amp;'reagent overview'!E8&amp;"-"&amp;'reagent overview'!F5&amp;"-1-6h"</f>
        <v>MRG-0XX-X-X-1-A-Tol-1-6h</v>
      </c>
      <c r="E12" s="97" t="str">
        <f>"MRG-"&amp;'reagent overview'!H1&amp;"-"&amp;'reagent overview'!D4&amp;"-"&amp;'reagent overview'!E8&amp;"-"&amp;'reagent overview'!F3&amp;"-1-6h"</f>
        <v>MRG-0XX-X-X-2-A-DMF-1-6h</v>
      </c>
      <c r="F12" s="96" t="str">
        <f>"MRG-"&amp;'reagent overview'!H1&amp;"-"&amp;'reagent overview'!D4&amp;"-"&amp;'reagent overview'!E8&amp;"-"&amp;'reagent overview'!F4&amp;"-1-6h"</f>
        <v>MRG-0XX-X-X-2-A-DMSO-1-6h</v>
      </c>
      <c r="G12" s="98" t="str">
        <f>"MRG-"&amp;'reagent overview'!H1&amp;"-"&amp;'reagent overview'!D4&amp;"-"&amp;'reagent overview'!E8&amp;"-"&amp;'reagent overview'!F5&amp;"-1-6h"</f>
        <v>MRG-0XX-X-X-2-A-Tol-1-6h</v>
      </c>
      <c r="H12" s="97" t="str">
        <f>"MRG-"&amp;'reagent overview'!H1&amp;"-"&amp;'reagent overview'!D5&amp;"-"&amp;'reagent overview'!E8&amp;"-"&amp;'reagent overview'!F3&amp;"-1-6h"</f>
        <v>MRG-0XX-X-X-3-A-DMF-1-6h</v>
      </c>
      <c r="I12" s="96" t="str">
        <f>"MRG-"&amp;'reagent overview'!H1&amp;"-"&amp;'reagent overview'!D5&amp;"-"&amp;'reagent overview'!E8&amp;"-"&amp;'reagent overview'!F4&amp;"-1-6h"</f>
        <v>MRG-0XX-X-X-3-A-DMSO-1-6h</v>
      </c>
      <c r="J12" s="98" t="str">
        <f>"MRG-"&amp;'reagent overview'!H1&amp;"-"&amp;'reagent overview'!D5&amp;"-"&amp;'reagent overview'!E8&amp;"-"&amp;'reagent overview'!F5&amp;"-1-6h"</f>
        <v>MRG-0XX-X-X-3-A-Tol-1-6h</v>
      </c>
      <c r="L12" s="96" t="str">
        <f>"MRG-"&amp;'reagent overview'!H1&amp;"-1-5"</f>
        <v>MRG-0XX-X-X-1-5</v>
      </c>
      <c r="M12" s="96" t="str">
        <f>"MRG-"&amp;'reagent overview'!H1&amp;"-1-13"</f>
        <v>MRG-0XX-X-X-1-13</v>
      </c>
      <c r="N12" s="98" t="str">
        <f>"MRG-"&amp;'reagent overview'!H1&amp;"-1-21"</f>
        <v>MRG-0XX-X-X-1-21</v>
      </c>
      <c r="O12" s="97" t="str">
        <f>"MRG-"&amp;'reagent overview'!H1&amp;"-1-29"</f>
        <v>MRG-0XX-X-X-1-29</v>
      </c>
      <c r="P12" s="97" t="str">
        <f>"MRG-"&amp;'reagent overview'!H1&amp;"-1-37"</f>
        <v>MRG-0XX-X-X-1-37</v>
      </c>
      <c r="Q12" s="98" t="str">
        <f>"MRG-"&amp;'reagent overview'!H1&amp;"-1-45"</f>
        <v>MRG-0XX-X-X-1-45</v>
      </c>
      <c r="R12" s="97" t="str">
        <f>"MRG-"&amp;'reagent overview'!H1&amp;"-1-53"</f>
        <v>MRG-0XX-X-X-1-53</v>
      </c>
      <c r="S12" s="96" t="str">
        <f>"MRG-"&amp;'reagent overview'!H1&amp;"-1-61"</f>
        <v>MRG-0XX-X-X-1-61</v>
      </c>
      <c r="T12" s="98" t="str">
        <f>"MRG-"&amp;'reagent overview'!H1&amp;"-1-69"</f>
        <v>MRG-0XX-X-X-1-69</v>
      </c>
    </row>
    <row r="13" spans="1:20" ht="42" x14ac:dyDescent="0.3">
      <c r="A13" s="11">
        <v>6</v>
      </c>
      <c r="B13" s="99" t="str">
        <f>"MRG-"&amp;'reagent overview'!H1&amp;"-"&amp;'reagent overview'!D3&amp;"-"&amp;'reagent overview'!E8&amp;"-"&amp;'reagent overview'!F3&amp;"-1-8h"</f>
        <v>MRG-0XX-X-X-1-A-DMF-1-8h</v>
      </c>
      <c r="C13" s="99" t="str">
        <f>"MRG-"&amp;'reagent overview'!H1&amp;"-"&amp;'reagent overview'!D3&amp;"-"&amp;'reagent overview'!E8&amp;"-"&amp;'reagent overview'!F4&amp;"-1-8h"</f>
        <v>MRG-0XX-X-X-1-A-DMSO-1-8h</v>
      </c>
      <c r="D13" s="101" t="str">
        <f>"MRG-"&amp;'reagent overview'!H1&amp;"-"&amp;'reagent overview'!D3&amp;"-"&amp;'reagent overview'!E8&amp;"-"&amp;'reagent overview'!F5&amp;"-1-8h"</f>
        <v>MRG-0XX-X-X-1-A-Tol-1-8h</v>
      </c>
      <c r="E13" s="100" t="str">
        <f>"MRG-"&amp;'reagent overview'!H1&amp;"-"&amp;'reagent overview'!D4&amp;"-"&amp;'reagent overview'!E8&amp;"-"&amp;'reagent overview'!F3&amp;"-1-8h"</f>
        <v>MRG-0XX-X-X-2-A-DMF-1-8h</v>
      </c>
      <c r="F13" s="99" t="str">
        <f>"MRG-"&amp;'reagent overview'!H1&amp;"-"&amp;'reagent overview'!D4&amp;"-"&amp;'reagent overview'!E8&amp;"-"&amp;'reagent overview'!F4&amp;"-1-8h"</f>
        <v>MRG-0XX-X-X-2-A-DMSO-1-8h</v>
      </c>
      <c r="G13" s="101" t="str">
        <f>"MRG-"&amp;'reagent overview'!H1&amp;"-"&amp;'reagent overview'!D4&amp;"-"&amp;'reagent overview'!E8&amp;"-"&amp;'reagent overview'!F5&amp;"-1-8h"</f>
        <v>MRG-0XX-X-X-2-A-Tol-1-8h</v>
      </c>
      <c r="H13" s="100" t="str">
        <f>"MRG-"&amp;'reagent overview'!H1&amp;"-"&amp;'reagent overview'!D5&amp;"-"&amp;'reagent overview'!E8&amp;"-"&amp;'reagent overview'!F3&amp;"-1-8h"</f>
        <v>MRG-0XX-X-X-3-A-DMF-1-8h</v>
      </c>
      <c r="I13" s="99" t="str">
        <f>"MRG-"&amp;'reagent overview'!H1&amp;"-"&amp;'reagent overview'!D5&amp;"-"&amp;'reagent overview'!E8&amp;"-"&amp;'reagent overview'!F4&amp;"-1-8h"</f>
        <v>MRG-0XX-X-X-3-A-DMSO-1-8h</v>
      </c>
      <c r="J13" s="101" t="str">
        <f>"MRG-"&amp;'reagent overview'!H1&amp;"-"&amp;'reagent overview'!D5&amp;"-"&amp;'reagent overview'!E8&amp;"-"&amp;'reagent overview'!F5&amp;"-1-8h"</f>
        <v>MRG-0XX-X-X-3-A-Tol-1-8h</v>
      </c>
      <c r="L13" s="99" t="str">
        <f>"MRG-"&amp;'reagent overview'!H1&amp;"-1-6"</f>
        <v>MRG-0XX-X-X-1-6</v>
      </c>
      <c r="M13" s="99" t="str">
        <f>"MRG-"&amp;'reagent overview'!H1&amp;"-1-14"</f>
        <v>MRG-0XX-X-X-1-14</v>
      </c>
      <c r="N13" s="101" t="str">
        <f>"MRG-"&amp;'reagent overview'!H1&amp;"-1-22"</f>
        <v>MRG-0XX-X-X-1-22</v>
      </c>
      <c r="O13" s="100" t="str">
        <f>"MRG-"&amp;'reagent overview'!H1&amp;"-1-3"</f>
        <v>MRG-0XX-X-X-1-3</v>
      </c>
      <c r="P13" s="100" t="str">
        <f>"MRG-"&amp;'reagent overview'!H1&amp;"-1-38"</f>
        <v>MRG-0XX-X-X-1-38</v>
      </c>
      <c r="Q13" s="101" t="str">
        <f>"MRG-"&amp;'reagent overview'!H1&amp;"-1-46"</f>
        <v>MRG-0XX-X-X-1-46</v>
      </c>
      <c r="R13" s="100" t="str">
        <f>"MRG-"&amp;'reagent overview'!H1&amp;"-1-54"</f>
        <v>MRG-0XX-X-X-1-54</v>
      </c>
      <c r="S13" s="99" t="str">
        <f>"MRG-"&amp;'reagent overview'!H1&amp;"-1-62"</f>
        <v>MRG-0XX-X-X-1-62</v>
      </c>
      <c r="T13" s="101" t="str">
        <f>"MRG-"&amp;'reagent overview'!H1&amp;"-1-70"</f>
        <v>MRG-0XX-X-X-1-70</v>
      </c>
    </row>
    <row r="14" spans="1:20" ht="42" x14ac:dyDescent="0.3">
      <c r="A14" s="11">
        <v>7</v>
      </c>
      <c r="B14" s="96" t="str">
        <f>"MRG-"&amp;'reagent overview'!H1&amp;"-"&amp;'reagent overview'!D3&amp;"-"&amp;'reagent overview'!E8&amp;"-"&amp;'reagent overview'!F3&amp;"-1-10h"</f>
        <v>MRG-0XX-X-X-1-A-DMF-1-10h</v>
      </c>
      <c r="C14" s="96" t="str">
        <f>"MRG-"&amp;'reagent overview'!H1&amp;"-"&amp;'reagent overview'!D3&amp;"-"&amp;'reagent overview'!E8&amp;"-"&amp;'reagent overview'!F4&amp;"-1-10h"</f>
        <v>MRG-0XX-X-X-1-A-DMSO-1-10h</v>
      </c>
      <c r="D14" s="98" t="str">
        <f>"MRG-"&amp;'reagent overview'!H1&amp;"-"&amp;'reagent overview'!D3&amp;"-"&amp;'reagent overview'!E8&amp;"-"&amp;'reagent overview'!F5&amp;"-1-10h"</f>
        <v>MRG-0XX-X-X-1-A-Tol-1-10h</v>
      </c>
      <c r="E14" s="97" t="str">
        <f>"MRG-"&amp;'reagent overview'!H1&amp;"-"&amp;'reagent overview'!D4&amp;"-"&amp;'reagent overview'!E8&amp;"-"&amp;'reagent overview'!F3&amp;"-1-10h"</f>
        <v>MRG-0XX-X-X-2-A-DMF-1-10h</v>
      </c>
      <c r="F14" s="96" t="str">
        <f>"MRG-"&amp;'reagent overview'!H1&amp;"-"&amp;'reagent overview'!D4&amp;"-"&amp;'reagent overview'!E8&amp;"-"&amp;'reagent overview'!F4&amp;"-1-10h"</f>
        <v>MRG-0XX-X-X-2-A-DMSO-1-10h</v>
      </c>
      <c r="G14" s="98" t="str">
        <f>"MRG-"&amp;'reagent overview'!H1&amp;"-"&amp;'reagent overview'!D4&amp;"-"&amp;'reagent overview'!E8&amp;"-"&amp;'reagent overview'!F5&amp;"-1-10h"</f>
        <v>MRG-0XX-X-X-2-A-Tol-1-10h</v>
      </c>
      <c r="H14" s="97" t="str">
        <f>"MRG-"&amp;'reagent overview'!H1&amp;"-"&amp;'reagent overview'!D5&amp;"-"&amp;'reagent overview'!E8&amp;"-"&amp;'reagent overview'!F3&amp;"-1-10h"</f>
        <v>MRG-0XX-X-X-3-A-DMF-1-10h</v>
      </c>
      <c r="I14" s="96" t="str">
        <f>"MRG-"&amp;'reagent overview'!H1&amp;"-"&amp;'reagent overview'!D5&amp;"-"&amp;'reagent overview'!E8&amp;"-"&amp;'reagent overview'!F4&amp;"-1-10h"</f>
        <v>MRG-0XX-X-X-3-A-DMSO-1-10h</v>
      </c>
      <c r="J14" s="98" t="str">
        <f>"MRG-"&amp;'reagent overview'!H1&amp;"-"&amp;'reagent overview'!D5&amp;"-"&amp;'reagent overview'!E8&amp;"-"&amp;'reagent overview'!F5&amp;"-1-10h"</f>
        <v>MRG-0XX-X-X-3-A-Tol-1-10h</v>
      </c>
      <c r="L14" s="96" t="str">
        <f>"MRG-"&amp;'reagent overview'!H1&amp;"-1-7"</f>
        <v>MRG-0XX-X-X-1-7</v>
      </c>
      <c r="M14" s="96" t="str">
        <f>"MRG-"&amp;'reagent overview'!H1&amp;"-1-15"</f>
        <v>MRG-0XX-X-X-1-15</v>
      </c>
      <c r="N14" s="98" t="str">
        <f>"MRG-"&amp;'reagent overview'!H1&amp;"-1-23"</f>
        <v>MRG-0XX-X-X-1-23</v>
      </c>
      <c r="O14" s="97" t="str">
        <f>"MRG-"&amp;'reagent overview'!H1&amp;"-1-31"</f>
        <v>MRG-0XX-X-X-1-31</v>
      </c>
      <c r="P14" s="97" t="str">
        <f>"MRG-"&amp;'reagent overview'!H1&amp;"-1-39"</f>
        <v>MRG-0XX-X-X-1-39</v>
      </c>
      <c r="Q14" s="98" t="str">
        <f>"MRG-"&amp;'reagent overview'!H1&amp;"-1-47"</f>
        <v>MRG-0XX-X-X-1-47</v>
      </c>
      <c r="R14" s="97" t="str">
        <f>"MRG-"&amp;'reagent overview'!H1&amp;"-1-55"</f>
        <v>MRG-0XX-X-X-1-55</v>
      </c>
      <c r="S14" s="96" t="str">
        <f>"MRG-"&amp;'reagent overview'!H1&amp;"-1-63"</f>
        <v>MRG-0XX-X-X-1-63</v>
      </c>
      <c r="T14" s="98" t="str">
        <f>"MRG-"&amp;'reagent overview'!H1&amp;"-1-71"</f>
        <v>MRG-0XX-X-X-1-71</v>
      </c>
    </row>
    <row r="15" spans="1:20" ht="42" x14ac:dyDescent="0.3">
      <c r="A15" s="11">
        <v>8</v>
      </c>
      <c r="B15" s="108" t="str">
        <f>"MRG-"&amp;'reagent overview'!H1&amp;"-"&amp;'reagent overview'!D3&amp;"-"&amp;'reagent overview'!E8&amp;"-"&amp;'reagent overview'!F3&amp;"-1-15h"</f>
        <v>MRG-0XX-X-X-1-A-DMF-1-15h</v>
      </c>
      <c r="C15" s="108" t="str">
        <f>"MRG-"&amp;'reagent overview'!H1&amp;"-"&amp;'reagent overview'!D3&amp;"-"&amp;'reagent overview'!E8&amp;"-"&amp;'reagent overview'!F4&amp;"-1-15h"</f>
        <v>MRG-0XX-X-X-1-A-DMSO-1-15h</v>
      </c>
      <c r="D15" s="109" t="str">
        <f>"MRG-"&amp;'reagent overview'!H1&amp;"-"&amp;'reagent overview'!D3&amp;"-"&amp;'reagent overview'!E8&amp;"-"&amp;'reagent overview'!F5&amp;"-1-15h"</f>
        <v>MRG-0XX-X-X-1-A-Tol-1-15h</v>
      </c>
      <c r="E15" s="110" t="str">
        <f>"MRG-"&amp;'reagent overview'!H1&amp;"-"&amp;'reagent overview'!D4&amp;"-"&amp;'reagent overview'!E8&amp;"-"&amp;'reagent overview'!F3&amp;"-1-15h"</f>
        <v>MRG-0XX-X-X-2-A-DMF-1-15h</v>
      </c>
      <c r="F15" s="108" t="str">
        <f>"MRG-"&amp;'reagent overview'!H1&amp;"-"&amp;'reagent overview'!D4&amp;"-"&amp;'reagent overview'!E8&amp;"-"&amp;'reagent overview'!F4&amp;"-1-15h"</f>
        <v>MRG-0XX-X-X-2-A-DMSO-1-15h</v>
      </c>
      <c r="G15" s="109" t="str">
        <f>"MRG-"&amp;'reagent overview'!H1&amp;"-"&amp;'reagent overview'!D4&amp;"-"&amp;'reagent overview'!E8&amp;"-"&amp;'reagent overview'!F5&amp;"-1-15h"</f>
        <v>MRG-0XX-X-X-2-A-Tol-1-15h</v>
      </c>
      <c r="H15" s="110" t="str">
        <f>"MRG-"&amp;'reagent overview'!H1&amp;"-"&amp;'reagent overview'!D5&amp;"-"&amp;'reagent overview'!E8&amp;"-"&amp;'reagent overview'!F3&amp;"-1-15h"</f>
        <v>MRG-0XX-X-X-3-A-DMF-1-15h</v>
      </c>
      <c r="I15" s="108" t="str">
        <f>"MRG-"&amp;'reagent overview'!H1&amp;"-"&amp;'reagent overview'!D5&amp;"-"&amp;'reagent overview'!E8&amp;"-"&amp;'reagent overview'!F4&amp;"-1-15h"</f>
        <v>MRG-0XX-X-X-3-A-DMSO-1-15h</v>
      </c>
      <c r="J15" s="109" t="str">
        <f>"MRG-"&amp;'reagent overview'!H1&amp;"-"&amp;'reagent overview'!D5&amp;"-"&amp;'reagent overview'!E8&amp;"-"&amp;'reagent overview'!F5&amp;"-1-15h"</f>
        <v>MRG-0XX-X-X-3-A-Tol-1-15h</v>
      </c>
      <c r="L15" s="108" t="str">
        <f>"MRG-"&amp;'reagent overview'!H1&amp;"-1-8"</f>
        <v>MRG-0XX-X-X-1-8</v>
      </c>
      <c r="M15" s="108" t="str">
        <f>"MRG-"&amp;'reagent overview'!H1&amp;"-1-16"</f>
        <v>MRG-0XX-X-X-1-16</v>
      </c>
      <c r="N15" s="109" t="str">
        <f>"MRG-"&amp;'reagent overview'!H1&amp;"-1-24"</f>
        <v>MRG-0XX-X-X-1-24</v>
      </c>
      <c r="O15" s="110" t="str">
        <f>"MRG-"&amp;'reagent overview'!H1&amp;"-1-32"</f>
        <v>MRG-0XX-X-X-1-32</v>
      </c>
      <c r="P15" s="110" t="str">
        <f>"MRG-"&amp;'reagent overview'!H1&amp;"-1-40"</f>
        <v>MRG-0XX-X-X-1-40</v>
      </c>
      <c r="Q15" s="109" t="str">
        <f>"MRG-"&amp;'reagent overview'!H1&amp;"-1-48"</f>
        <v>MRG-0XX-X-X-1-48</v>
      </c>
      <c r="R15" s="110" t="str">
        <f>"MRG-"&amp;'reagent overview'!H1&amp;"-1-56"</f>
        <v>MRG-0XX-X-X-1-56</v>
      </c>
      <c r="S15" s="108" t="str">
        <f>"MRG-"&amp;'reagent overview'!H1&amp;"-1-64"</f>
        <v>MRG-0XX-X-X-1-64</v>
      </c>
      <c r="T15" s="109" t="str">
        <f>"MRG-"&amp;'reagent overview'!H1&amp;"-1-72"</f>
        <v>MRG-0XX-X-X-1-72</v>
      </c>
    </row>
    <row r="16" spans="1:20" x14ac:dyDescent="0.3">
      <c r="B16" s="12"/>
      <c r="C16" s="12"/>
      <c r="D16" s="12"/>
      <c r="E16" s="12"/>
      <c r="F16" s="12"/>
      <c r="G16" s="12"/>
      <c r="H16" s="12"/>
      <c r="I16" s="12"/>
      <c r="J16" s="12"/>
      <c r="L16" s="12"/>
      <c r="M16" s="12"/>
      <c r="N16" s="12"/>
      <c r="O16" s="12"/>
      <c r="P16" s="12"/>
      <c r="Q16" s="12"/>
      <c r="R16" s="12"/>
      <c r="S16" s="12"/>
      <c r="T16" s="12"/>
    </row>
    <row r="18" spans="2:17" x14ac:dyDescent="0.3">
      <c r="B18" s="1" t="str">
        <f xml:space="preserve"> 'reagent overview'!C6</f>
        <v>4-Methylstyrene</v>
      </c>
      <c r="E18" s="1" t="str">
        <f>'reagent overview'!C7</f>
        <v>4-Methoxystyrene</v>
      </c>
      <c r="L18" s="1" t="str">
        <f xml:space="preserve"> 'reagent overview'!C6</f>
        <v>4-Methylstyrene</v>
      </c>
      <c r="O18" s="1" t="str">
        <f>'reagent overview'!C7</f>
        <v>4-Methoxystyrene</v>
      </c>
    </row>
    <row r="20" spans="2:17" x14ac:dyDescent="0.3">
      <c r="B20" s="11">
        <v>10</v>
      </c>
      <c r="C20" s="11">
        <v>11</v>
      </c>
      <c r="D20" s="11">
        <v>12</v>
      </c>
      <c r="E20" s="11">
        <v>13</v>
      </c>
      <c r="F20" s="11">
        <v>14</v>
      </c>
      <c r="G20" s="11">
        <v>15</v>
      </c>
      <c r="L20" s="11">
        <v>10</v>
      </c>
      <c r="M20" s="11">
        <v>11</v>
      </c>
      <c r="N20" s="11">
        <v>12</v>
      </c>
      <c r="O20" s="11">
        <v>13</v>
      </c>
      <c r="P20" s="11">
        <v>14</v>
      </c>
      <c r="Q20" s="11">
        <v>15</v>
      </c>
    </row>
    <row r="21" spans="2:17" ht="28" x14ac:dyDescent="0.3">
      <c r="B21" s="96" t="str">
        <f>"MRG-"&amp;'reagent overview'!H1&amp;"-"&amp;'reagent overview'!D6&amp;"-"&amp;'reagent overview'!E8&amp;"-"&amp;'reagent overview'!F3&amp;"-1-0h"</f>
        <v>MRG-0XX-X-X-4-A-DMF-1-0h</v>
      </c>
      <c r="C21" s="97" t="str">
        <f>"MRG-"&amp;'reagent overview'!H1&amp;"-"&amp;'reagent overview'!D6&amp;"-"&amp;'reagent overview'!E8&amp;"-"&amp;'reagent overview'!F4&amp;"-1-0h"</f>
        <v>MRG-0XX-X-X-4-A-DMSO-1-0h</v>
      </c>
      <c r="D21" s="98" t="str">
        <f>"MRG-"&amp;'reagent overview'!H1&amp;"-"&amp;'reagent overview'!D6&amp;"-"&amp;'reagent overview'!E8&amp;"-"&amp;'reagent overview'!F5&amp;"-1-0h"</f>
        <v>MRG-0XX-X-X-4-A-Tol-1-0h</v>
      </c>
      <c r="E21" s="97" t="str">
        <f>"MRG-"&amp;'reagent overview'!H1&amp;"-"&amp;'reagent overview'!D7&amp;"-"&amp;'reagent overview'!E8&amp;"-"&amp;'reagent overview'!F3&amp;"-1-0h"</f>
        <v>MRG-0XX-X-X-5-A-DMF-1-0h</v>
      </c>
      <c r="F21" s="96" t="str">
        <f>"MRG-"&amp;'reagent overview'!H1&amp;"-"&amp;'reagent overview'!D7&amp;"-"&amp;'reagent overview'!E8&amp;"-"&amp;'reagent overview'!F4&amp;"-1-0h"</f>
        <v>MRG-0XX-X-X-5-A-DMSO-1-0h</v>
      </c>
      <c r="G21" s="96" t="str">
        <f>"MRG-"&amp;'reagent overview'!H1&amp;"-"&amp;'reagent overview'!D7&amp;"-"&amp;'reagent overview'!E8&amp;"-"&amp;'reagent overview'!F5&amp;"-1-0h"</f>
        <v>MRG-0XX-X-X-5-A-Tol-1-0h</v>
      </c>
      <c r="L21" s="96" t="str">
        <f>"MRG-"&amp;'reagent overview'!H1&amp;"-1-73"</f>
        <v>MRG-0XX-X-X-1-73</v>
      </c>
      <c r="M21" s="97" t="str">
        <f>"MRG-"&amp;'reagent overview'!H1&amp;"-1-81"</f>
        <v>MRG-0XX-X-X-1-81</v>
      </c>
      <c r="N21" s="98" t="str">
        <f>"MRG-"&amp;'reagent overview'!H1&amp;"-1-89"</f>
        <v>MRG-0XX-X-X-1-89</v>
      </c>
      <c r="O21" s="97" t="str">
        <f>"MRG-"&amp;'reagent overview'!H1&amp;"-1-97"</f>
        <v>MRG-0XX-X-X-1-97</v>
      </c>
      <c r="P21" s="96" t="str">
        <f>"MRG-"&amp;'reagent overview'!H1&amp;"-1-105"</f>
        <v>MRG-0XX-X-X-1-105</v>
      </c>
      <c r="Q21" s="96" t="str">
        <f>"MRG-"&amp;'reagent overview'!H1&amp;"-1-113"</f>
        <v>MRG-0XX-X-X-1-113</v>
      </c>
    </row>
    <row r="22" spans="2:17" ht="28" x14ac:dyDescent="0.3">
      <c r="B22" s="96" t="str">
        <f>"MRG-"&amp;'reagent overview'!H1&amp;"-"&amp;'reagent overview'!D6&amp;"-"&amp;'reagent overview'!E8&amp;"-"&amp;'reagent overview'!F3&amp;"-1-1h"</f>
        <v>MRG-0XX-X-X-4-A-DMF-1-1h</v>
      </c>
      <c r="C22" s="100" t="str">
        <f>"MRG-"&amp;'reagent overview'!H1&amp;"-"&amp;'reagent overview'!D6&amp;"-"&amp;'reagent overview'!E8&amp;"-"&amp;'reagent overview'!F4&amp;"-1-1h"</f>
        <v>MRG-0XX-X-X-4-A-DMSO-1-1h</v>
      </c>
      <c r="D22" s="101" t="str">
        <f>"MRG-"&amp;'reagent overview'!H1&amp;"-"&amp;'reagent overview'!D6&amp;"-"&amp;'reagent overview'!E8&amp;"-"&amp;'reagent overview'!F5&amp;"-1-1h"</f>
        <v>MRG-0XX-X-X-4-A-Tol-1-1h</v>
      </c>
      <c r="E22" s="100" t="str">
        <f>"MRG-"&amp;'reagent overview'!H1&amp;"-"&amp;'reagent overview'!D7&amp;"-"&amp;'reagent overview'!E8&amp;"-"&amp;'reagent overview'!F3&amp;"-1-1h"</f>
        <v>MRG-0XX-X-X-5-A-DMF-1-1h</v>
      </c>
      <c r="F22" s="99" t="str">
        <f>"MRG-"&amp;'reagent overview'!H1&amp;"-"&amp;'reagent overview'!D7&amp;"-"&amp;'reagent overview'!E8&amp;"-"&amp;'reagent overview'!F4&amp;"-1-1h"</f>
        <v>MRG-0XX-X-X-5-A-DMSO-1-1h</v>
      </c>
      <c r="G22" s="99" t="str">
        <f>"MRG-"&amp;'reagent overview'!H1&amp;"-"&amp;'reagent overview'!D7&amp;"-"&amp;'reagent overview'!E8&amp;"-"&amp;'reagent overview'!F5&amp;"-1-1h"</f>
        <v>MRG-0XX-X-X-5-A-Tol-1-1h</v>
      </c>
      <c r="L22" s="96" t="str">
        <f>"MRG-"&amp;'reagent overview'!H1&amp;"-1-74"</f>
        <v>MRG-0XX-X-X-1-74</v>
      </c>
      <c r="M22" s="100" t="str">
        <f>"MRG-"&amp;'reagent overview'!H1&amp;"-1-82"</f>
        <v>MRG-0XX-X-X-1-82</v>
      </c>
      <c r="N22" s="101" t="str">
        <f>"MRG-"&amp;'reagent overview'!H1&amp;"-1-90"</f>
        <v>MRG-0XX-X-X-1-90</v>
      </c>
      <c r="O22" s="100" t="str">
        <f>"MRG-"&amp;'reagent overview'!H1&amp;"-1-98"</f>
        <v>MRG-0XX-X-X-1-98</v>
      </c>
      <c r="P22" s="99" t="str">
        <f>"MRG-"&amp;'reagent overview'!H1&amp;"-1-106"</f>
        <v>MRG-0XX-X-X-1-106</v>
      </c>
      <c r="Q22" s="99" t="str">
        <f>"MRG-"&amp;'reagent overview'!H1&amp;"-1-114"</f>
        <v>MRG-0XX-X-X-1-114</v>
      </c>
    </row>
    <row r="23" spans="2:17" ht="28" x14ac:dyDescent="0.3">
      <c r="B23" s="96" t="str">
        <f>"MRG-"&amp;'reagent overview'!H1&amp;"-"&amp;'reagent overview'!D6&amp;"-"&amp;'reagent overview'!E8&amp;"-"&amp;'reagent overview'!F3&amp;"-1-2h"</f>
        <v>MRG-0XX-X-X-4-A-DMF-1-2h</v>
      </c>
      <c r="C23" s="97" t="str">
        <f>"MRG-"&amp;'reagent overview'!H1&amp;"-"&amp;'reagent overview'!D6&amp;"-"&amp;'reagent overview'!E8&amp;"-"&amp;'reagent overview'!F4&amp;"-1-2h"</f>
        <v>MRG-0XX-X-X-4-A-DMSO-1-2h</v>
      </c>
      <c r="D23" s="98" t="str">
        <f>"MRG-"&amp;'reagent overview'!H1&amp;"-"&amp;'reagent overview'!D6&amp;"-"&amp;'reagent overview'!E8&amp;"-"&amp;'reagent overview'!F5&amp;"-1-2h"</f>
        <v>MRG-0XX-X-X-4-A-Tol-1-2h</v>
      </c>
      <c r="E23" s="97" t="str">
        <f>"MRG-"&amp;'reagent overview'!H1&amp;"-"&amp;'reagent overview'!D7&amp;"-"&amp;'reagent overview'!E8&amp;"-"&amp;'reagent overview'!F3&amp;"-1-2h"</f>
        <v>MRG-0XX-X-X-5-A-DMF-1-2h</v>
      </c>
      <c r="F23" s="96" t="str">
        <f>"MRG-"&amp;'reagent overview'!H1&amp;"-"&amp;'reagent overview'!D7&amp;"-"&amp;'reagent overview'!E8&amp;"-"&amp;'reagent overview'!F4&amp;"-1-2h"</f>
        <v>MRG-0XX-X-X-5-A-DMSO-1-2h</v>
      </c>
      <c r="G23" s="96" t="str">
        <f>"MRG-"&amp;'reagent overview'!H1&amp;"-"&amp;'reagent overview'!D7&amp;"-"&amp;'reagent overview'!E8&amp;"-"&amp;'reagent overview'!F5&amp;"-1-2h"</f>
        <v>MRG-0XX-X-X-5-A-Tol-1-2h</v>
      </c>
      <c r="L23" s="96" t="str">
        <f>"MRG-"&amp;'reagent overview'!H1&amp;"-1-75"</f>
        <v>MRG-0XX-X-X-1-75</v>
      </c>
      <c r="M23" s="97" t="str">
        <f>"MRG-"&amp;'reagent overview'!H1&amp;"-1-83"</f>
        <v>MRG-0XX-X-X-1-83</v>
      </c>
      <c r="N23" s="98" t="str">
        <f>"MRG-"&amp;'reagent overview'!H1&amp;"-1-91"</f>
        <v>MRG-0XX-X-X-1-91</v>
      </c>
      <c r="O23" s="97" t="str">
        <f>"MRG-"&amp;'reagent overview'!H1&amp;"-1-99"</f>
        <v>MRG-0XX-X-X-1-99</v>
      </c>
      <c r="P23" s="96" t="str">
        <f>"MRG-"&amp;'reagent overview'!H1&amp;"-1-107"</f>
        <v>MRG-0XX-X-X-1-107</v>
      </c>
      <c r="Q23" s="96" t="str">
        <f>"MRG-"&amp;'reagent overview'!H1&amp;"-1-115"</f>
        <v>MRG-0XX-X-X-1-115</v>
      </c>
    </row>
    <row r="24" spans="2:17" ht="28" x14ac:dyDescent="0.3">
      <c r="B24" s="96" t="str">
        <f>"MRG-"&amp;'reagent overview'!H1&amp;"-"&amp;'reagent overview'!D6&amp;"-"&amp;'reagent overview'!E8&amp;"-"&amp;'reagent overview'!F3&amp;"-1-4h"</f>
        <v>MRG-0XX-X-X-4-A-DMF-1-4h</v>
      </c>
      <c r="C24" s="100" t="str">
        <f>"MRG-"&amp;'reagent overview'!H1&amp;"-"&amp;'reagent overview'!D6&amp;"-"&amp;'reagent overview'!E8&amp;"-"&amp;'reagent overview'!F4&amp;"-1-4h"</f>
        <v>MRG-0XX-X-X-4-A-DMSO-1-4h</v>
      </c>
      <c r="D24" s="101" t="str">
        <f>"MRG-"&amp;'reagent overview'!H1&amp;"-"&amp;'reagent overview'!D6&amp;"-"&amp;'reagent overview'!E8&amp;"-"&amp;'reagent overview'!F5&amp;"-1-4h"</f>
        <v>MRG-0XX-X-X-4-A-Tol-1-4h</v>
      </c>
      <c r="E24" s="100" t="str">
        <f>"MRG-"&amp;'reagent overview'!H1&amp;"-"&amp;'reagent overview'!D7&amp;"-"&amp;'reagent overview'!E8&amp;"-"&amp;'reagent overview'!F3&amp;"-1-4h"</f>
        <v>MRG-0XX-X-X-5-A-DMF-1-4h</v>
      </c>
      <c r="F24" s="99" t="str">
        <f>"MRG-"&amp;'reagent overview'!H1&amp;"-"&amp;'reagent overview'!D7&amp;"-"&amp;'reagent overview'!E8&amp;"-"&amp;'reagent overview'!F4&amp;"-1-4h"</f>
        <v>MRG-0XX-X-X-5-A-DMSO-1-4h</v>
      </c>
      <c r="G24" s="99" t="str">
        <f>"MRG-"&amp;'reagent overview'!H1&amp;"-"&amp;'reagent overview'!D7&amp;"-"&amp;'reagent overview'!E8&amp;"-"&amp;'reagent overview'!F5&amp;"-1-4h"</f>
        <v>MRG-0XX-X-X-5-A-Tol-1-4h</v>
      </c>
      <c r="L24" s="96" t="str">
        <f>"MRG-"&amp;'reagent overview'!H1&amp;"-1-76"</f>
        <v>MRG-0XX-X-X-1-76</v>
      </c>
      <c r="M24" s="100" t="str">
        <f>"MRG-"&amp;'reagent overview'!H1&amp;"-1-84"</f>
        <v>MRG-0XX-X-X-1-84</v>
      </c>
      <c r="N24" s="101" t="str">
        <f>"MRG-"&amp;'reagent overview'!H1&amp;"-1-92"</f>
        <v>MRG-0XX-X-X-1-92</v>
      </c>
      <c r="O24" s="100" t="str">
        <f>"MRG-"&amp;'reagent overview'!H1&amp;"-1-100"</f>
        <v>MRG-0XX-X-X-1-100</v>
      </c>
      <c r="P24" s="99" t="str">
        <f>"MRG-"&amp;'reagent overview'!H1&amp;"-1-108"</f>
        <v>MRG-0XX-X-X-1-108</v>
      </c>
      <c r="Q24" s="99" t="str">
        <f>"MRG-"&amp;'reagent overview'!H1&amp;"-1-116"</f>
        <v>MRG-0XX-X-X-1-116</v>
      </c>
    </row>
    <row r="25" spans="2:17" ht="28" x14ac:dyDescent="0.3">
      <c r="B25" s="96" t="str">
        <f>"MRG-"&amp;'reagent overview'!H1&amp;"-"&amp;'reagent overview'!D6&amp;"-"&amp;'reagent overview'!E8&amp;"-"&amp;'reagent overview'!F3&amp;"-1-6h"</f>
        <v>MRG-0XX-X-X-4-A-DMF-1-6h</v>
      </c>
      <c r="C25" s="97" t="str">
        <f>"MRG-"&amp;'reagent overview'!H1&amp;"-"&amp;'reagent overview'!D6&amp;"-"&amp;'reagent overview'!E8&amp;"-"&amp;'reagent overview'!F4&amp;"-1-6h"</f>
        <v>MRG-0XX-X-X-4-A-DMSO-1-6h</v>
      </c>
      <c r="D25" s="98" t="str">
        <f>"MRG-"&amp;'reagent overview'!H1&amp;"-"&amp;'reagent overview'!D6&amp;"-"&amp;'reagent overview'!E8&amp;"-"&amp;'reagent overview'!F5&amp;"-1-6h"</f>
        <v>MRG-0XX-X-X-4-A-Tol-1-6h</v>
      </c>
      <c r="E25" s="97" t="str">
        <f>"MRG-"&amp;'reagent overview'!H1&amp;"-"&amp;'reagent overview'!D7&amp;"-"&amp;'reagent overview'!E8&amp;"-"&amp;'reagent overview'!F3&amp;"-1-6h"</f>
        <v>MRG-0XX-X-X-5-A-DMF-1-6h</v>
      </c>
      <c r="F25" s="96" t="str">
        <f>"MRG-"&amp;'reagent overview'!H1&amp;"-"&amp;'reagent overview'!D7&amp;"-"&amp;'reagent overview'!E8&amp;"-"&amp;'reagent overview'!F4&amp;"-1-6h"</f>
        <v>MRG-0XX-X-X-5-A-DMSO-1-6h</v>
      </c>
      <c r="G25" s="96" t="str">
        <f>"MRG-"&amp;'reagent overview'!H1&amp;"-"&amp;'reagent overview'!D7&amp;"-"&amp;'reagent overview'!E8&amp;"-"&amp;'reagent overview'!F5&amp;"-1-6h"</f>
        <v>MRG-0XX-X-X-5-A-Tol-1-6h</v>
      </c>
      <c r="L25" s="96" t="str">
        <f>"MRG-"&amp;'reagent overview'!H1&amp;"-1-77"</f>
        <v>MRG-0XX-X-X-1-77</v>
      </c>
      <c r="M25" s="97" t="str">
        <f>"MRG-"&amp;'reagent overview'!H1&amp;"-1-85"</f>
        <v>MRG-0XX-X-X-1-85</v>
      </c>
      <c r="N25" s="98" t="str">
        <f>"MRG-"&amp;'reagent overview'!H1&amp;"-1-93"</f>
        <v>MRG-0XX-X-X-1-93</v>
      </c>
      <c r="O25" s="97" t="str">
        <f>"MRG-"&amp;'reagent overview'!H1&amp;"-1-101"</f>
        <v>MRG-0XX-X-X-1-101</v>
      </c>
      <c r="P25" s="96" t="str">
        <f>"MRG-"&amp;'reagent overview'!H1&amp;"-1-109"</f>
        <v>MRG-0XX-X-X-1-109</v>
      </c>
      <c r="Q25" s="96" t="str">
        <f>"MRG-"&amp;'reagent overview'!H1&amp;"-1-117"</f>
        <v>MRG-0XX-X-X-1-117</v>
      </c>
    </row>
    <row r="26" spans="2:17" ht="28" x14ac:dyDescent="0.3">
      <c r="B26" s="96" t="str">
        <f>"MRG-"&amp;'reagent overview'!H1&amp;"-"&amp;'reagent overview'!D6&amp;"-"&amp;'reagent overview'!E8&amp;"-"&amp;'reagent overview'!F3&amp;"-1-8h"</f>
        <v>MRG-0XX-X-X-4-A-DMF-1-8h</v>
      </c>
      <c r="C26" s="100" t="str">
        <f>"MRG-"&amp;'reagent overview'!H1&amp;"-"&amp;'reagent overview'!D6&amp;"-"&amp;'reagent overview'!E8&amp;"-"&amp;'reagent overview'!F4&amp;"-1-8h"</f>
        <v>MRG-0XX-X-X-4-A-DMSO-1-8h</v>
      </c>
      <c r="D26" s="101" t="str">
        <f>"MRG-"&amp;'reagent overview'!H1&amp;"-"&amp;'reagent overview'!D6&amp;"-"&amp;'reagent overview'!E8&amp;"-"&amp;'reagent overview'!F5&amp;"-1-8h"</f>
        <v>MRG-0XX-X-X-4-A-Tol-1-8h</v>
      </c>
      <c r="E26" s="100" t="str">
        <f>"MRG-"&amp;'reagent overview'!H1&amp;"-"&amp;'reagent overview'!D7&amp;"-"&amp;'reagent overview'!E8&amp;"-"&amp;'reagent overview'!F3&amp;"-1-8h"</f>
        <v>MRG-0XX-X-X-5-A-DMF-1-8h</v>
      </c>
      <c r="F26" s="99" t="str">
        <f>"MRG-"&amp;'reagent overview'!H1&amp;"-"&amp;'reagent overview'!D7&amp;"-"&amp;'reagent overview'!E8&amp;"-"&amp;'reagent overview'!F4&amp;"-1-8h"</f>
        <v>MRG-0XX-X-X-5-A-DMSO-1-8h</v>
      </c>
      <c r="G26" s="99" t="str">
        <f>"MRG-"&amp;'reagent overview'!H1&amp;"-"&amp;'reagent overview'!D7&amp;"-"&amp;'reagent overview'!E8&amp;"-"&amp;'reagent overview'!F5&amp;"-1-8h"</f>
        <v>MRG-0XX-X-X-5-A-Tol-1-8h</v>
      </c>
      <c r="L26" s="96" t="str">
        <f>"MRG-"&amp;'reagent overview'!H1&amp;"-1-78"</f>
        <v>MRG-0XX-X-X-1-78</v>
      </c>
      <c r="M26" s="100" t="str">
        <f>"MRG-"&amp;'reagent overview'!H1&amp;"-1-86"</f>
        <v>MRG-0XX-X-X-1-86</v>
      </c>
      <c r="N26" s="101" t="str">
        <f>"MRG-"&amp;'reagent overview'!H1&amp;"-1-94"</f>
        <v>MRG-0XX-X-X-1-94</v>
      </c>
      <c r="O26" s="100" t="str">
        <f>"MRG-"&amp;'reagent overview'!H1&amp;"-1-102"</f>
        <v>MRG-0XX-X-X-1-102</v>
      </c>
      <c r="P26" s="99" t="str">
        <f>"MRG-"&amp;'reagent overview'!H1&amp;"-1-110"</f>
        <v>MRG-0XX-X-X-1-110</v>
      </c>
      <c r="Q26" s="99" t="str">
        <f>"MRG-"&amp;'reagent overview'!H1&amp;"-1-118"</f>
        <v>MRG-0XX-X-X-1-118</v>
      </c>
    </row>
    <row r="27" spans="2:17" ht="28" x14ac:dyDescent="0.3">
      <c r="B27" s="96" t="str">
        <f>"MRG-"&amp;'reagent overview'!H1&amp;"-"&amp;'reagent overview'!D6&amp;"-"&amp;'reagent overview'!E8&amp;"-"&amp;'reagent overview'!F3&amp;"-1-10h"</f>
        <v>MRG-0XX-X-X-4-A-DMF-1-10h</v>
      </c>
      <c r="C27" s="97" t="str">
        <f>"MRG-"&amp;'reagent overview'!H1&amp;"-"&amp;'reagent overview'!D6&amp;"-"&amp;'reagent overview'!E8&amp;"-"&amp;'reagent overview'!F4&amp;"-1-10h"</f>
        <v>MRG-0XX-X-X-4-A-DMSO-1-10h</v>
      </c>
      <c r="D27" s="98" t="str">
        <f>"MRG-"&amp;'reagent overview'!H1&amp;"-"&amp;'reagent overview'!D6&amp;"-"&amp;'reagent overview'!E8&amp;"-"&amp;'reagent overview'!F5&amp;"-1-10h"</f>
        <v>MRG-0XX-X-X-4-A-Tol-1-10h</v>
      </c>
      <c r="E27" s="97" t="str">
        <f>"MRG-"&amp;'reagent overview'!H1&amp;"-"&amp;'reagent overview'!D7&amp;"-"&amp;'reagent overview'!E8&amp;"-"&amp;'reagent overview'!F3&amp;"-1-10h"</f>
        <v>MRG-0XX-X-X-5-A-DMF-1-10h</v>
      </c>
      <c r="F27" s="96" t="str">
        <f>"MRG-"&amp;'reagent overview'!H1&amp;"-"&amp;'reagent overview'!D7&amp;"-"&amp;'reagent overview'!E8&amp;"-"&amp;'reagent overview'!F4&amp;"-1-10h"</f>
        <v>MRG-0XX-X-X-5-A-DMSO-1-10h</v>
      </c>
      <c r="G27" s="96" t="str">
        <f>"MRG-"&amp;'reagent overview'!H1&amp;"-"&amp;'reagent overview'!D7&amp;"-"&amp;'reagent overview'!E8&amp;"-"&amp;'reagent overview'!F5&amp;"-1-10h"</f>
        <v>MRG-0XX-X-X-5-A-Tol-1-10h</v>
      </c>
      <c r="L27" s="96" t="str">
        <f>"MRG-"&amp;'reagent overview'!H1&amp;"-1-79"</f>
        <v>MRG-0XX-X-X-1-79</v>
      </c>
      <c r="M27" s="97" t="str">
        <f>"MRG-"&amp;'reagent overview'!H1&amp;"-1-87"</f>
        <v>MRG-0XX-X-X-1-87</v>
      </c>
      <c r="N27" s="98" t="str">
        <f>"MRG-"&amp;'reagent overview'!H1&amp;"-1-95"</f>
        <v>MRG-0XX-X-X-1-95</v>
      </c>
      <c r="O27" s="97" t="str">
        <f>"MRG-"&amp;'reagent overview'!H1&amp;"-103"</f>
        <v>MRG-0XX-X-X-103</v>
      </c>
      <c r="P27" s="96" t="str">
        <f>"MRG-"&amp;'reagent overview'!H1&amp;"-1-111"</f>
        <v>MRG-0XX-X-X-1-111</v>
      </c>
      <c r="Q27" s="96" t="str">
        <f>"MRG-"&amp;'reagent overview'!H1&amp;"-1-119"</f>
        <v>MRG-0XX-X-X-1-119</v>
      </c>
    </row>
    <row r="28" spans="2:17" ht="28" x14ac:dyDescent="0.3">
      <c r="B28" s="111" t="str">
        <f>"MRG-"&amp;'reagent overview'!H1&amp;"-"&amp;'reagent overview'!D6&amp;"-"&amp;'reagent overview'!E8&amp;"-"&amp;'reagent overview'!F3&amp;"-1-15h"</f>
        <v>MRG-0XX-X-X-4-A-DMF-1-15h</v>
      </c>
      <c r="C28" s="110" t="str">
        <f>"MRG-"&amp;'reagent overview'!H1&amp;"-"&amp;'reagent overview'!D6&amp;"-"&amp;'reagent overview'!E8&amp;"-"&amp;'reagent overview'!F4&amp;"-1-15h"</f>
        <v>MRG-0XX-X-X-4-A-DMSO-1-15h</v>
      </c>
      <c r="D28" s="109" t="str">
        <f>"MRG-"&amp;'reagent overview'!H1&amp;"-"&amp;'reagent overview'!D6&amp;"-"&amp;'reagent overview'!E8&amp;"-"&amp;'reagent overview'!F5&amp;"-1-15h"</f>
        <v>MRG-0XX-X-X-4-A-Tol-1-15h</v>
      </c>
      <c r="E28" s="110" t="str">
        <f>"MRG-"&amp;'reagent overview'!H1&amp;"-"&amp;'reagent overview'!D7&amp;"-"&amp;'reagent overview'!E8&amp;"-"&amp;'reagent overview'!F3&amp;"-1-15h"</f>
        <v>MRG-0XX-X-X-5-A-DMF-1-15h</v>
      </c>
      <c r="F28" s="108" t="str">
        <f>"MRG-"&amp;'reagent overview'!H1&amp;"-"&amp;'reagent overview'!D7&amp;"-"&amp;'reagent overview'!E8&amp;"-"&amp;'reagent overview'!F4&amp;"-1-15h"</f>
        <v>MRG-0XX-X-X-5-A-DMSO-1-15h</v>
      </c>
      <c r="G28" s="108" t="str">
        <f>"MRG-"&amp;'reagent overview'!H1&amp;"-"&amp;'reagent overview'!D7&amp;"-"&amp;'reagent overview'!E8&amp;"-"&amp;'reagent overview'!F5&amp;"-1-15h"</f>
        <v>MRG-0XX-X-X-5-A-Tol-1-15h</v>
      </c>
      <c r="L28" s="111" t="str">
        <f>"MRG-"&amp;'reagent overview'!H1&amp;"-1-80"</f>
        <v>MRG-0XX-X-X-1-80</v>
      </c>
      <c r="M28" s="110" t="str">
        <f>"MRG-"&amp;'reagent overview'!H1&amp;"-1-88"</f>
        <v>MRG-0XX-X-X-1-88</v>
      </c>
      <c r="N28" s="109" t="str">
        <f>"MRG-"&amp;'reagent overview'!H1&amp;"-1-96"</f>
        <v>MRG-0XX-X-X-1-96</v>
      </c>
      <c r="O28" s="110" t="str">
        <f>"MRG-"&amp;'reagent overview'!H1&amp;"-1-104"</f>
        <v>MRG-0XX-X-X-1-104</v>
      </c>
      <c r="P28" s="108" t="str">
        <f>"MRG-"&amp;'reagent overview'!H1&amp;"-1-112"</f>
        <v>MRG-0XX-X-X-1-112</v>
      </c>
      <c r="Q28" s="108" t="str">
        <f>"MRG-"&amp;'reagent overview'!H1&amp;"-1-120"</f>
        <v>MRG-0XX-X-X-1-120</v>
      </c>
    </row>
    <row r="29" spans="2:17" x14ac:dyDescent="0.3">
      <c r="B29" s="12"/>
      <c r="C29" s="12"/>
      <c r="D29" s="12"/>
      <c r="E29" s="12"/>
      <c r="F29" s="12"/>
      <c r="G29" s="12"/>
      <c r="L29" s="12"/>
      <c r="M29" s="12"/>
      <c r="N29" s="12"/>
      <c r="O29" s="12"/>
      <c r="P29" s="12"/>
      <c r="Q29" s="12"/>
    </row>
  </sheetData>
  <pageMargins left="0.7" right="0.7" top="0.78740157499999996" bottom="0.78740157499999996" header="0.3" footer="0.3"/>
  <pageSetup paperSize="9" scale="57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359E04083A72D49A567FF0E9DD00540" ma:contentTypeVersion="9" ma:contentTypeDescription="Ein neues Dokument erstellen." ma:contentTypeScope="" ma:versionID="51b22717020782629cbcd52625a6c50a">
  <xsd:schema xmlns:xsd="http://www.w3.org/2001/XMLSchema" xmlns:xs="http://www.w3.org/2001/XMLSchema" xmlns:p="http://schemas.microsoft.com/office/2006/metadata/properties" xmlns:ns3="9ca870b1-9e8b-4fdf-8cc1-bdc0d0426960" targetNamespace="http://schemas.microsoft.com/office/2006/metadata/properties" ma:root="true" ma:fieldsID="3cb935a6c16bfd218946c68765f7fa5a" ns3:_="">
    <xsd:import namespace="9ca870b1-9e8b-4fdf-8cc1-bdc0d042696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LengthInSecond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a870b1-9e8b-4fdf-8cc1-bdc0d04269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6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D8893C9-FB52-4EAE-B4EB-234A4D780C9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AADEE7D-7A4F-4C29-AD54-C21E5AFEB4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a870b1-9e8b-4fdf-8cc1-bdc0d04269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756E4F2-6867-45D5-B9AC-B514BE25C464}">
  <ds:schemaRefs>
    <ds:schemaRef ds:uri="http://www.w3.org/XML/1998/namespace"/>
    <ds:schemaRef ds:uri="http://schemas.microsoft.com/office/2006/metadata/properties"/>
    <ds:schemaRef ds:uri="9ca870b1-9e8b-4fdf-8cc1-bdc0d0426960"/>
    <ds:schemaRef ds:uri="http://purl.org/dc/elements/1.1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general overview</vt:lpstr>
      <vt:lpstr>calculation of necessary chemic</vt:lpstr>
      <vt:lpstr>calculation RAFTAIBN solution</vt:lpstr>
      <vt:lpstr>calculation Trioxane solution</vt:lpstr>
      <vt:lpstr>Standards solution tests</vt:lpstr>
      <vt:lpstr>reagent overview</vt:lpstr>
      <vt:lpstr>NMR-table</vt:lpstr>
      <vt:lpstr>SEC-table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Ringleb</dc:creator>
  <cp:lastModifiedBy>Yannik Köster</cp:lastModifiedBy>
  <cp:lastPrinted>2023-05-05T10:40:11Z</cp:lastPrinted>
  <dcterms:created xsi:type="dcterms:W3CDTF">2021-03-01T14:19:55Z</dcterms:created>
  <dcterms:modified xsi:type="dcterms:W3CDTF">2025-08-19T10:50:09Z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0x010100F359E04083A72D49A567FF0E9DD00540</vt:lpwstr>
  </property>
</Properties>
</file>