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648de80ecbbaf7/Desktop/Bootcamp/turn in/resources/"/>
    </mc:Choice>
  </mc:AlternateContent>
  <xr:revisionPtr revIDLastSave="2" documentId="8_{DB9B0E93-8D58-44E9-83B7-E8B4582F4191}" xr6:coauthVersionLast="47" xr6:coauthVersionMax="47" xr10:uidLastSave="{3F73D88B-EDAD-456A-8B11-0D123944A78A}"/>
  <bookViews>
    <workbookView xWindow="-20520" yWindow="1290" windowWidth="20640" windowHeight="11040" activeTab="6" xr2:uid="{00000000-000D-0000-FFFF-FFFF00000000}"/>
  </bookViews>
  <sheets>
    <sheet name="Kickstarter" sheetId="1" r:id="rId1"/>
    <sheet name="Outcomes Based on Goals" sheetId="13" r:id="rId2"/>
    <sheet name="Outcomes based on launch date" sheetId="5" r:id="rId3"/>
    <sheet name="Category Statistics" sheetId="2" r:id="rId4"/>
    <sheet name="Subcategory Statistics" sheetId="3" r:id="rId5"/>
    <sheet name="Edinburgh Research" sheetId="6" r:id="rId6"/>
    <sheet name="Descriptive Statistics" sheetId="10" r:id="rId7"/>
    <sheet name="Theater Outcomes by Launch Date" sheetId="12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G2" i="13"/>
  <c r="H3" i="13"/>
  <c r="H4" i="13"/>
  <c r="H5" i="13"/>
  <c r="H6" i="13"/>
  <c r="H7" i="13"/>
  <c r="H8" i="13"/>
  <c r="H9" i="13"/>
  <c r="H10" i="13"/>
  <c r="H11" i="13"/>
  <c r="H12" i="13"/>
  <c r="H13" i="13"/>
  <c r="H2" i="13"/>
  <c r="F2" i="13"/>
  <c r="D13" i="13"/>
  <c r="C13" i="13"/>
  <c r="B13" i="13"/>
  <c r="D12" i="13"/>
  <c r="C12" i="13"/>
  <c r="D11" i="13"/>
  <c r="C11" i="13"/>
  <c r="D10" i="13"/>
  <c r="C10" i="13"/>
  <c r="D9" i="13"/>
  <c r="C9" i="13"/>
  <c r="D8" i="13"/>
  <c r="C8" i="13"/>
  <c r="D7" i="13"/>
  <c r="C7" i="13"/>
  <c r="B12" i="13"/>
  <c r="B11" i="13"/>
  <c r="B10" i="13"/>
  <c r="B9" i="13"/>
  <c r="B8" i="13"/>
  <c r="B7" i="13"/>
  <c r="D5" i="13"/>
  <c r="C5" i="13"/>
  <c r="D4" i="13"/>
  <c r="C4" i="13"/>
  <c r="D3" i="13"/>
  <c r="C3" i="13"/>
  <c r="D6" i="13"/>
  <c r="C6" i="13"/>
  <c r="B6" i="13"/>
  <c r="B5" i="13"/>
  <c r="B4" i="13"/>
  <c r="B3" i="13"/>
  <c r="D2" i="13"/>
  <c r="C2" i="13"/>
  <c r="B2" i="13"/>
  <c r="C13" i="10"/>
  <c r="B13" i="10"/>
  <c r="C12" i="10"/>
  <c r="C14" i="10" s="1"/>
  <c r="B12" i="10"/>
  <c r="C6" i="10"/>
  <c r="C5" i="10"/>
  <c r="B5" i="10"/>
  <c r="C11" i="10"/>
  <c r="C4" i="10"/>
  <c r="B4" i="10"/>
  <c r="B6" i="10"/>
  <c r="B11" i="10"/>
  <c r="C9" i="10"/>
  <c r="C10" i="10"/>
  <c r="B10" i="10"/>
  <c r="B9" i="10"/>
  <c r="C3" i="10"/>
  <c r="B3" i="10"/>
  <c r="C2" i="10"/>
  <c r="B2" i="10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4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B7" i="10"/>
  <c r="E2" i="13"/>
  <c r="E13" i="13"/>
  <c r="E12" i="13"/>
  <c r="E11" i="13"/>
  <c r="E10" i="13"/>
  <c r="E9" i="13"/>
  <c r="E8" i="13"/>
  <c r="E7" i="13"/>
  <c r="E6" i="13"/>
  <c r="E5" i="13"/>
  <c r="E4" i="13"/>
  <c r="E3" i="13"/>
  <c r="B14" i="10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<sst xmlns="http://schemas.openxmlformats.org/spreadsheetml/2006/main" count="33049" uniqueCount="8418">
  <si>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</si>
  <si>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</si>
  <si>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</si>
  <si>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</si>
  <si>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</si>
  <si>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</si>
  <si>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</si>
  <si>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</si>
  <si>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</si>
  <si>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</si>
  <si>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</si>
  <si>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</si>
  <si>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</si>
  <si>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</si>
  <si>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</si>
  <si>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</si>
  <si>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</si>
  <si>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</si>
  <si>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</si>
  <si>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</si>
  <si>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</si>
  <si>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</si>
  <si>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</si>
  <si>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</si>
  <si>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</si>
  <si>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</si>
  <si>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</si>
  <si>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</si>
  <si>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</si>
  <si>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</si>
  <si>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</si>
  <si>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</si>
  <si>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</si>
  <si>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</si>
  <si>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</si>
  <si>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</si>
  <si>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</si>
  <si>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</si>
  <si>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</si>
  <si>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</si>
  <si>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</si>
  <si>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</si>
  <si>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</si>
  <si>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</si>
  <si>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</si>
  <si>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</si>
  <si>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</si>
  <si>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</si>
  <si>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</si>
  <si>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</si>
  <si>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</si>
  <si>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</si>
  <si>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</si>
  <si>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</si>
  <si>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</si>
  <si>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</si>
  <si>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</si>
  <si>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</si>
  <si>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</si>
  <si>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</si>
  <si>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</si>
  <si>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</si>
  <si>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</si>
  <si>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</si>
  <si>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</si>
  <si>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</si>
  <si>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</si>
  <si>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</si>
  <si>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</si>
  <si>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</si>
  <si>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</si>
  <si>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</si>
  <si>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</si>
  <si>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</si>
  <si>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</si>
  <si>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</si>
  <si>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</si>
  <si>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</si>
  <si>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</si>
  <si>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</si>
  <si>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</si>
  <si>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</si>
  <si>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</si>
  <si>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</si>
  <si>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</si>
  <si>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</si>
  <si>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</si>
  <si>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</si>
  <si>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</si>
  <si>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</si>
  <si>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</si>
  <si>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</si>
  <si>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</si>
  <si>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</si>
  <si>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</si>
  <si>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</si>
  <si>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</si>
  <si>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</si>
  <si>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</si>
  <si>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</si>
  <si>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</si>
  <si>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</si>
  <si>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</si>
  <si>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</si>
  <si>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</si>
  <si>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</si>
  <si>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</si>
  <si>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</si>
  <si>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</si>
  <si>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</si>
  <si>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</si>
  <si>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</si>
  <si>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</si>
  <si>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</si>
  <si>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</si>
  <si>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</si>
  <si>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</si>
  <si>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</si>
  <si>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</si>
  <si>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</si>
  <si>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</si>
  <si>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</si>
  <si>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</si>
  <si>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</si>
  <si>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</si>
  <si>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</si>
  <si>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</si>
  <si>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</si>
  <si>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</si>
  <si>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</si>
  <si>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</si>
  <si>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</si>
  <si>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</si>
  <si>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</si>
  <si>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</si>
  <si>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</si>
  <si>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</si>
  <si>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</si>
  <si>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</si>
  <si>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</si>
  <si>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</si>
  <si>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</si>
  <si>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</si>
  <si>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</si>
  <si>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</si>
  <si>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</si>
  <si>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</si>
  <si>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</si>
  <si>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</si>
  <si>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</si>
  <si>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</si>
  <si>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</si>
  <si>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</si>
  <si>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</si>
  <si>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</si>
  <si>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</si>
  <si>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</si>
  <si>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</si>
  <si>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</si>
  <si>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</si>
  <si>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</si>
  <si>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</si>
  <si>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</si>
  <si>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</si>
  <si>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</si>
  <si>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</si>
  <si>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</si>
  <si>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</si>
  <si>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</si>
  <si>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</si>
  <si>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</si>
  <si>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</si>
  <si>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</si>
  <si>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</si>
  <si>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</si>
  <si>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</si>
  <si>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</si>
  <si>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</si>
  <si>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</si>
  <si>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</si>
  <si>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</si>
  <si>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</si>
  <si>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</si>
  <si>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</si>
  <si>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</si>
  <si>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</si>
  <si>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</si>
  <si>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</si>
  <si>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</si>
  <si>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</si>
  <si>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</si>
  <si>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</si>
  <si>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</si>
  <si>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</si>
  <si>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</si>
  <si>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</si>
  <si>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</si>
  <si>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</si>
  <si>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</si>
  <si>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</si>
  <si>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</si>
  <si>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</si>
  <si>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</si>
  <si>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</si>
  <si>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</si>
  <si>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</si>
  <si>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</si>
  <si>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</si>
  <si>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</si>
  <si>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</si>
  <si>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</si>
  <si>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</si>
  <si>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</si>
  <si>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</si>
  <si>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</si>
  <si>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</si>
  <si>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</si>
  <si>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</si>
  <si>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</si>
  <si>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</si>
  <si>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</si>
  <si>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</si>
  <si>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</si>
  <si>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</si>
  <si>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</si>
  <si>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</si>
  <si>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</si>
  <si>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</si>
  <si>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</si>
  <si>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</si>
  <si>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</si>
  <si>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</si>
  <si>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</si>
  <si>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</si>
  <si>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</si>
  <si>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</si>
  <si>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</si>
  <si>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</si>
  <si>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</si>
  <si>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</si>
  <si>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</si>
  <si>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</si>
  <si>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</si>
  <si>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</si>
  <si>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</si>
  <si>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</si>
  <si>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</si>
  <si>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</si>
  <si>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</si>
  <si>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</si>
  <si>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</si>
  <si>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</si>
  <si>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</si>
  <si>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</si>
  <si>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</si>
  <si>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</si>
  <si>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</si>
  <si>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</si>
  <si>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</si>
  <si>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</si>
  <si>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</si>
  <si>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</si>
  <si>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</si>
  <si>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</si>
  <si>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</si>
  <si>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</si>
  <si>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</si>
  <si>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</si>
  <si>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</si>
  <si>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</si>
  <si>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</si>
  <si>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</si>
  <si>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</si>
  <si>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</si>
  <si>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</si>
  <si>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</si>
  <si>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</si>
  <si>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</si>
  <si>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</si>
  <si>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</si>
  <si>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</si>
  <si>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</si>
  <si>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</si>
  <si>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</si>
  <si>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</si>
  <si>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</si>
  <si>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</si>
  <si>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</si>
  <si>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</si>
  <si>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</si>
  <si>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</si>
  <si>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</si>
  <si>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</si>
  <si>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</si>
  <si>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</si>
  <si>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</si>
  <si>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</si>
  <si>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</si>
  <si>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</si>
  <si>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</si>
  <si>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</si>
  <si>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</si>
  <si>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</si>
  <si>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</si>
  <si>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</si>
  <si>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</si>
  <si>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</si>
  <si>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</si>
  <si>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</si>
  <si>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</si>
  <si>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</si>
  <si>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</si>
  <si>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</si>
  <si>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</si>
  <si>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</si>
  <si>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</si>
  <si>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</si>
  <si>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</si>
  <si>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</si>
  <si>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</si>
  <si>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</si>
  <si>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</si>
  <si>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</si>
  <si>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</si>
  <si>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</si>
  <si>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</si>
  <si>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</si>
  <si>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</si>
  <si>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</si>
  <si>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</si>
  <si>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</si>
  <si>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</si>
  <si>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</si>
  <si>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</si>
  <si>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</si>
  <si>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</si>
  <si>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</si>
  <si>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</si>
  <si>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</si>
  <si>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</si>
  <si>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</si>
  <si>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</si>
  <si>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</si>
  <si>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</si>
  <si>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</si>
  <si>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</si>
  <si>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</si>
  <si>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</si>
  <si>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</si>
  <si>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</si>
  <si>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</si>
  <si>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</si>
  <si>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</si>
  <si>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</si>
  <si>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</si>
  <si>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</si>
  <si>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</si>
  <si>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</si>
  <si>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</si>
  <si>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</si>
  <si>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</si>
  <si>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</si>
  <si>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</si>
  <si>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</si>
  <si>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</si>
  <si>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</si>
  <si>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</si>
  <si>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</si>
  <si>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</si>
  <si>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</si>
  <si>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</si>
  <si>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</si>
  <si>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</si>
  <si>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</si>
  <si>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</si>
  <si>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</si>
  <si>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</si>
  <si>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</si>
  <si>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</si>
  <si>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</si>
  <si>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</si>
  <si>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</si>
  <si>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</si>
  <si>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</si>
  <si>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</si>
  <si>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</si>
  <si>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</si>
  <si>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</si>
  <si>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</si>
  <si>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</si>
  <si>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</si>
  <si>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</si>
  <si>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</si>
  <si>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</si>
  <si>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</si>
  <si>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</si>
  <si>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</si>
  <si>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</si>
  <si>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</si>
  <si>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</si>
  <si>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</si>
  <si>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</si>
  <si>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</si>
  <si>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</si>
  <si>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</si>
  <si>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</si>
  <si>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</si>
  <si>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</si>
  <si>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</si>
  <si>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</si>
  <si>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</si>
  <si>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</si>
  <si>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</si>
  <si>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</si>
  <si>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</si>
  <si>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</si>
  <si>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</si>
  <si>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</si>
  <si>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</si>
  <si>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</si>
  <si>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</si>
  <si>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</si>
  <si>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</si>
  <si>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</si>
  <si>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</si>
  <si>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</si>
  <si>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</si>
  <si>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</si>
  <si>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</si>
  <si>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</si>
  <si>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</si>
  <si>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</si>
  <si>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</si>
  <si>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</si>
  <si>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</si>
  <si>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</si>
  <si>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</si>
  <si>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</si>
  <si>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</si>
  <si>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</si>
  <si>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</si>
  <si>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</si>
  <si>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</si>
  <si>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</si>
  <si>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</si>
  <si>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</si>
  <si>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</si>
  <si>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</si>
  <si>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</si>
  <si>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</si>
  <si>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</si>
  <si>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</si>
  <si>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</si>
  <si>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</si>
  <si>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</si>
  <si>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</si>
  <si>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</si>
  <si>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</si>
  <si>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</si>
  <si>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</si>
  <si>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</si>
  <si>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</si>
  <si>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</si>
  <si>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</si>
  <si>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</si>
  <si>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</si>
  <si>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</si>
  <si>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</si>
  <si>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</si>
  <si>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</si>
  <si>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</si>
  <si>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</si>
  <si>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</si>
  <si>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</si>
  <si>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</si>
  <si>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</si>
  <si>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</si>
  <si>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</si>
  <si>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</si>
  <si>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</si>
  <si>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</si>
  <si>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</si>
  <si>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</si>
  <si>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</si>
  <si>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</si>
  <si>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</si>
  <si>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</si>
  <si>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</si>
  <si>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</si>
  <si>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</si>
  <si>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</si>
  <si>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</si>
  <si>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</si>
  <si>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</si>
  <si>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</si>
  <si>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</si>
  <si>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</si>
  <si>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</si>
  <si>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</si>
  <si>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</si>
  <si>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</si>
  <si>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</si>
  <si>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</si>
  <si>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</si>
  <si>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</si>
  <si>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</si>
  <si>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</si>
  <si>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</si>
  <si>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</si>
  <si>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</si>
  <si>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</si>
  <si>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</si>
  <si>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</si>
  <si>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</si>
  <si>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</si>
  <si>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</si>
  <si>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</si>
  <si>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</si>
  <si>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</si>
  <si>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</si>
  <si>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</si>
  <si>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</si>
  <si>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</si>
  <si>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</si>
  <si>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</si>
  <si>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</si>
  <si>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</si>
  <si>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</si>
  <si>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</si>
  <si>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</si>
  <si>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</si>
  <si>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</si>
  <si>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</si>
  <si>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</si>
  <si>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</si>
  <si>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</si>
  <si>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</si>
  <si>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</si>
  <si>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</si>
  <si>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</si>
  <si>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</si>
  <si>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</si>
  <si>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</si>
  <si>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</si>
  <si>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</si>
  <si>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</si>
  <si>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</si>
  <si>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</si>
  <si>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</si>
  <si>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</si>
  <si>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</si>
  <si>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</si>
  <si>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</si>
  <si>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</si>
  <si>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</si>
  <si>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</si>
  <si>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</si>
  <si>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</si>
  <si>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</si>
  <si>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</si>
  <si>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</si>
  <si>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</si>
  <si>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</si>
  <si>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</si>
  <si>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</si>
  <si>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</si>
  <si>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</si>
  <si>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</si>
  <si>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</si>
  <si>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</si>
  <si>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</si>
  <si>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</si>
  <si>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</si>
  <si>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</si>
  <si>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</si>
  <si>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</si>
  <si>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</si>
  <si>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</si>
  <si>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</si>
  <si>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</si>
  <si>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</si>
  <si>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</si>
  <si>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</si>
  <si>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</si>
  <si>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</si>
  <si>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</si>
  <si>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</si>
  <si>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</si>
  <si>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</si>
  <si>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</si>
  <si>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</si>
  <si>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</si>
  <si>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</si>
  <si>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</si>
  <si>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</si>
  <si>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</si>
  <si>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</si>
  <si>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</si>
  <si>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</si>
  <si>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</si>
  <si>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</si>
  <si>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</si>
  <si>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</si>
  <si>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</si>
  <si>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</si>
  <si>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</si>
  <si>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</si>
  <si>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</si>
  <si>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</si>
  <si>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</si>
  <si>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</si>
  <si>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</si>
  <si>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</si>
  <si>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</si>
  <si>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</si>
  <si>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</si>
  <si>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</si>
  <si>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</si>
  <si>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</si>
  <si>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</si>
  <si>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</si>
  <si>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</si>
  <si>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</si>
  <si>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</si>
  <si>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</si>
  <si>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</si>
  <si>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</si>
  <si>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</si>
  <si>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</si>
  <si>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</si>
  <si>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</si>
  <si>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</si>
  <si>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</si>
  <si>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</si>
  <si>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</si>
  <si>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</si>
  <si>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</si>
  <si>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</si>
  <si>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</si>
  <si>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</si>
  <si>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</si>
  <si>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</si>
  <si>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</si>
  <si>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</si>
  <si>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</si>
  <si>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</si>
  <si>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</si>
  <si>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</si>
  <si>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</si>
  <si>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</si>
  <si>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</si>
  <si>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</si>
  <si>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</si>
  <si>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</si>
  <si>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</si>
  <si>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</si>
  <si>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</si>
  <si>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</si>
  <si>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</si>
  <si>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</si>
  <si>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</si>
  <si>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</si>
  <si>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</si>
  <si>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</si>
  <si>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</si>
  <si>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</si>
  <si>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</si>
  <si>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</si>
  <si>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</si>
  <si>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</si>
  <si>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</si>
  <si>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</si>
  <si>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</si>
  <si>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</si>
  <si>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</si>
  <si>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</si>
  <si>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</si>
  <si>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</si>
  <si>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</si>
  <si>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</si>
  <si>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</si>
  <si>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</si>
  <si>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</si>
  <si>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</si>
  <si>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</si>
  <si>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</si>
  <si>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</si>
  <si>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</si>
  <si>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</si>
  <si>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</si>
  <si>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</si>
  <si>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</si>
  <si>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</si>
  <si>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</si>
  <si>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</si>
  <si>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</si>
  <si>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</si>
  <si>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</si>
  <si>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</si>
  <si>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</si>
  <si>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</si>
  <si>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</si>
  <si>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</si>
  <si>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</si>
  <si>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</si>
  <si>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</si>
  <si>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</si>
  <si>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</si>
  <si>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</si>
  <si>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</si>
  <si>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</si>
  <si>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</si>
  <si>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</si>
  <si>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</si>
  <si>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</si>
  <si>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</si>
  <si>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</si>
  <si>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</si>
  <si>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</si>
  <si>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</si>
  <si>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</si>
  <si>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</si>
  <si>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</si>
  <si>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</si>
  <si>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</si>
  <si>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</si>
  <si>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</si>
  <si>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</si>
  <si>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</si>
  <si>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</si>
  <si>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</si>
  <si>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</si>
  <si>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</si>
  <si>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</si>
  <si>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</si>
  <si>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</si>
  <si>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</si>
  <si>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</si>
  <si>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</si>
  <si>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</si>
  <si>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</si>
  <si>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</si>
  <si>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</si>
  <si>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</si>
  <si>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</si>
  <si>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</si>
  <si>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</si>
  <si>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</si>
  <si>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</si>
  <si>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</si>
  <si>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</si>
  <si>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</si>
  <si>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</si>
  <si>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</si>
  <si>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</si>
  <si>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</si>
  <si>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</si>
  <si>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</si>
  <si>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</si>
  <si>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</si>
  <si>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</si>
  <si>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</si>
  <si>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</si>
  <si>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</si>
  <si>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</si>
  <si>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</si>
  <si>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</si>
  <si>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</si>
  <si>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</si>
  <si>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</si>
  <si>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</si>
  <si>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</si>
  <si>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</si>
  <si>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</si>
  <si>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</si>
  <si>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</si>
  <si>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</si>
  <si>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</si>
  <si>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</si>
  <si>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</si>
  <si>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</si>
  <si>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</si>
  <si>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</si>
  <si>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</si>
  <si>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</si>
  <si>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</si>
  <si>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</si>
  <si>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</si>
  <si>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</si>
  <si>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</si>
  <si>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</si>
  <si>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</si>
  <si>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</si>
  <si>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</si>
  <si>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</si>
  <si>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</si>
  <si>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</si>
  <si>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</si>
  <si>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</si>
  <si>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</si>
  <si>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</si>
  <si>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</si>
  <si>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</si>
  <si>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</si>
  <si>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</si>
  <si>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</si>
  <si>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</si>
  <si>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</si>
  <si>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</si>
  <si>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</si>
  <si>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</si>
  <si>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</si>
  <si>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</si>
  <si>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</si>
  <si>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</si>
  <si>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</si>
  <si>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</si>
  <si>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</si>
  <si>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</si>
  <si>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</si>
  <si>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</si>
  <si>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</si>
  <si>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</si>
  <si>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</si>
  <si>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</si>
  <si>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</si>
  <si>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</si>
  <si>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</si>
  <si>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</si>
  <si>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</si>
  <si>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</si>
  <si>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</si>
  <si>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</si>
  <si>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</si>
  <si>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</si>
  <si>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</si>
  <si>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</si>
  <si>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</si>
  <si>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</si>
  <si>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</si>
  <si>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</si>
  <si>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</si>
  <si>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</si>
  <si>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</si>
  <si>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</si>
  <si>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</si>
  <si>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</si>
  <si>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</si>
  <si>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</si>
  <si>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</si>
  <si>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</si>
  <si>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</si>
  <si>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</si>
  <si>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</si>
  <si>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</si>
  <si>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</si>
  <si>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</si>
  <si>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</si>
  <si>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</si>
  <si>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</si>
  <si>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</si>
  <si>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</si>
  <si>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</si>
  <si>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</si>
  <si>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</si>
  <si>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</si>
  <si>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</si>
  <si>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</si>
  <si>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</si>
  <si>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</si>
  <si>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</si>
  <si>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</si>
  <si>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</si>
  <si>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</si>
  <si>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</si>
  <si>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</si>
  <si>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</si>
  <si>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</si>
  <si>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</si>
  <si>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</si>
  <si>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</si>
  <si>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</si>
  <si>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</si>
  <si>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</si>
  <si>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</si>
  <si>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</si>
  <si>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</si>
  <si>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</si>
  <si>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</si>
  <si>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</si>
  <si>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</si>
  <si>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</si>
  <si>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</si>
  <si>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</si>
  <si>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</si>
  <si>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</si>
  <si>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</si>
  <si>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</si>
  <si>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</si>
  <si>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</si>
  <si>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</si>
  <si>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</si>
  <si>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</si>
  <si>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</si>
  <si>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</si>
  <si>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</si>
  <si>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</si>
  <si>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</si>
  <si>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</si>
  <si>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</si>
  <si>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</si>
  <si>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</si>
  <si>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</si>
  <si>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</si>
  <si>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</si>
  <si>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</si>
  <si>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</si>
  <si>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</si>
  <si>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</si>
  <si>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</si>
  <si>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</si>
  <si>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</si>
  <si>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</si>
  <si>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</si>
  <si>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</si>
  <si>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</si>
  <si>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</si>
  <si>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</si>
  <si>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</si>
  <si>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</si>
  <si>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</si>
  <si>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</si>
  <si>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</si>
  <si>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</si>
  <si>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</si>
  <si>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</si>
  <si>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</si>
  <si>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</si>
  <si>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</si>
  <si>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</si>
  <si>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</si>
  <si>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</si>
  <si>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</si>
  <si>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</si>
  <si>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</si>
  <si>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</si>
  <si>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</si>
  <si>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</si>
  <si>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</si>
  <si>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</si>
  <si>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</si>
  <si>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</si>
  <si>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</si>
  <si>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</si>
  <si>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</si>
  <si>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</si>
  <si>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</si>
  <si>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</si>
  <si>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</si>
  <si>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</si>
  <si>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</si>
  <si>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</si>
  <si>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</si>
  <si>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</si>
  <si>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</si>
  <si>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</si>
  <si>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</si>
  <si>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</si>
  <si>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</si>
  <si>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</si>
  <si>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</si>
  <si>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</si>
  <si>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</si>
  <si>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</si>
  <si>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</si>
  <si>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</si>
  <si>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</si>
  <si>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</si>
  <si>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</si>
  <si>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</si>
  <si>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</si>
  <si>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</si>
  <si>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</si>
  <si>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</si>
  <si>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</si>
  <si>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</si>
  <si>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</si>
  <si>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</si>
  <si>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</si>
  <si>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</si>
  <si>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</si>
  <si>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</si>
  <si>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</si>
  <si>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</si>
  <si>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</si>
  <si>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</si>
  <si>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</si>
  <si>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</si>
  <si>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</si>
  <si>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</si>
  <si>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</si>
  <si>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</si>
  <si>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</si>
  <si>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</si>
  <si>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</si>
  <si>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</si>
  <si>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</si>
  <si>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</si>
  <si>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</si>
  <si>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</si>
  <si>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</si>
  <si>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</si>
  <si>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</si>
  <si>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</si>
  <si>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</si>
  <si>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</si>
  <si>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</si>
  <si>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</si>
  <si>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</si>
  <si>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</si>
  <si>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</si>
  <si>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</si>
  <si>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</si>
  <si>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</si>
  <si>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</si>
  <si>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</si>
  <si>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</si>
  <si>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</si>
  <si>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</si>
  <si>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</si>
  <si>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</si>
  <si>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</si>
  <si>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</si>
  <si>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</si>
  <si>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</si>
  <si>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</si>
  <si>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</si>
  <si>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</si>
  <si>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</si>
  <si>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</si>
  <si>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</si>
  <si>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</si>
  <si>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</si>
  <si>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</si>
  <si>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</si>
  <si>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</si>
  <si>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</si>
  <si>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</si>
  <si>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</si>
  <si>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</si>
  <si>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</si>
  <si>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</si>
  <si>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</si>
  <si>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</si>
  <si>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</si>
  <si>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</si>
  <si>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</si>
  <si>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</si>
  <si>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</si>
  <si>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</si>
  <si>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</si>
  <si>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</si>
  <si>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</si>
  <si>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</si>
  <si>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</si>
  <si>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</si>
  <si>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</si>
  <si>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</si>
  <si>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</si>
  <si>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</si>
  <si>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</si>
  <si>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</si>
  <si>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</si>
  <si>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</si>
  <si>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</si>
  <si>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</si>
  <si>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</si>
  <si>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</si>
  <si>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</si>
  <si>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</si>
  <si>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</si>
  <si>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</si>
  <si>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</si>
  <si>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</si>
  <si>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</si>
  <si>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</si>
  <si>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</si>
  <si>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</si>
  <si>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</si>
  <si>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</si>
  <si>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</si>
  <si>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</si>
  <si>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</si>
  <si>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</si>
  <si>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</si>
  <si>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</si>
  <si>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</si>
  <si>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</si>
  <si>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</si>
  <si>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</si>
  <si>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</si>
  <si>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</si>
  <si>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</si>
  <si>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</si>
  <si>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</si>
  <si>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</si>
  <si>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</si>
  <si>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</si>
  <si>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</si>
  <si>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</si>
  <si>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</si>
  <si>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</si>
  <si>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</si>
  <si>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</si>
  <si>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</si>
  <si>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</si>
  <si>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</si>
  <si>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</si>
  <si>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</si>
  <si>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</si>
  <si>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</si>
  <si>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</si>
  <si>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</si>
  <si>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</si>
  <si>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</si>
  <si>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</si>
  <si>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</si>
  <si>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</si>
  <si>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</si>
  <si>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</si>
  <si>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</si>
  <si>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</si>
  <si>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</si>
  <si>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</si>
  <si>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</si>
  <si>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</si>
  <si>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</si>
  <si>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</si>
  <si>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</si>
  <si>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</si>
  <si>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</si>
  <si>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</si>
  <si>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</si>
  <si>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</si>
  <si>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</si>
  <si>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</si>
  <si>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</si>
  <si>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</si>
  <si>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</si>
  <si>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</si>
  <si>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</si>
  <si>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</si>
  <si>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</si>
  <si>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</si>
  <si>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</si>
  <si>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</si>
  <si>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</si>
  <si>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</si>
  <si>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</si>
  <si>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</si>
  <si>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</si>
  <si>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</si>
  <si>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</si>
  <si>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</si>
  <si>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</si>
  <si>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</si>
  <si>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</si>
  <si>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</si>
  <si>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</si>
  <si>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</si>
  <si>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</si>
  <si>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</si>
  <si>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</si>
  <si>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</si>
  <si>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</si>
  <si>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</si>
  <si>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</si>
  <si>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</si>
  <si>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</si>
  <si>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</si>
  <si>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</si>
  <si>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</si>
  <si>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</si>
  <si>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</si>
  <si>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</si>
  <si>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</si>
  <si>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</si>
  <si>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</si>
  <si>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</si>
  <si>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</si>
  <si>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</si>
  <si>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</si>
  <si>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</si>
  <si>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</si>
  <si>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</si>
  <si>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</si>
  <si>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</si>
  <si>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</si>
  <si>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</si>
  <si>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</si>
  <si>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</si>
  <si>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</si>
  <si>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</si>
  <si>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</si>
  <si>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</si>
  <si>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</si>
  <si>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</si>
  <si>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</si>
  <si>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</si>
  <si>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</si>
  <si>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</si>
  <si>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</si>
  <si>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</si>
  <si>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</si>
  <si>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</si>
  <si>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</si>
  <si>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</si>
  <si>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</si>
  <si>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</si>
  <si>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</si>
  <si>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</si>
  <si>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</si>
  <si>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</si>
  <si>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</si>
  <si>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</si>
  <si>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</si>
  <si>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</si>
  <si>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</si>
  <si>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</si>
  <si>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</si>
  <si>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</si>
  <si>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</si>
  <si>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</si>
  <si>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</si>
  <si>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</si>
  <si>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</si>
  <si>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</si>
  <si>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</si>
  <si>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</si>
  <si>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</si>
  <si>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</si>
  <si>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</si>
  <si>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</si>
  <si>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</si>
  <si>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</si>
  <si>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</si>
  <si>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</si>
  <si>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</si>
  <si>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</si>
  <si>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</si>
  <si>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</si>
  <si>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</si>
  <si>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</si>
  <si>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</si>
  <si>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</si>
  <si>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</si>
  <si>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</si>
  <si>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</si>
  <si>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</si>
  <si>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</si>
  <si>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</si>
  <si>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</si>
  <si>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</si>
  <si>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</si>
  <si>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</si>
  <si>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</si>
  <si>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</si>
  <si>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</si>
  <si>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</si>
  <si>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</si>
  <si>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</si>
  <si>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</si>
  <si>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</si>
  <si>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</si>
  <si>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</si>
  <si>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</si>
  <si>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</si>
  <si>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</si>
  <si>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</si>
  <si>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</si>
  <si>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</si>
  <si>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</si>
  <si>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</si>
  <si>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</si>
  <si>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</si>
  <si>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</si>
  <si>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</si>
  <si>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</si>
  <si>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</si>
  <si>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</si>
  <si>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</si>
  <si>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</si>
  <si>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</si>
  <si>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</si>
  <si>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</si>
  <si>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</si>
  <si>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</si>
  <si>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</si>
  <si>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</si>
  <si>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</si>
  <si>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</si>
  <si>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</si>
  <si>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</si>
  <si>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</si>
  <si>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</si>
  <si>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</si>
  <si>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</si>
  <si>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</si>
  <si>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</si>
  <si>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</si>
  <si>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</si>
  <si>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</si>
  <si>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</si>
  <si>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</si>
  <si>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</si>
  <si>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</si>
  <si>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</si>
  <si>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</si>
  <si>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</si>
  <si>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</si>
  <si>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</si>
  <si>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</si>
  <si>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</si>
  <si>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</si>
  <si>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</si>
  <si>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</si>
  <si>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</si>
  <si>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</si>
  <si>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</si>
  <si>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</si>
  <si>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</si>
  <si>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</si>
  <si>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</si>
  <si>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</si>
  <si>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</si>
  <si>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</si>
  <si>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</si>
  <si>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</si>
  <si>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</si>
  <si>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</si>
  <si>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</si>
  <si>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</si>
  <si>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</si>
  <si>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</si>
  <si>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</si>
  <si>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</si>
  <si>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</si>
  <si>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</si>
  <si>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</si>
  <si>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</si>
  <si>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</si>
  <si>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</si>
  <si>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</si>
  <si>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</si>
  <si>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</si>
  <si>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</si>
  <si>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</si>
  <si>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</si>
  <si>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</si>
  <si>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</si>
  <si>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</si>
  <si>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</si>
  <si>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</si>
  <si>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</si>
  <si>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</si>
  <si>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</si>
  <si>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</si>
  <si>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</si>
  <si>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</si>
  <si>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</si>
  <si>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</si>
  <si>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</si>
  <si>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</si>
  <si>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</si>
  <si>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</si>
  <si>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</si>
  <si>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</si>
  <si>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</si>
  <si>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</si>
  <si>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</si>
  <si>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</si>
  <si>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</si>
  <si>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</si>
  <si>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</si>
  <si>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</si>
  <si>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</si>
  <si>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</si>
  <si>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</si>
  <si>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</si>
  <si>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</si>
  <si>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</si>
  <si>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</si>
  <si>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</si>
  <si>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</si>
  <si>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</si>
  <si>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</si>
  <si>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</si>
  <si>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</si>
  <si>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</si>
  <si>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</si>
  <si>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</si>
  <si>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</si>
  <si>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</si>
  <si>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</si>
  <si>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</si>
  <si>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</si>
  <si>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</si>
  <si>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</si>
  <si>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</si>
  <si>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</si>
  <si>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</si>
  <si>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</si>
  <si>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</si>
  <si>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</si>
  <si>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</si>
  <si>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</si>
  <si>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</si>
  <si>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</si>
  <si>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</si>
  <si>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</si>
  <si>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</si>
  <si>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</si>
  <si>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</si>
  <si>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</si>
  <si>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</si>
  <si>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</si>
  <si>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</si>
  <si>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</si>
  <si>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</si>
  <si>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</si>
  <si>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</si>
  <si>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</si>
  <si>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</si>
  <si>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</si>
  <si>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</si>
  <si>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</si>
  <si>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</si>
  <si>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</si>
  <si>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</si>
  <si>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</si>
  <si>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</si>
  <si>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</si>
  <si>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</si>
  <si>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</si>
  <si>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</si>
  <si>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</si>
  <si>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</si>
  <si>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</si>
  <si>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</si>
  <si>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</si>
  <si>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</si>
  <si>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</si>
  <si>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</si>
  <si>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</si>
  <si>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</si>
  <si>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</si>
  <si>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</si>
  <si>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</si>
  <si>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</si>
  <si>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</si>
  <si>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</si>
  <si>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</si>
  <si>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</si>
  <si>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</si>
  <si>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</si>
  <si>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</si>
  <si>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</si>
  <si>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</si>
  <si>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</si>
  <si>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</si>
  <si>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</si>
  <si>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</si>
  <si>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</si>
  <si>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</si>
  <si>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</si>
  <si>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</si>
  <si>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</si>
  <si>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</si>
  <si>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</si>
  <si>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</si>
  <si>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</si>
  <si>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</si>
  <si>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</si>
  <si>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</si>
  <si>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</si>
  <si>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</si>
  <si>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</si>
  <si>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</si>
  <si>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</si>
  <si>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</si>
  <si>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</si>
  <si>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</si>
  <si>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</si>
  <si>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</si>
  <si>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</si>
  <si>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</si>
  <si>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</si>
  <si>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</si>
  <si>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</si>
  <si>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</si>
  <si>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</si>
  <si>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</si>
  <si>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</si>
  <si>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</si>
  <si>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</si>
  <si>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</si>
  <si>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</si>
  <si>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</si>
  <si>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</si>
  <si>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</si>
  <si>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</si>
  <si>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</si>
  <si>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</si>
  <si>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</si>
  <si>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</si>
  <si>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</si>
  <si>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</si>
  <si>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</si>
  <si>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</si>
  <si>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</si>
  <si>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</si>
  <si>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</si>
  <si>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</si>
  <si>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</si>
  <si>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</si>
  <si>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</si>
  <si>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</si>
  <si>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</si>
  <si>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</si>
  <si>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</si>
  <si>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</si>
  <si>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</si>
  <si>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</si>
  <si>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</si>
  <si>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</si>
  <si>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</si>
  <si>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</si>
  <si>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</si>
  <si>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</si>
  <si>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</si>
  <si>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</si>
  <si>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</si>
  <si>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</si>
  <si>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</si>
  <si>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</si>
  <si>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</si>
  <si>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</si>
  <si>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</si>
  <si>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</si>
  <si>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</si>
  <si>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</si>
  <si>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</si>
  <si>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</si>
  <si>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</si>
  <si>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</si>
  <si>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</si>
  <si>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</si>
  <si>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</si>
  <si>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</si>
  <si>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</si>
  <si>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</si>
  <si>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</si>
  <si>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</si>
  <si>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</si>
  <si>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</si>
  <si>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</si>
  <si>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</si>
  <si>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</si>
  <si>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</si>
  <si>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</si>
  <si>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</si>
  <si>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</si>
  <si>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</si>
  <si>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</si>
  <si>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</si>
  <si>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</si>
  <si>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</si>
  <si>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</si>
  <si>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</si>
  <si>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</si>
  <si>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</si>
  <si>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</si>
  <si>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</si>
  <si>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</si>
  <si>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</si>
  <si>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</si>
  <si>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</si>
  <si>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</si>
  <si>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</si>
  <si>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</si>
  <si>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</si>
  <si>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</si>
  <si>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</si>
  <si>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</si>
  <si>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</si>
  <si>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</si>
  <si>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</si>
  <si>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</si>
  <si>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</si>
  <si>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</si>
  <si>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</si>
  <si>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</si>
  <si>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</si>
  <si>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</si>
  <si>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</si>
  <si>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</si>
  <si>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</si>
  <si>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</si>
  <si>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</si>
  <si>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</si>
  <si>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</si>
  <si>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</si>
  <si>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</si>
  <si>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</si>
  <si>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</si>
  <si>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</si>
  <si>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</si>
  <si>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</si>
  <si>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</si>
  <si>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</si>
  <si>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</si>
  <si>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</si>
  <si>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</si>
  <si>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</si>
  <si>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</si>
  <si>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</si>
  <si>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</si>
  <si>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</si>
  <si>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</si>
  <si>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</si>
  <si>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</si>
  <si>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</si>
  <si>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</si>
  <si>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</si>
  <si>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</si>
  <si>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</si>
  <si>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</si>
  <si>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</si>
  <si>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</si>
  <si>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</si>
  <si>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</si>
  <si>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</si>
  <si>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</si>
  <si>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</si>
  <si>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</si>
  <si>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</si>
  <si>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</si>
  <si>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</si>
  <si>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</si>
  <si>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</si>
  <si>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</si>
  <si>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</si>
  <si>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</si>
  <si>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</si>
  <si>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</si>
  <si>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</si>
  <si>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</si>
  <si>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</si>
  <si>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</si>
  <si>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</si>
  <si>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</si>
  <si>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</si>
  <si>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</si>
  <si>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</si>
  <si>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</si>
  <si>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</si>
  <si>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</si>
  <si>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</si>
  <si>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</si>
  <si>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</si>
  <si>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</si>
  <si>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</si>
  <si>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</si>
  <si>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</si>
  <si>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</si>
  <si>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</si>
  <si>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</si>
  <si>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</si>
  <si>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</si>
  <si>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</si>
  <si>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</si>
  <si>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</si>
  <si>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</si>
  <si>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</si>
  <si>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</si>
  <si>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</si>
  <si>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</si>
  <si>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</si>
  <si>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</si>
  <si>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</si>
  <si>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</si>
  <si>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</si>
  <si>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</si>
  <si>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</si>
  <si>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</si>
  <si>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</si>
  <si>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</si>
  <si>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</si>
  <si>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</si>
  <si>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</si>
  <si>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</si>
  <si>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</si>
  <si>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</si>
  <si>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</si>
  <si>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</si>
  <si>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</si>
  <si>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</si>
  <si>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</si>
  <si>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</si>
  <si>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</si>
  <si>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</si>
  <si>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</si>
  <si>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</si>
  <si>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</si>
  <si>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</si>
  <si>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</si>
  <si>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</si>
  <si>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</si>
  <si>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</si>
  <si>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</si>
  <si>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</si>
  <si>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</si>
  <si>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</si>
  <si>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</si>
  <si>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</si>
  <si>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</si>
  <si>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</si>
  <si>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</si>
  <si>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</si>
  <si>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</si>
  <si>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</si>
  <si>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</si>
  <si>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</si>
  <si>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</si>
  <si>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</si>
  <si>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</si>
  <si>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</si>
  <si>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</si>
  <si>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</si>
  <si>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</si>
  <si>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</si>
  <si>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</si>
  <si>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</si>
  <si>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</si>
  <si>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</si>
  <si>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</si>
  <si>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</si>
  <si>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</si>
  <si>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</si>
  <si>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</si>
  <si>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</si>
  <si>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</si>
  <si>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</si>
  <si>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</si>
  <si>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</si>
  <si>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</si>
  <si>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</si>
  <si>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</si>
  <si>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</si>
  <si>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</si>
  <si>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</si>
  <si>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</si>
  <si>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</si>
  <si>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</si>
  <si>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</si>
  <si>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</si>
  <si>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</si>
  <si>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</si>
  <si>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</si>
  <si>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</si>
  <si>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</si>
  <si>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</si>
  <si>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</si>
  <si>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</si>
  <si>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</si>
  <si>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</si>
  <si>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</si>
  <si>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</si>
  <si>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</si>
  <si>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</si>
  <si>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</si>
  <si>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</si>
  <si>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</si>
  <si>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</si>
  <si>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</si>
  <si>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</si>
  <si>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</si>
  <si>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</si>
  <si>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</si>
  <si>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</si>
  <si>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</si>
  <si>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</si>
  <si>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</si>
  <si>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</si>
  <si>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</si>
  <si>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</si>
  <si>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</si>
  <si>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</si>
  <si>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</si>
  <si>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</si>
  <si>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</si>
  <si>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</si>
  <si>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</si>
  <si>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</si>
  <si>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</si>
  <si>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</si>
  <si>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</si>
  <si>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</si>
  <si>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</si>
  <si>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</si>
  <si>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</si>
  <si>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</si>
  <si>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</si>
  <si>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</si>
  <si>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</si>
  <si>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</si>
  <si>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</si>
  <si>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</si>
  <si>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</si>
  <si>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</si>
  <si>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</si>
  <si>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</si>
  <si>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</si>
  <si>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</si>
  <si>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</si>
  <si>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</si>
  <si>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</si>
  <si>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</si>
  <si>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</si>
  <si>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</si>
  <si>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</si>
  <si>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</si>
  <si>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</si>
  <si>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</si>
  <si>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</si>
  <si>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</si>
  <si>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</si>
  <si>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</si>
  <si>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</si>
  <si>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</si>
  <si>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</si>
  <si>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</si>
  <si>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</si>
  <si>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</si>
  <si>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</si>
  <si>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</si>
  <si>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</si>
  <si>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</si>
  <si>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</si>
  <si>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</si>
  <si>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</si>
  <si>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</si>
  <si>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</si>
  <si>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</si>
  <si>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</si>
  <si>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</si>
  <si>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</si>
  <si>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</si>
  <si>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</si>
  <si>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</si>
  <si>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</si>
  <si>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</si>
  <si>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</si>
  <si>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</si>
  <si>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</si>
  <si>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</si>
  <si>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</si>
  <si>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</si>
  <si>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</si>
  <si>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</si>
  <si>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</si>
  <si>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</si>
  <si>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</si>
  <si>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</si>
  <si>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</si>
  <si>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</si>
  <si>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</si>
  <si>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</si>
  <si>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</si>
  <si>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</si>
  <si>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</si>
  <si>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</si>
  <si>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</si>
  <si>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</si>
  <si>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</si>
  <si>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</si>
  <si>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</si>
  <si>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</si>
  <si>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</si>
  <si>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</si>
  <si>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</si>
  <si>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</si>
  <si>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</si>
  <si>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</si>
  <si>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</si>
  <si>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</si>
  <si>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</si>
  <si>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</si>
  <si>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</si>
  <si>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</si>
  <si>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</si>
  <si>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</si>
  <si>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</si>
  <si>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</si>
  <si>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</si>
  <si>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</si>
  <si>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</si>
  <si>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</si>
  <si>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</si>
  <si>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</si>
  <si>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</si>
  <si>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</si>
  <si>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</si>
  <si>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</si>
  <si>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</si>
  <si>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</si>
  <si>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</si>
  <si>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</si>
  <si>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</si>
  <si>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</si>
  <si>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</si>
  <si>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</si>
  <si>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</si>
  <si>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</si>
  <si>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</si>
  <si>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</si>
  <si>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</si>
  <si>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</si>
  <si>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</si>
  <si>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</si>
  <si>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</si>
  <si>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</si>
  <si>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</si>
  <si>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</si>
  <si>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</si>
  <si>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</si>
  <si>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</si>
  <si>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</si>
  <si>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</si>
  <si>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</si>
  <si>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</si>
  <si>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</si>
  <si>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</si>
  <si>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</si>
  <si>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</si>
  <si>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</si>
  <si>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</si>
  <si>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</si>
  <si>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</si>
  <si>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</si>
  <si>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</si>
  <si>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</si>
  <si>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</si>
  <si>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</si>
  <si>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</si>
  <si>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</si>
  <si>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</si>
  <si>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</si>
  <si>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</si>
  <si>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</si>
  <si>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</si>
  <si>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</si>
  <si>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</si>
  <si>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</si>
  <si>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</si>
  <si>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</si>
  <si>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</si>
  <si>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</si>
  <si>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</si>
  <si>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</si>
  <si>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</si>
  <si>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</si>
  <si>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</si>
  <si>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</si>
  <si>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</si>
  <si>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</si>
  <si>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</si>
  <si>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</si>
  <si>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</si>
  <si>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</si>
  <si>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</si>
  <si>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</si>
  <si>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</si>
  <si>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</si>
  <si>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</si>
  <si>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</si>
  <si>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</si>
  <si>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</si>
  <si>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</si>
  <si>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</si>
  <si>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</si>
  <si>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</si>
  <si>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</si>
  <si>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</si>
  <si>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</si>
  <si>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</si>
  <si>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</si>
  <si>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</si>
  <si>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</si>
  <si>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</si>
  <si>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</si>
  <si>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</si>
  <si>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</si>
  <si>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</si>
  <si>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</si>
  <si>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</si>
  <si>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</si>
  <si>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</si>
  <si>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</si>
  <si>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</si>
  <si>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</si>
  <si>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</si>
  <si>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</si>
  <si>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</si>
  <si>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</si>
  <si>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</si>
  <si>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</si>
  <si>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</si>
  <si>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</si>
  <si>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</si>
  <si>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</si>
  <si>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</si>
  <si>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</si>
  <si>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</si>
  <si>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</si>
  <si>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</si>
  <si>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</si>
  <si>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</si>
  <si>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</si>
  <si>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</si>
  <si>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</si>
  <si>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</si>
  <si>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</si>
  <si>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</si>
  <si>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</si>
  <si>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</si>
  <si>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</si>
  <si>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</si>
  <si>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</si>
  <si>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</si>
  <si>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</si>
  <si>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</si>
  <si>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</si>
  <si>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</si>
  <si>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</si>
  <si>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</si>
  <si>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</si>
  <si>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</si>
  <si>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</si>
  <si>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</si>
  <si>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</si>
  <si>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</si>
  <si>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</si>
  <si>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</si>
  <si>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</si>
  <si>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</si>
  <si>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</si>
  <si>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</si>
  <si>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</si>
  <si>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</si>
  <si>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</si>
  <si>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</si>
  <si>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</si>
  <si>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</si>
  <si>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</si>
  <si>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</si>
  <si>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</si>
  <si>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</si>
  <si>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</si>
  <si>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</si>
  <si>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</si>
  <si>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</si>
  <si>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</si>
  <si>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</si>
  <si>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</si>
  <si>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</si>
  <si>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</si>
  <si>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</si>
  <si>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</si>
  <si>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</si>
  <si>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</si>
  <si>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</si>
  <si>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</si>
  <si>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</si>
  <si>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</si>
  <si>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</si>
  <si>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</si>
  <si>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</si>
  <si>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</si>
  <si>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</si>
  <si>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</si>
  <si>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</si>
  <si>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</si>
  <si>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</si>
  <si>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</si>
  <si>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</si>
  <si>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</si>
  <si>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</si>
  <si>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</si>
  <si>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</si>
  <si>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</si>
  <si>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</si>
  <si>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</si>
  <si>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</si>
  <si>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</si>
  <si>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</si>
  <si>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</si>
  <si>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</si>
  <si>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</si>
  <si>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</si>
  <si>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</si>
  <si>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</si>
  <si>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</si>
  <si>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</si>
  <si>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</si>
  <si>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</si>
  <si>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</si>
  <si>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</si>
  <si>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</si>
  <si>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</si>
  <si>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</si>
  <si>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</si>
  <si>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</si>
  <si>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</si>
  <si>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</si>
  <si>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</si>
  <si>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</si>
  <si>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</si>
  <si>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</si>
  <si>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</si>
  <si>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</si>
  <si>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</si>
  <si>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</si>
  <si>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</si>
  <si>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</si>
  <si>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</si>
  <si>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</si>
  <si>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</si>
  <si>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</si>
  <si>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</si>
  <si>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</si>
  <si>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</si>
  <si>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</si>
  <si>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</si>
  <si>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</si>
  <si>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</si>
  <si>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</si>
  <si>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</si>
  <si>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</si>
  <si>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</si>
  <si>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</si>
  <si>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</si>
  <si>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</si>
  <si>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</si>
  <si>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</si>
  <si>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</si>
  <si>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</si>
  <si>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</si>
  <si>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</si>
  <si>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</si>
  <si>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</si>
  <si>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</si>
  <si>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</si>
  <si>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</si>
  <si>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</si>
  <si>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</si>
  <si>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</si>
  <si>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</si>
  <si>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</si>
  <si>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</si>
  <si>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</si>
  <si>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</si>
  <si>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</si>
  <si>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</si>
  <si>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</si>
  <si>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</si>
  <si>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</si>
  <si>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</si>
  <si>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</si>
  <si>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</si>
  <si>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</si>
  <si>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</si>
  <si>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</si>
  <si>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</si>
  <si>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</si>
  <si>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</si>
  <si>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</si>
  <si>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</si>
  <si>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</si>
  <si>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</si>
  <si>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</si>
  <si>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</si>
  <si>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</si>
  <si>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</si>
  <si>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</si>
  <si>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</si>
  <si>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</si>
  <si>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</si>
  <si>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</si>
  <si>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</si>
  <si>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</si>
  <si>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</si>
  <si>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</si>
  <si>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</si>
  <si>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</si>
  <si>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</si>
  <si>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</si>
  <si>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</si>
  <si>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</si>
  <si>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</si>
  <si>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</si>
  <si>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</si>
  <si>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</si>
  <si>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</si>
  <si>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</si>
  <si>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</si>
  <si>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</si>
  <si>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</si>
  <si>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</si>
  <si>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</si>
  <si>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</si>
  <si>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</si>
  <si>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</si>
  <si>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</si>
  <si>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</si>
  <si>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</si>
  <si>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</si>
  <si>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</si>
  <si>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</si>
  <si>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</si>
  <si>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</si>
  <si>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</si>
  <si>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</si>
  <si>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</si>
  <si>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</si>
  <si>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</si>
  <si>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</si>
  <si>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</si>
  <si>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</si>
  <si>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</si>
  <si>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</si>
  <si>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</si>
  <si>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</si>
  <si>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</si>
  <si>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</si>
  <si>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</si>
  <si>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</si>
  <si>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</si>
  <si>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</si>
  <si>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</si>
  <si>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</si>
  <si>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</si>
  <si>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</si>
  <si>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</si>
  <si>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</si>
  <si>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</si>
  <si>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</si>
  <si>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</si>
  <si>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</si>
  <si>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</si>
  <si>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</si>
  <si>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</si>
  <si>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</si>
  <si>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</si>
  <si>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</si>
  <si>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</si>
  <si>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</si>
  <si>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</si>
  <si>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</si>
  <si>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</si>
  <si>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</si>
  <si>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</si>
  <si>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</si>
  <si>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</si>
  <si>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</si>
  <si>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</si>
  <si>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</si>
  <si>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</si>
  <si>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</si>
  <si>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</si>
  <si>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</si>
  <si>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</si>
  <si>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</si>
  <si>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</si>
  <si>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</si>
  <si>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</si>
  <si>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</si>
  <si>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</si>
  <si>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</si>
  <si>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</si>
  <si>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</si>
  <si>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</si>
  <si>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</si>
  <si>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</si>
  <si>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</si>
  <si>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</si>
  <si>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</si>
  <si>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</si>
  <si>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</si>
  <si>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</si>
  <si>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</si>
  <si>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</si>
  <si>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</si>
  <si>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</si>
  <si>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</si>
  <si>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</si>
  <si>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</si>
  <si>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</si>
  <si>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</si>
  <si>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</si>
  <si>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</si>
  <si>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</si>
  <si>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</si>
  <si>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</si>
  <si>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</si>
  <si>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</si>
  <si>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</si>
  <si>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</si>
  <si>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</si>
  <si>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</si>
  <si>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</si>
  <si>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</si>
  <si>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</si>
  <si>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</si>
  <si>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</si>
  <si>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</si>
  <si>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</si>
  <si>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</si>
  <si>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</si>
  <si>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</si>
  <si>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</si>
  <si>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</si>
  <si>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</si>
  <si>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</si>
  <si>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</si>
  <si>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</si>
  <si>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</si>
  <si>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</si>
  <si>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</si>
  <si>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</si>
  <si>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</si>
  <si>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</si>
  <si>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</si>
  <si>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</si>
  <si>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</si>
  <si>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</si>
  <si>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</si>
  <si>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</si>
  <si>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</si>
  <si>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</si>
  <si>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</si>
  <si>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</si>
  <si>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</si>
  <si>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</si>
  <si>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</si>
  <si>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</si>
  <si>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</si>
  <si>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</si>
  <si>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</si>
  <si>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</si>
  <si>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</si>
  <si>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</si>
  <si>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</si>
  <si>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</si>
  <si>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</si>
  <si>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</si>
  <si>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</si>
  <si>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</si>
  <si>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</si>
  <si>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</si>
  <si>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</si>
  <si>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</si>
  <si>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</si>
  <si>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</si>
  <si>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</si>
  <si>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</si>
  <si>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</si>
  <si>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</si>
  <si>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</si>
  <si>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</si>
  <si>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</si>
  <si>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</si>
  <si>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</si>
  <si>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</si>
  <si>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</si>
  <si>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</si>
  <si>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</si>
  <si>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</si>
  <si>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</si>
  <si>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</si>
  <si>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</si>
  <si>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</si>
  <si>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</si>
  <si>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</si>
  <si>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</si>
  <si>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</si>
  <si>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</si>
  <si>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</si>
  <si>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</si>
  <si>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</si>
  <si>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</si>
  <si>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</si>
  <si>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</si>
  <si>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</si>
  <si>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</si>
  <si>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</si>
  <si>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</si>
  <si>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</si>
  <si>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</si>
  <si>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</si>
  <si>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</si>
  <si>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</si>
  <si>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</si>
  <si>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</si>
  <si>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</si>
  <si>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</si>
  <si>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</si>
  <si>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</si>
  <si>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</si>
  <si>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</si>
  <si>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</si>
  <si>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</si>
  <si>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</si>
  <si>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</si>
  <si>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</si>
  <si>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</si>
  <si>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</si>
  <si>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</si>
  <si>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</si>
  <si>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</si>
  <si>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</si>
  <si>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</si>
  <si>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</si>
  <si>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</si>
  <si>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</si>
  <si>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</si>
  <si>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</si>
  <si>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</si>
  <si>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</si>
  <si>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</si>
  <si>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</si>
  <si>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</si>
  <si>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</si>
  <si>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</si>
  <si>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</si>
  <si>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</si>
  <si>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</si>
  <si>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</si>
  <si>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</si>
  <si>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</si>
  <si>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</si>
  <si>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</si>
  <si>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</si>
  <si>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</si>
  <si>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</si>
  <si>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</si>
  <si>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</si>
  <si>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</si>
  <si>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</si>
  <si>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</si>
  <si>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</si>
  <si>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</si>
  <si>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</si>
  <si>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</si>
  <si>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</si>
  <si>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</si>
  <si>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</si>
  <si>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</si>
  <si>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</si>
  <si>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</si>
  <si>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</si>
  <si>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</si>
  <si>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</si>
  <si>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</si>
  <si>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</si>
  <si>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</si>
  <si>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</si>
  <si>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</si>
  <si>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</si>
  <si>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</si>
  <si>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</si>
  <si>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</si>
  <si>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</si>
  <si>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</si>
  <si>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</si>
  <si>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</si>
  <si>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</si>
  <si>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</si>
  <si>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</si>
  <si>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</si>
  <si>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</si>
  <si>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</si>
  <si>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</si>
  <si>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</si>
  <si>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</si>
  <si>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</si>
  <si>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</si>
  <si>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</si>
  <si>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</si>
  <si>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</si>
  <si>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</si>
  <si>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</si>
  <si>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</si>
  <si>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</si>
  <si>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</si>
  <si>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</si>
  <si>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</si>
  <si>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</si>
  <si>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</si>
  <si>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</si>
  <si>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</si>
  <si>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</si>
  <si>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</si>
  <si>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</si>
  <si>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</si>
  <si>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</si>
  <si>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</si>
  <si>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</si>
  <si>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</si>
  <si>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</si>
  <si>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</si>
  <si>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</si>
  <si>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</si>
  <si>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</si>
  <si>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</si>
  <si>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</si>
  <si>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</si>
  <si>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</si>
  <si>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</si>
  <si>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</si>
  <si>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</si>
  <si>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</si>
  <si>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</si>
  <si>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</si>
  <si>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</si>
  <si>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</si>
  <si>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</si>
  <si>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</si>
  <si>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</si>
  <si>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</si>
  <si>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</si>
  <si>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</si>
  <si>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</si>
  <si>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</si>
  <si>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</si>
  <si>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</si>
  <si>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</si>
  <si>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</si>
  <si>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</si>
  <si>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</si>
  <si>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</si>
  <si>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</si>
  <si>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</si>
  <si>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</si>
  <si>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</si>
  <si>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</si>
  <si>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</si>
  <si>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</si>
  <si>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</si>
  <si>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</si>
  <si>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</si>
  <si>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</si>
  <si>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</si>
  <si>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</si>
  <si>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</si>
  <si>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</si>
  <si>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</si>
  <si>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</si>
  <si>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</si>
  <si>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</si>
  <si>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</si>
  <si>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</si>
  <si>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</si>
  <si>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</si>
  <si>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</si>
  <si>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</si>
  <si>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</si>
  <si>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</si>
  <si>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</si>
  <si>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</si>
  <si>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</si>
  <si>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</si>
  <si>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</si>
  <si>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</si>
  <si>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</si>
  <si>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</si>
  <si>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</si>
  <si>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</si>
  <si>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</si>
  <si>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</si>
  <si>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</si>
  <si>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</si>
  <si>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</si>
  <si>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</si>
  <si>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</si>
  <si>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</si>
  <si>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</si>
  <si>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</si>
  <si>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</si>
  <si>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</si>
  <si>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</si>
  <si>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</si>
  <si>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</si>
  <si>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</si>
  <si>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</si>
  <si>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</si>
  <si>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</si>
  <si>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</si>
  <si>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</si>
  <si>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</si>
  <si>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</si>
  <si>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</si>
  <si>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</si>
  <si>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</si>
  <si>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</si>
  <si>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</si>
  <si>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</si>
  <si>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</si>
  <si>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</si>
  <si>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</si>
  <si>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</si>
  <si>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</si>
  <si>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</si>
  <si>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</si>
  <si>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</si>
  <si>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</si>
  <si>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</si>
  <si>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</si>
  <si>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</si>
  <si>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</si>
  <si>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</si>
  <si>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</si>
  <si>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</si>
  <si>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</si>
  <si>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</si>
  <si>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</si>
  <si>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</si>
  <si>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</si>
  <si>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</si>
  <si>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</si>
  <si>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</si>
  <si>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</si>
  <si>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</si>
  <si>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</si>
  <si>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</si>
  <si>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</si>
  <si>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</si>
  <si>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</si>
  <si>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</si>
  <si>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</si>
  <si>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</si>
  <si>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</si>
  <si>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</si>
  <si>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</si>
  <si>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</si>
  <si>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</si>
  <si>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</si>
  <si>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</si>
  <si>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</si>
  <si>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</si>
  <si>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</si>
  <si>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</si>
  <si>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</si>
  <si>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</si>
  <si>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</si>
  <si>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</si>
  <si>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</si>
  <si>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</si>
  <si>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</si>
  <si>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</si>
  <si>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</si>
  <si>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</si>
  <si>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</si>
  <si>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</si>
  <si>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</si>
  <si>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</si>
  <si>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</si>
  <si>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</si>
  <si>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</si>
  <si>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</si>
  <si>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</si>
  <si>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</si>
  <si>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</si>
  <si>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</si>
  <si>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</si>
  <si>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</si>
  <si>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</si>
  <si>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</si>
  <si>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</si>
  <si>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</si>
  <si>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</si>
  <si>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</si>
  <si>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</si>
  <si>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</si>
  <si>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</si>
  <si>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</si>
  <si>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</si>
  <si>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</si>
  <si>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</si>
  <si>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</si>
  <si>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</si>
  <si>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</si>
  <si>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</si>
  <si>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</si>
  <si>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</si>
  <si>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</si>
  <si>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</si>
  <si>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</si>
  <si>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</si>
  <si>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</si>
  <si>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</si>
  <si>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</si>
  <si>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</si>
  <si>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</si>
  <si>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</si>
  <si>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</si>
  <si>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</si>
  <si>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</si>
  <si>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</si>
  <si>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</si>
  <si>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</si>
  <si>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</si>
  <si>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</si>
  <si>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</si>
  <si>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</si>
  <si>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</si>
  <si>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</si>
  <si>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</si>
  <si>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</si>
  <si>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</si>
  <si>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</si>
  <si>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</si>
  <si>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</si>
  <si>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</si>
  <si>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</si>
  <si>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</si>
  <si>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</si>
  <si>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</si>
  <si>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</si>
  <si>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</si>
  <si>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</si>
  <si>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</si>
  <si>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</si>
  <si>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</si>
  <si>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</si>
  <si>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</si>
  <si>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</si>
  <si>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</si>
  <si>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</si>
  <si>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</si>
  <si>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</si>
  <si>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</si>
  <si>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</si>
  <si>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</si>
  <si>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</si>
  <si>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</si>
  <si>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</si>
  <si>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</si>
  <si>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</si>
  <si>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</si>
  <si>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</si>
  <si>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</si>
  <si>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</si>
  <si>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</si>
  <si>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</si>
  <si>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</si>
  <si>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</si>
  <si>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</si>
  <si>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</si>
  <si>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</si>
  <si>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</si>
  <si>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</si>
  <si>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</si>
  <si>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</si>
  <si>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</si>
  <si>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</si>
  <si>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</si>
  <si>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</si>
  <si>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</si>
  <si>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</si>
  <si>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</si>
  <si>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</si>
  <si>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</si>
  <si>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</si>
  <si>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</si>
  <si>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</si>
  <si>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</si>
  <si>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</si>
  <si>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</si>
  <si>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</si>
  <si>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</si>
  <si>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</si>
  <si>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</si>
  <si>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</si>
  <si>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</si>
  <si>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</si>
  <si>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</si>
  <si>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</si>
  <si>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</si>
  <si>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</si>
  <si>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</si>
  <si>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</si>
  <si>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</si>
  <si>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</si>
  <si>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</si>
  <si>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</si>
  <si>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</si>
  <si>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</si>
  <si>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</si>
  <si>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</si>
  <si>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</si>
  <si>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</si>
  <si>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</si>
  <si>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</si>
  <si>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</si>
  <si>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</si>
  <si>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</si>
  <si>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</si>
  <si>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</si>
  <si>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</si>
  <si>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</si>
  <si>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</si>
  <si>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</si>
  <si>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</si>
  <si>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</si>
  <si>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</si>
  <si>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</si>
  <si>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</si>
  <si>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</si>
  <si>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</si>
  <si>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</si>
  <si>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</si>
  <si>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</si>
  <si>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</si>
  <si>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</si>
  <si>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</si>
  <si>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</si>
  <si>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</si>
  <si>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</si>
  <si>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</si>
  <si>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</si>
  <si>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</si>
  <si>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</si>
  <si>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</si>
  <si>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</si>
  <si>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</si>
  <si>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</si>
  <si>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</si>
  <si>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</si>
  <si>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</si>
  <si>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</si>
  <si>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</si>
  <si>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</si>
  <si>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</si>
  <si>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</si>
  <si>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</si>
  <si>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</si>
  <si>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</si>
  <si>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</si>
  <si>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</si>
  <si>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</si>
  <si>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</si>
  <si>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</si>
  <si>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</si>
  <si>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</si>
  <si>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</si>
  <si>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</si>
  <si>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</si>
  <si>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</si>
  <si>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</si>
  <si>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</si>
  <si>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</si>
  <si>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</si>
  <si>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</si>
  <si>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</si>
  <si>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</si>
  <si>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</si>
  <si>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</si>
  <si>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</si>
  <si>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</si>
  <si>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</si>
  <si>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</si>
  <si>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</si>
  <si>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</si>
  <si>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</si>
  <si>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</si>
  <si>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</si>
  <si>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</si>
  <si>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</si>
  <si>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</si>
  <si>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</si>
  <si>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</si>
  <si>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</si>
  <si>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</si>
  <si>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</si>
  <si>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</si>
  <si>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</si>
  <si>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</si>
  <si>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</si>
  <si>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</si>
  <si>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</si>
  <si>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</si>
  <si>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</si>
  <si>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</si>
  <si>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</si>
  <si>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</si>
  <si>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</si>
  <si>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</si>
  <si>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</si>
  <si>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</si>
  <si>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</si>
  <si>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</si>
  <si>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</si>
  <si>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</si>
  <si>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</si>
  <si>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</si>
  <si>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</si>
  <si>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</si>
  <si>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</si>
  <si>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</si>
  <si>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</si>
  <si>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</si>
  <si>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</si>
  <si>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</si>
  <si>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</si>
  <si>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</si>
  <si>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</si>
  <si>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</si>
  <si>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</si>
  <si>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</si>
  <si>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</si>
  <si>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</si>
  <si>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</si>
  <si>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</si>
  <si>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</si>
  <si>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</si>
  <si>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</si>
  <si>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</si>
  <si>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</si>
  <si>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</si>
  <si>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</si>
  <si>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</si>
  <si>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</si>
  <si>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</si>
  <si>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</si>
  <si>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</si>
  <si>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</si>
  <si>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</si>
  <si>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</si>
  <si>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</si>
  <si>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</si>
  <si>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</si>
  <si>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</si>
  <si>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</si>
  <si>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</si>
  <si>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</si>
  <si>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</si>
  <si>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</si>
  <si>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</si>
  <si>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</si>
  <si>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</si>
  <si>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</si>
  <si>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</si>
  <si>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</si>
  <si>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</si>
  <si>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</si>
  <si>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</si>
  <si>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</si>
  <si>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</si>
  <si>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</si>
  <si>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</si>
  <si>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</si>
  <si>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</si>
  <si>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</si>
  <si>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</si>
  <si>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</si>
  <si>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</si>
  <si>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</si>
  <si>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</si>
  <si>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</si>
  <si>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</si>
  <si>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</si>
  <si>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</si>
  <si>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</si>
  <si>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</si>
  <si>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</si>
  <si>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</si>
  <si>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</si>
  <si>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</si>
  <si>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</si>
  <si>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</si>
  <si>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</si>
  <si>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</si>
  <si>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</si>
  <si>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</si>
  <si>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</si>
  <si>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</si>
  <si>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</si>
  <si>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</si>
  <si>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</si>
  <si>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</si>
  <si>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</si>
  <si>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</si>
  <si>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</si>
  <si>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</si>
  <si>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</si>
  <si>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</si>
  <si>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</si>
  <si>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</si>
  <si>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</si>
  <si>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</si>
  <si>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</si>
  <si>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</si>
  <si>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</si>
  <si>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</si>
  <si>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</si>
  <si>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</si>
  <si>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</si>
  <si>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</si>
  <si>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</si>
  <si>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</si>
  <si>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</si>
  <si>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</si>
  <si>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</si>
  <si>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</si>
  <si>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</si>
  <si>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</si>
  <si>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</si>
  <si>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</si>
  <si>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</si>
  <si>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</si>
  <si>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</si>
  <si>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</si>
  <si>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</si>
  <si>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</si>
  <si>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</si>
  <si>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</si>
  <si>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</si>
  <si>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</si>
  <si>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</si>
  <si>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</si>
  <si>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</si>
  <si>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</si>
  <si>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</si>
  <si>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</si>
  <si>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</si>
  <si>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</si>
  <si>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</si>
  <si>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</si>
  <si>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</si>
  <si>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</si>
  <si>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</si>
  <si>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</si>
  <si>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</si>
  <si>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</si>
  <si>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</si>
  <si>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</si>
  <si>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</si>
  <si>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</si>
  <si>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</si>
  <si>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</si>
  <si>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</si>
  <si>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</si>
  <si>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</si>
  <si>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</si>
  <si>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</si>
  <si>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</si>
  <si>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</si>
  <si>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</si>
  <si>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</si>
  <si>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</si>
  <si>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</si>
  <si>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</si>
  <si>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</si>
  <si>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</si>
  <si>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</si>
  <si>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</si>
  <si>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</si>
  <si>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</si>
  <si>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</si>
  <si>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</si>
  <si>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</si>
  <si>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</si>
  <si>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</si>
  <si>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</si>
  <si>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</si>
  <si>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</si>
  <si>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</si>
  <si>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</si>
  <si>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</si>
  <si>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</si>
  <si>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</si>
  <si>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</si>
  <si>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</si>
  <si>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</si>
  <si>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</si>
  <si>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</si>
  <si>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</si>
  <si>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</si>
  <si>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</si>
  <si>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</si>
  <si>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</si>
  <si>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</si>
  <si>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</si>
  <si>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</si>
  <si>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</si>
  <si>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</si>
  <si>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</si>
  <si>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</si>
  <si>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</si>
  <si>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</si>
  <si>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</si>
  <si>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</si>
  <si>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</si>
  <si>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</si>
  <si>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</si>
  <si>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</si>
  <si>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</si>
  <si>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</si>
  <si>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</si>
  <si>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</si>
  <si>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</si>
  <si>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</si>
  <si>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</si>
  <si>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</si>
  <si>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</si>
  <si>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</si>
  <si>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</si>
  <si>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</si>
  <si>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</si>
  <si>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</si>
  <si>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</si>
  <si>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</si>
  <si>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</si>
  <si>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</si>
  <si>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</si>
  <si>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</si>
  <si>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</si>
  <si>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</si>
  <si>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</si>
  <si>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</si>
  <si>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</si>
  <si>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</si>
  <si>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</si>
  <si>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</si>
  <si>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</si>
  <si>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</si>
  <si>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</si>
  <si>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</si>
  <si>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</si>
  <si>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</si>
  <si>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</si>
  <si>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</si>
  <si>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</si>
  <si>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</si>
  <si>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</si>
  <si>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</si>
  <si>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</si>
  <si>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</si>
  <si>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</si>
  <si>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</si>
  <si>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</si>
  <si>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</si>
  <si>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</si>
  <si>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</si>
  <si>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</si>
  <si>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</si>
  <si>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</si>
  <si>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</si>
  <si>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</si>
  <si>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</si>
  <si>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</si>
  <si>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</si>
  <si>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</si>
  <si>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</si>
  <si>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</si>
  <si>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</si>
  <si>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</si>
  <si>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</si>
  <si>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</si>
  <si>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</si>
  <si>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</si>
  <si>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</si>
  <si>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</si>
  <si>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</si>
  <si>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</si>
  <si>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</si>
  <si>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</si>
  <si>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</si>
  <si>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</si>
  <si>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</si>
  <si>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</si>
  <si>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</si>
  <si>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</si>
  <si>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</si>
  <si>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</si>
  <si>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</si>
  <si>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</si>
  <si>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</si>
  <si>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</si>
  <si>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</si>
  <si>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</si>
  <si>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</si>
  <si>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</si>
  <si>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</si>
  <si>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</si>
  <si>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</si>
  <si>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</si>
  <si>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</si>
  <si>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</si>
  <si>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</si>
  <si>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</si>
  <si>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</si>
  <si>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</si>
  <si>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</si>
  <si>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</si>
  <si>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</si>
  <si>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</si>
  <si>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</si>
  <si>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</si>
  <si>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</si>
  <si>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</si>
  <si>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</si>
  <si>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</si>
  <si>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</si>
  <si>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</si>
  <si>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</si>
  <si>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</si>
  <si>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</si>
  <si>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</si>
  <si>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</si>
  <si>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</si>
  <si>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</si>
  <si>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</si>
  <si>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</si>
  <si>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</si>
  <si>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</si>
  <si>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</si>
  <si>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</si>
  <si>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</si>
  <si>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</si>
  <si>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</si>
  <si>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</si>
  <si>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</si>
  <si>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</si>
  <si>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</si>
  <si>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</si>
  <si>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</si>
  <si>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</si>
  <si>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</si>
  <si>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</si>
  <si>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</si>
  <si>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</si>
  <si>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</si>
  <si>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</si>
  <si>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</si>
  <si>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</si>
  <si>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</si>
  <si>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</si>
  <si>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</si>
  <si>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</si>
  <si>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</si>
  <si>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</si>
  <si>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</si>
  <si>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</si>
  <si>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</si>
  <si>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</si>
  <si>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</si>
  <si>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</si>
  <si>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</si>
  <si>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</si>
  <si>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</si>
  <si>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</si>
  <si>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</si>
  <si>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</si>
  <si>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</si>
  <si>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</si>
  <si>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</si>
  <si>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</si>
  <si>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</si>
  <si>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</si>
  <si>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</si>
  <si>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</si>
  <si>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</si>
  <si>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</si>
  <si>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</si>
  <si>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</si>
  <si>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</si>
  <si>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</si>
  <si>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</si>
  <si>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</si>
  <si>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</si>
  <si>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</si>
  <si>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</si>
  <si>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</si>
  <si>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</si>
  <si>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</si>
  <si>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</si>
  <si>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</si>
  <si>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</si>
  <si>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</si>
  <si>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</si>
  <si>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</si>
  <si>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</si>
  <si>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</si>
  <si>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</si>
  <si>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</si>
  <si>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</si>
  <si>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</si>
  <si>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</si>
  <si>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</si>
  <si>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</si>
  <si>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</si>
  <si>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</si>
  <si>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</si>
  <si>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</si>
  <si>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</si>
  <si>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</si>
  <si>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</si>
  <si>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</si>
  <si>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</si>
  <si>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</si>
  <si>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</si>
  <si>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</si>
  <si>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</si>
  <si>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</si>
  <si>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</si>
  <si>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</si>
  <si>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</si>
  <si>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</si>
  <si>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</si>
  <si>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</si>
  <si>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</si>
  <si>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</si>
  <si>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</si>
  <si>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</si>
  <si>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</si>
  <si>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</si>
  <si>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</si>
  <si>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</si>
  <si>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</si>
  <si>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</si>
  <si>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</si>
  <si>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</si>
  <si>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</si>
  <si>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</si>
  <si>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</si>
  <si>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</si>
  <si>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</si>
  <si>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</si>
  <si>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</si>
  <si>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</si>
  <si>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</si>
  <si>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</si>
  <si>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</si>
  <si>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</si>
  <si>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</si>
  <si>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</si>
  <si>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</si>
  <si>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</si>
  <si>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</si>
  <si>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</si>
  <si>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</si>
  <si>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</si>
  <si>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</si>
  <si>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</si>
  <si>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</si>
  <si>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</si>
  <si>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</si>
  <si>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</si>
  <si>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</si>
  <si>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</si>
  <si>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</si>
  <si>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</si>
  <si>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</si>
  <si>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</si>
  <si>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</si>
  <si>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</si>
  <si>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</si>
  <si>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</si>
  <si>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</si>
  <si>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</si>
  <si>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</si>
  <si>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</si>
  <si>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</si>
  <si>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</si>
  <si>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</si>
  <si>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</si>
  <si>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</si>
  <si>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</si>
  <si>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</si>
  <si>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</si>
  <si>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</si>
  <si>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</si>
  <si>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</si>
  <si>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</si>
  <si>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</si>
  <si>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</si>
  <si>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</si>
  <si>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</si>
  <si>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</si>
  <si>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</si>
  <si>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</si>
  <si>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</si>
  <si>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</si>
  <si>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</si>
  <si>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</si>
  <si>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</si>
  <si>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</si>
  <si>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</si>
  <si>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</si>
  <si>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</si>
  <si>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</si>
  <si>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</si>
  <si>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</si>
  <si>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</si>
  <si>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</si>
  <si>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</si>
  <si>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</si>
  <si>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</si>
  <si>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</si>
  <si>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</si>
  <si>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</si>
  <si>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</si>
  <si>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</si>
  <si>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</si>
  <si>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</si>
  <si>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</si>
  <si>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</si>
  <si>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</si>
  <si>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</si>
  <si>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</si>
  <si>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</si>
  <si>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</si>
  <si>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</si>
  <si>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</si>
  <si>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</si>
  <si>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</si>
  <si>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</si>
  <si>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</si>
  <si>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</si>
  <si>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</si>
  <si>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</si>
  <si>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</si>
  <si>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</si>
  <si>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</si>
  <si>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</si>
  <si>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</si>
  <si>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</si>
  <si>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</si>
  <si>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</si>
  <si>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</si>
  <si>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</si>
  <si>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</si>
  <si>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</si>
  <si>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</si>
  <si>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</si>
  <si>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</si>
  <si>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</si>
  <si>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</si>
  <si>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</si>
  <si>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</si>
  <si>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</si>
  <si>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</si>
  <si>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</si>
  <si>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</si>
  <si>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</si>
  <si>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</si>
  <si>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</si>
  <si>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</si>
  <si>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</si>
  <si>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</si>
  <si>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</si>
  <si>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</si>
  <si>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</si>
  <si>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</si>
  <si>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</si>
  <si>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</si>
  <si>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</si>
  <si>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</si>
  <si>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</si>
  <si>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</si>
  <si>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</si>
  <si>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</si>
  <si>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</si>
  <si>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</si>
  <si>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</si>
  <si>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</si>
  <si>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</si>
  <si>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</si>
  <si>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</si>
  <si>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</si>
  <si>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</si>
  <si>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</si>
  <si>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</si>
  <si>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</si>
  <si>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</si>
  <si>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</si>
  <si>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</si>
  <si>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</si>
  <si>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</si>
  <si>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</si>
  <si>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</si>
  <si>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</si>
  <si>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</si>
  <si>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</si>
  <si>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</si>
  <si>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</si>
  <si>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</si>
  <si>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</si>
  <si>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</si>
  <si>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</si>
  <si>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</si>
  <si>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</si>
  <si>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</si>
  <si>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</si>
  <si>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</si>
  <si>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</si>
  <si>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</si>
  <si>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</si>
  <si>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</si>
  <si>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</si>
  <si>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</si>
  <si>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</si>
  <si>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</si>
  <si>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</si>
  <si>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</si>
  <si>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</si>
  <si>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</si>
  <si>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</si>
  <si>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</si>
  <si>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</si>
  <si>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</si>
  <si>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</si>
  <si>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</si>
  <si>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</si>
  <si>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</si>
  <si>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</si>
  <si>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</si>
  <si>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</si>
  <si>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</si>
  <si>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</si>
  <si>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</si>
  <si>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</si>
  <si>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</si>
  <si>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</si>
  <si>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</si>
  <si>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</si>
  <si>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</si>
  <si>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</si>
  <si>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</si>
  <si>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</si>
  <si>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</si>
  <si>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</si>
  <si>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</si>
  <si>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</si>
  <si>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</si>
  <si>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</si>
  <si>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</si>
  <si>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</si>
  <si>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</si>
  <si>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</si>
  <si>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</si>
  <si>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</si>
  <si>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</si>
  <si>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</si>
  <si>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</si>
  <si>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</si>
  <si>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</si>
  <si>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</si>
  <si>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</si>
  <si>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</si>
  <si>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</si>
  <si>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</si>
  <si>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</si>
  <si>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</si>
  <si>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</si>
  <si>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</si>
  <si>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</si>
  <si>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</si>
  <si>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</si>
  <si>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</si>
  <si>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</si>
  <si>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</si>
  <si>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</si>
  <si>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</si>
  <si>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</si>
  <si>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</si>
  <si>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</si>
  <si>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</si>
  <si>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</si>
  <si>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</si>
  <si>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</si>
  <si>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</si>
  <si>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</si>
  <si>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</si>
  <si>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</si>
  <si>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</si>
  <si>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</si>
  <si>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</si>
  <si>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</si>
  <si>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</si>
  <si>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</si>
  <si>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</si>
  <si>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</si>
  <si>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</si>
  <si>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</si>
  <si>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</si>
  <si>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</si>
  <si>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</si>
  <si>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</si>
  <si>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</si>
  <si>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</si>
  <si>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</si>
  <si>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</si>
  <si>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</si>
  <si>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</si>
  <si>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</si>
  <si>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</si>
  <si>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</si>
  <si>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</si>
  <si>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</si>
  <si>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</si>
  <si>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</si>
  <si>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</si>
  <si>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</si>
  <si>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</si>
  <si>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</si>
  <si>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</si>
  <si>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</si>
  <si>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</si>
  <si>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</si>
  <si>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</si>
  <si>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</si>
  <si>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</si>
  <si>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</si>
  <si>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</si>
  <si>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</si>
  <si>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</si>
  <si>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</si>
  <si>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</si>
  <si>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</si>
  <si>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</si>
  <si>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</si>
  <si>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</si>
  <si>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</si>
  <si>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</si>
  <si>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</si>
  <si>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</si>
  <si>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</si>
  <si>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</si>
  <si>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</si>
  <si>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</si>
  <si>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</si>
  <si>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</si>
  <si>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</si>
  <si>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</si>
  <si>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</si>
  <si>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</si>
  <si>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</si>
  <si>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</si>
  <si>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</si>
  <si>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</si>
  <si>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</si>
  <si>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</si>
  <si>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</si>
  <si>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</si>
  <si>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</si>
  <si>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</si>
  <si>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</si>
  <si>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</si>
  <si>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</si>
  <si>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</si>
  <si>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</si>
  <si>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</si>
  <si>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</si>
  <si>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</si>
  <si>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</si>
  <si>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</si>
  <si>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</si>
  <si>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</si>
  <si>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</si>
  <si>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</si>
  <si>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</si>
  <si>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</si>
  <si>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</si>
  <si>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</si>
  <si>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</si>
  <si>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</si>
  <si>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</si>
  <si>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</si>
  <si>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</si>
  <si>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</si>
  <si>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</si>
  <si>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</si>
  <si>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</si>
  <si>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</si>
  <si>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</si>
  <si>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</si>
  <si>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</si>
  <si>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</si>
  <si>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</si>
  <si>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</si>
  <si>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</si>
  <si>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</si>
  <si>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</si>
  <si>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</si>
  <si>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</si>
  <si>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</si>
  <si>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</si>
  <si>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</si>
  <si>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</si>
  <si>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</si>
  <si>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</si>
  <si>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</si>
  <si>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</si>
  <si>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</si>
  <si>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</si>
  <si>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</si>
  <si>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</si>
  <si>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</si>
  <si>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</si>
  <si>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</si>
  <si>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</si>
  <si>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</si>
  <si>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</si>
  <si>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</si>
  <si>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</si>
  <si>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</si>
  <si>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</si>
  <si>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</si>
  <si>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</si>
  <si>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</si>
  <si>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</si>
  <si>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</si>
  <si>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</si>
  <si>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</si>
  <si>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</si>
  <si>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</si>
  <si>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</si>
  <si>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</si>
  <si>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</si>
  <si>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</si>
  <si>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</si>
  <si>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</si>
  <si>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</si>
  <si>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</si>
  <si>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</si>
  <si>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</si>
  <si>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</si>
  <si>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</si>
  <si>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</si>
  <si>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</si>
  <si>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</si>
  <si>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</si>
  <si>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</si>
  <si>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</si>
  <si>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</si>
  <si>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</si>
  <si>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</si>
  <si>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</si>
  <si>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</si>
  <si>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</si>
  <si>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</si>
  <si>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</si>
  <si>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</si>
  <si>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</si>
  <si>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</si>
  <si>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</si>
  <si>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</si>
  <si>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</si>
  <si>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</si>
  <si>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</si>
  <si>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</si>
  <si>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</si>
  <si>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</si>
  <si>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</si>
  <si>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</si>
  <si>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</si>
  <si>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</si>
  <si>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</si>
  <si>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</si>
  <si>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</si>
  <si>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</si>
  <si>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</si>
  <si>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</si>
  <si>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</si>
  <si>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</si>
  <si>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</si>
  <si>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</si>
  <si>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</si>
  <si>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</si>
  <si>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</si>
  <si>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</si>
  <si>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</si>
  <si>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</si>
  <si>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</si>
  <si>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</si>
  <si>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</si>
  <si>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</si>
  <si>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</si>
  <si>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</si>
  <si>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</si>
  <si>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</si>
  <si>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</si>
  <si>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</si>
  <si>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</si>
  <si>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</si>
  <si>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</si>
  <si>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</si>
  <si>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</si>
  <si>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</si>
  <si>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</si>
  <si>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</si>
  <si>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</si>
  <si>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</si>
  <si>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</si>
  <si>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</si>
  <si>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</si>
  <si>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</si>
  <si>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</si>
  <si>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</si>
  <si>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</si>
  <si>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</si>
  <si>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</si>
  <si>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</si>
  <si>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</si>
  <si>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</si>
  <si>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</si>
  <si>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</si>
  <si>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</si>
  <si>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</si>
  <si>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</si>
  <si>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</si>
  <si>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</si>
  <si>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</si>
  <si>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</si>
  <si>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</si>
  <si>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</si>
  <si>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</si>
  <si>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</si>
  <si>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</si>
  <si>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</si>
  <si>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</si>
  <si>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</si>
  <si>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</si>
  <si>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</si>
  <si>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</si>
  <si>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</si>
  <si>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</si>
  <si>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</si>
  <si>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</si>
  <si>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</si>
  <si>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</si>
  <si>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</si>
  <si>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</si>
  <si>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</si>
  <si>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</si>
  <si>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</si>
  <si>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</si>
  <si>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</si>
  <si>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</si>
  <si>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</si>
  <si>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</si>
  <si>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</si>
  <si>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</si>
  <si>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</si>
  <si>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</si>
  <si>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</si>
  <si>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</si>
  <si>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</si>
  <si>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</si>
  <si>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</si>
  <si>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</si>
  <si>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</si>
  <si>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</si>
  <si>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</si>
  <si>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</si>
  <si>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</si>
  <si>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</si>
  <si>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</si>
  <si>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</si>
  <si>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</si>
  <si>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</si>
  <si>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</si>
  <si>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</si>
  <si>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</si>
  <si>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</si>
  <si>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</si>
  <si>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</si>
  <si>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</si>
  <si>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</si>
  <si>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</si>
  <si>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</si>
  <si>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</si>
  <si>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</si>
  <si>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</si>
  <si>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</si>
  <si>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</si>
  <si>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</si>
  <si>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</si>
  <si>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</si>
  <si>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</si>
  <si>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</si>
  <si>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</si>
  <si>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</si>
  <si>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</si>
  <si>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</si>
  <si>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</si>
  <si>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</si>
  <si>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</si>
  <si>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</si>
  <si>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</si>
  <si>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</si>
  <si>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</si>
  <si>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</si>
  <si>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</si>
  <si>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</si>
  <si>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</si>
  <si>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</si>
  <si>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</si>
  <si>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</si>
  <si>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</si>
  <si>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</si>
  <si>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</si>
  <si>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</si>
  <si>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</si>
  <si>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</si>
  <si>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</si>
  <si>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</si>
  <si>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</si>
  <si>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</si>
  <si>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</si>
  <si>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</si>
  <si>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</si>
  <si>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</si>
  <si>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</si>
  <si>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</si>
  <si>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</si>
  <si>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</si>
  <si>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</si>
  <si>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</si>
  <si>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</si>
  <si>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</si>
  <si>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</si>
  <si>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</si>
  <si>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</si>
  <si>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</si>
  <si>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</si>
  <si>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</si>
  <si>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</si>
  <si>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</si>
  <si>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</si>
  <si>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</si>
  <si>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</si>
  <si>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</si>
  <si>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</si>
  <si>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</si>
  <si>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</si>
  <si>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</si>
  <si>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</si>
  <si>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</si>
  <si>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</si>
  <si>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</si>
  <si>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</si>
  <si>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</si>
  <si>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</si>
  <si>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</si>
  <si>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</si>
  <si>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</si>
  <si>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</si>
  <si>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</si>
  <si>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</si>
  <si>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</si>
  <si>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</si>
  <si>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</si>
  <si>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</si>
  <si>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</si>
  <si>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</si>
  <si>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</si>
  <si>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</si>
  <si>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</si>
  <si>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</si>
  <si>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</si>
  <si>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</si>
  <si>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</si>
  <si>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</si>
  <si>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</si>
  <si>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</si>
  <si>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</si>
  <si>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</si>
  <si>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</si>
  <si>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</si>
  <si>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</si>
  <si>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</si>
  <si>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</si>
  <si>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</si>
  <si>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</si>
  <si>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</si>
  <si>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</si>
  <si>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</si>
  <si>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</si>
  <si>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</si>
  <si>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</si>
  <si>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</si>
  <si>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</si>
  <si>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</si>
  <si>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</si>
  <si>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</si>
  <si>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</si>
  <si>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</si>
  <si>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</si>
  <si>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</si>
  <si>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</si>
  <si>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</si>
  <si>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</si>
  <si>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</si>
  <si>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</si>
  <si>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</si>
  <si>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</si>
  <si>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</si>
  <si>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</si>
  <si>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</si>
  <si>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</si>
  <si>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</si>
  <si>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</si>
  <si>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</si>
  <si>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</si>
  <si>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</si>
  <si>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</si>
  <si>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</si>
  <si>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</si>
  <si>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</si>
  <si>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</si>
  <si>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</si>
  <si>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</si>
  <si>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</si>
  <si>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</si>
  <si>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</si>
  <si>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</si>
  <si>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</si>
  <si>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</si>
  <si>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</si>
  <si>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</si>
  <si>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</si>
  <si>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</si>
  <si>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</si>
  <si>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</si>
  <si>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</si>
  <si>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</si>
  <si>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</si>
  <si>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</si>
  <si>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</si>
  <si>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</si>
  <si>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</si>
  <si>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</si>
  <si>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</si>
  <si>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</si>
  <si>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</si>
  <si>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</si>
  <si>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</si>
  <si>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</si>
  <si>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</si>
  <si>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</si>
  <si>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</si>
  <si>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</si>
  <si>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</si>
  <si>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</si>
  <si>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</si>
  <si>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</si>
  <si>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</si>
  <si>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</si>
  <si>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</si>
  <si>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</si>
  <si>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</si>
  <si>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</si>
  <si>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</si>
  <si>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</si>
  <si>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</si>
  <si>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</si>
  <si>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</si>
  <si>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</si>
  <si>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</si>
  <si>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</si>
  <si>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</si>
  <si>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</si>
  <si>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</si>
  <si>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</si>
  <si>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</si>
  <si>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</si>
  <si>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</si>
  <si>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</si>
  <si>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</si>
  <si>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</si>
  <si>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</si>
  <si>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</si>
  <si>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</si>
  <si>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</si>
  <si>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</si>
  <si>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</si>
  <si>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</si>
  <si>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</si>
  <si>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</si>
  <si>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</si>
  <si>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</si>
  <si>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</si>
  <si>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</si>
  <si>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</si>
  <si>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</si>
  <si>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</si>
  <si>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</si>
  <si>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</si>
  <si>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</si>
  <si>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</si>
  <si>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</si>
  <si>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</si>
  <si>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</si>
  <si>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</si>
  <si>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</si>
  <si>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</si>
  <si>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</si>
  <si>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</si>
  <si>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</si>
  <si>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</si>
  <si>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</si>
  <si>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</si>
  <si>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</si>
  <si>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</si>
  <si>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</si>
  <si>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</si>
  <si>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</si>
  <si>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</si>
  <si>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</si>
  <si>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</si>
  <si>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</si>
  <si>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</si>
  <si>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</si>
  <si>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</si>
  <si>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</si>
  <si>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</si>
  <si>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</si>
  <si>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</si>
  <si>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</si>
  <si>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</si>
  <si>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</si>
  <si>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</si>
  <si>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</si>
  <si>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</si>
  <si>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</si>
  <si>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</si>
  <si>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</si>
  <si>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</si>
  <si>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</si>
  <si>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</si>
  <si>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</si>
  <si>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</si>
  <si>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</si>
  <si>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</si>
  <si>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</si>
  <si>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</si>
  <si>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</si>
  <si>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</si>
  <si>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</si>
  <si>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</si>
  <si>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</si>
  <si>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</si>
  <si>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</si>
  <si>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</si>
  <si>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</si>
  <si>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</si>
  <si>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</si>
  <si>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</si>
  <si>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</si>
  <si>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</si>
  <si>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</si>
  <si>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</si>
  <si>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</si>
  <si>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</si>
  <si>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</si>
  <si>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</si>
  <si>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</si>
  <si>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</si>
  <si>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</si>
  <si>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</si>
  <si>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</si>
  <si>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</si>
  <si>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</si>
  <si>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</si>
  <si>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</si>
  <si>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</si>
  <si>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</si>
  <si>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</si>
  <si>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</si>
  <si>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</si>
  <si>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</si>
  <si>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</si>
  <si>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</si>
  <si>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</si>
  <si>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</si>
  <si>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</si>
  <si>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</si>
  <si>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</si>
  <si>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</si>
  <si>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</si>
  <si>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</si>
  <si>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</si>
  <si>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</si>
  <si>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</si>
  <si>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</si>
  <si>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</si>
  <si>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</si>
  <si>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</si>
  <si>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</si>
  <si>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</si>
  <si>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</si>
  <si>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</si>
  <si>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</si>
  <si>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</si>
  <si>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</si>
  <si>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</si>
  <si>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</si>
  <si>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</si>
  <si>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</si>
  <si>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</si>
  <si>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</si>
  <si>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</si>
  <si>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</si>
  <si>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</si>
  <si>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</si>
  <si>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</si>
  <si>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</si>
  <si>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</si>
  <si>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</si>
  <si>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</si>
  <si>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</si>
  <si>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</si>
  <si>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</si>
  <si>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</si>
  <si>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</si>
  <si>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</si>
  <si>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</si>
  <si>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</si>
  <si>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</si>
  <si>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</si>
  <si>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</si>
  <si>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</si>
  <si>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</si>
  <si>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</si>
  <si>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</si>
  <si>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</si>
  <si>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</si>
  <si>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</si>
  <si>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</si>
  <si>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</si>
  <si>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</si>
  <si>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</si>
  <si>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</si>
  <si>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</si>
  <si>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</si>
  <si>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</si>
  <si>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</si>
  <si>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</si>
  <si>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</si>
  <si>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</si>
  <si>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</si>
  <si>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</si>
  <si>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</si>
  <si>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</si>
  <si>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</si>
  <si>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</si>
  <si>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</si>
  <si>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</si>
  <si>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</si>
  <si>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</si>
  <si>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</si>
  <si>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</si>
  <si>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</si>
  <si>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</si>
  <si>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</si>
  <si>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</si>
  <si>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</si>
  <si>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</si>
  <si>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</si>
  <si>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</si>
  <si>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</si>
  <si>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</si>
  <si>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</si>
  <si>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</si>
  <si>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</si>
  <si>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</si>
  <si>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</si>
  <si>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</si>
  <si>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</si>
  <si>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</si>
  <si>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</si>
  <si>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</si>
  <si>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</si>
  <si>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</si>
  <si>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</si>
  <si>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</si>
  <si>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</si>
  <si>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</si>
  <si>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</si>
  <si>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</si>
  <si>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</si>
  <si>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</si>
  <si>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</si>
  <si>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</si>
  <si>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</si>
  <si>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</si>
  <si>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</si>
  <si>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</si>
  <si>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</si>
  <si>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</si>
  <si>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</si>
  <si>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</si>
  <si>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</si>
  <si>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</si>
  <si>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</si>
  <si>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</si>
  <si>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</si>
  <si>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</si>
  <si>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</si>
  <si>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</si>
  <si>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</si>
  <si>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</si>
  <si>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</si>
  <si>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</si>
  <si>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</si>
  <si>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</si>
  <si>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</si>
  <si>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</si>
  <si>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</si>
  <si>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</si>
  <si>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</si>
  <si>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</si>
  <si>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</si>
  <si>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</si>
  <si>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</si>
  <si>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</si>
  <si>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</si>
  <si>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</si>
  <si>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</si>
  <si>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</si>
  <si>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</si>
  <si>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</si>
  <si>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</si>
  <si>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</si>
  <si>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</si>
  <si>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</si>
  <si>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</si>
  <si>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</si>
  <si>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</si>
  <si>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</si>
  <si>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</si>
  <si>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</si>
  <si>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</si>
  <si>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</si>
  <si>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</si>
  <si>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</si>
  <si>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</si>
  <si>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</si>
  <si>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</si>
  <si>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</si>
  <si>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</si>
  <si>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</si>
  <si>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</si>
  <si>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</si>
  <si>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</si>
  <si>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</si>
  <si>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</si>
  <si>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</si>
  <si>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</si>
  <si>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</si>
  <si>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</si>
  <si>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</si>
  <si>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</si>
  <si>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</si>
  <si>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</si>
  <si>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</si>
  <si>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</si>
  <si>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</si>
  <si>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</si>
  <si>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</si>
  <si>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</si>
  <si>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</si>
  <si>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</si>
  <si>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</si>
  <si>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</si>
  <si>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</si>
  <si>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</si>
  <si>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</si>
  <si>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</si>
  <si>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</si>
  <si>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</si>
  <si>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</si>
  <si>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</si>
  <si>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</si>
  <si>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</si>
  <si>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</si>
  <si>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</si>
  <si>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</si>
  <si>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</si>
  <si>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</si>
  <si>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</si>
  <si>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</si>
  <si>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</si>
  <si>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</si>
  <si>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</si>
  <si>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</si>
  <si>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</si>
  <si>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</si>
  <si>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</si>
  <si>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</si>
  <si>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</si>
  <si>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</si>
  <si>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</si>
  <si>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</si>
  <si>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</si>
  <si>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</si>
  <si>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</si>
  <si>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</si>
  <si>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</si>
  <si>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</si>
  <si>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</si>
  <si>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</si>
  <si>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</si>
  <si>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</si>
  <si>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</si>
  <si>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</si>
  <si>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</si>
  <si>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</si>
  <si>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</si>
  <si>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</si>
  <si>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</si>
  <si>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</si>
  <si>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</si>
  <si>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</si>
  <si>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</si>
  <si>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</si>
  <si>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</si>
  <si>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</si>
  <si>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</si>
  <si>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</si>
  <si>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</si>
  <si>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</si>
  <si>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</si>
  <si>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</si>
  <si>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</si>
  <si>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</si>
  <si>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</si>
  <si>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</si>
  <si>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</si>
  <si>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</si>
  <si>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</si>
  <si>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</si>
  <si>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</si>
  <si>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</si>
  <si>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</si>
  <si>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</si>
  <si>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</si>
  <si>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</si>
  <si>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</si>
  <si>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</si>
  <si>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</si>
  <si>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</si>
  <si>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</si>
  <si>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</si>
  <si>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</si>
  <si>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</si>
  <si>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</si>
  <si>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</si>
  <si>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</si>
  <si>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</si>
  <si>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</si>
  <si>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</si>
  <si>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</si>
  <si>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</si>
  <si>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</si>
  <si>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</si>
  <si>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</si>
  <si>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</si>
  <si>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</si>
  <si>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</si>
  <si>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</si>
  <si>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</si>
  <si>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</si>
  <si>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</si>
  <si>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</si>
  <si>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</si>
  <si>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</si>
  <si>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</si>
  <si>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</si>
  <si>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</si>
  <si>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</si>
  <si>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</si>
  <si>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</si>
  <si>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</si>
  <si>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</si>
  <si>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</si>
  <si>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</si>
  <si>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</si>
  <si>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</si>
  <si>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</si>
  <si>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</si>
  <si>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</si>
  <si>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</si>
  <si>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</si>
  <si>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</si>
  <si>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</si>
  <si>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</si>
  <si>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</si>
  <si>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</si>
  <si>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</si>
  <si>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</si>
  <si>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</si>
  <si>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</si>
  <si>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</si>
  <si>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</si>
  <si>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</si>
  <si>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</si>
  <si>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</si>
  <si>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</si>
  <si>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</si>
  <si>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</si>
  <si>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</si>
  <si>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</si>
  <si>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</si>
  <si>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</si>
  <si>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</si>
  <si>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</si>
  <si>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</si>
  <si>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</si>
  <si>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</si>
  <si>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</si>
  <si>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</si>
  <si>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</si>
  <si>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</si>
  <si>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</si>
  <si>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</si>
  <si>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</si>
  <si>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</si>
  <si>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</si>
  <si>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</si>
  <si>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</si>
  <si>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</si>
  <si>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</si>
  <si>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</si>
  <si>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</si>
  <si>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</si>
  <si>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</si>
  <si>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</si>
  <si>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</si>
  <si>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</si>
  <si>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</si>
  <si>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</si>
  <si>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</si>
  <si>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</si>
  <si>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</si>
  <si>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</si>
  <si>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</si>
  <si>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</si>
  <si>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</si>
  <si>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</si>
  <si>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</si>
  <si>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</si>
  <si>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</si>
  <si>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</si>
  <si>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</si>
  <si>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</si>
  <si>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</si>
  <si>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</si>
  <si>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</si>
  <si>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</si>
  <si>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</si>
  <si>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</si>
  <si>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</si>
  <si>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</si>
  <si>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</si>
  <si>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</si>
  <si>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</si>
  <si>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</si>
  <si>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</si>
  <si>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</si>
  <si>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</si>
  <si>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</si>
  <si>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</si>
  <si>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</si>
  <si>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</si>
  <si>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</si>
  <si>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</si>
  <si>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</si>
  <si>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</si>
  <si>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</si>
  <si>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</si>
  <si>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</si>
  <si>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</si>
  <si>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</si>
  <si>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</si>
  <si>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</si>
  <si>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</si>
  <si>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</si>
  <si>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</si>
  <si>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</si>
  <si>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</si>
  <si>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</si>
  <si>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</si>
  <si>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</si>
  <si>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</si>
  <si>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</si>
  <si>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</si>
  <si>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</si>
  <si>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</si>
  <si>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</si>
  <si>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</si>
  <si>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</si>
  <si>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</si>
  <si>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</si>
  <si>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</si>
  <si>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</si>
  <si>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</si>
  <si>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</si>
  <si>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</si>
  <si>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</si>
  <si>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</si>
  <si>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</si>
  <si>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</si>
  <si>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</si>
  <si>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</si>
  <si>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</si>
  <si>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</si>
  <si>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</si>
  <si>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</si>
  <si>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</si>
  <si>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</si>
  <si>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</si>
  <si>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</si>
  <si>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</si>
  <si>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</si>
  <si>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</si>
  <si>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</si>
  <si>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</si>
  <si>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</si>
  <si>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</si>
  <si>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</si>
  <si>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</si>
  <si>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</si>
  <si>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</si>
  <si>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</si>
  <si>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</si>
  <si>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</si>
  <si>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</si>
  <si>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</si>
  <si>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</si>
  <si>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</si>
  <si>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</si>
  <si>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</si>
  <si>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</si>
  <si>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</si>
  <si>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</si>
  <si>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</si>
  <si>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</si>
  <si>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</si>
  <si>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</si>
  <si>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</si>
  <si>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</si>
  <si>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</si>
  <si>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</si>
  <si>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</si>
  <si>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</si>
  <si>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</si>
  <si>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</si>
  <si>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</si>
  <si>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</si>
  <si>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</si>
  <si>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</si>
  <si>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</si>
  <si>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</si>
  <si>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</si>
  <si>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</si>
  <si>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</si>
  <si>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</si>
  <si>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</si>
  <si>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</si>
  <si>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</si>
  <si>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</si>
  <si>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</si>
  <si>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</si>
  <si>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</si>
  <si>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</si>
  <si>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</si>
  <si>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</si>
  <si>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</si>
  <si>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</si>
  <si>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</si>
  <si>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</si>
  <si>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</si>
  <si>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</si>
  <si>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</si>
  <si>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</si>
  <si>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</si>
  <si>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</si>
  <si>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</si>
  <si>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</si>
  <si>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</si>
  <si>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</si>
  <si>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</si>
  <si>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</si>
  <si>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</si>
  <si>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</si>
  <si>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</si>
  <si>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</si>
  <si>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</si>
  <si>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</si>
  <si>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</si>
  <si>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</si>
  <si>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</si>
  <si>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</si>
  <si>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</si>
  <si>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</si>
  <si>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</si>
  <si>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</si>
  <si>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</si>
  <si>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</si>
  <si>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</si>
  <si>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</si>
  <si>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</si>
  <si>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</si>
  <si>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</si>
  <si>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</si>
  <si>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</si>
  <si>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</si>
  <si>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</si>
  <si>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</si>
  <si>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</si>
  <si>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</si>
  <si>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</si>
  <si>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</si>
  <si>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</si>
  <si>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</si>
  <si>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</si>
  <si>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</si>
  <si>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</si>
  <si>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</si>
  <si>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</si>
  <si>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</si>
  <si>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</si>
  <si>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</si>
  <si>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</si>
  <si>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</si>
  <si>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</si>
  <si>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</si>
  <si>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</si>
  <si>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</si>
  <si>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</si>
  <si>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</si>
  <si>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</si>
  <si>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</si>
  <si>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</si>
  <si>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</si>
  <si>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</si>
  <si>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</si>
  <si>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</si>
  <si>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</si>
  <si>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</si>
  <si>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</si>
  <si>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</si>
  <si>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</si>
  <si>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</si>
  <si>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</si>
  <si>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</si>
  <si>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</si>
  <si>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</si>
  <si>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</si>
  <si>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</si>
  <si>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</si>
  <si>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</si>
  <si>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</si>
  <si>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</si>
  <si>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</si>
  <si>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</si>
  <si>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</si>
  <si>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</si>
  <si>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</si>
  <si>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</si>
  <si>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</si>
  <si>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</si>
  <si>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</si>
  <si>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</si>
  <si>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</si>
  <si>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</si>
  <si>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</si>
  <si>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</si>
  <si>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</si>
  <si>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</si>
  <si>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</si>
  <si>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</si>
  <si>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</si>
  <si>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</si>
  <si>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</si>
  <si>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</si>
  <si>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</si>
  <si>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</si>
  <si>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</si>
  <si>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</si>
  <si>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</si>
  <si>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</si>
  <si>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</si>
  <si>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</si>
  <si>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</si>
  <si>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</si>
  <si>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</si>
  <si>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</si>
  <si>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</si>
  <si>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</si>
  <si>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</si>
  <si>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</si>
  <si>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</si>
  <si>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</si>
  <si>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</si>
  <si>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</si>
  <si>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</si>
  <si>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</si>
  <si>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</si>
  <si>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</si>
  <si>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</si>
  <si>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</si>
  <si>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</si>
  <si>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</si>
  <si>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</si>
  <si>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</si>
  <si>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</si>
  <si>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</si>
  <si>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</si>
  <si>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</si>
  <si>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</si>
  <si>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</si>
  <si>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</si>
  <si>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</si>
  <si>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</si>
  <si>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</si>
  <si>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</si>
  <si>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</si>
  <si>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</si>
  <si>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</si>
  <si>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</si>
  <si>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</si>
  <si>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</si>
  <si>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</si>
  <si>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</si>
  <si>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</si>
  <si>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</si>
  <si>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</si>
  <si>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</si>
  <si>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</si>
  <si>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</si>
  <si>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</si>
  <si>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</si>
  <si>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</si>
  <si>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</si>
  <si>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</si>
  <si>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</si>
  <si>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</si>
  <si>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</si>
  <si>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</si>
  <si>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</si>
  <si>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</si>
  <si>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</si>
  <si>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</si>
  <si>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</si>
  <si>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</si>
  <si>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</si>
  <si>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</si>
  <si>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</si>
  <si>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</si>
  <si>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</si>
  <si>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</si>
  <si>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</si>
  <si>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</si>
  <si>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</si>
  <si>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</si>
  <si>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</si>
  <si>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</si>
  <si>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</si>
  <si>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</si>
  <si>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</si>
  <si>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</si>
  <si>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</si>
  <si>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</si>
  <si>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</si>
  <si>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</si>
  <si>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</si>
  <si>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</si>
  <si>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</si>
  <si>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</si>
  <si>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</si>
  <si>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</si>
  <si>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</si>
  <si>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</si>
  <si>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</si>
  <si>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</si>
  <si>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</si>
  <si>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</si>
  <si>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</si>
  <si>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</si>
  <si>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</si>
  <si>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</si>
  <si>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</si>
  <si>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</si>
  <si>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</si>
  <si>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</si>
  <si>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</si>
  <si>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</si>
  <si>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</si>
  <si>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</si>
  <si>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</si>
  <si>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</si>
  <si>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</si>
  <si>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</si>
  <si>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</si>
  <si>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</si>
  <si>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</si>
  <si>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</si>
  <si>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</si>
  <si>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</si>
  <si>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</si>
  <si>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</si>
  <si>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</si>
  <si>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</si>
  <si>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</si>
  <si>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</si>
  <si>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</si>
  <si>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</si>
  <si>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</si>
  <si>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</si>
  <si>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</si>
  <si>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</si>
  <si>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</si>
  <si>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</si>
  <si>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</si>
  <si>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</si>
  <si>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</si>
  <si>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</si>
  <si>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</si>
  <si>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</si>
  <si>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</si>
  <si>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</si>
  <si>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</si>
  <si>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</si>
  <si>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</si>
  <si>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</si>
  <si>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</si>
  <si>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</si>
  <si>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</si>
  <si>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</si>
  <si>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</si>
  <si>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</si>
  <si>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</si>
  <si>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</si>
  <si>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</si>
  <si>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</si>
  <si>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</si>
  <si>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</si>
  <si>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</si>
  <si>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</si>
  <si>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</si>
  <si>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</si>
  <si>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</si>
  <si>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</si>
  <si>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</si>
  <si>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</si>
  <si>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</si>
  <si>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</si>
  <si>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</si>
  <si>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</si>
  <si>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</si>
  <si>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</si>
  <si>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</si>
  <si>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</si>
  <si>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</si>
  <si>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</si>
  <si>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</si>
  <si>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</si>
  <si>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</si>
  <si>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</si>
  <si>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</si>
  <si>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</si>
  <si>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</si>
  <si>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</si>
  <si>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</si>
  <si>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</si>
  <si>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</si>
  <si>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</si>
  <si>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</si>
  <si>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</si>
  <si>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</si>
  <si>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</si>
  <si>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</si>
  <si>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</si>
  <si>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</si>
  <si>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</si>
  <si>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</si>
  <si>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</si>
  <si>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</si>
  <si>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</si>
  <si>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</si>
  <si>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</si>
  <si>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</si>
  <si>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</si>
  <si>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</si>
  <si>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</si>
  <si>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</si>
  <si>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</si>
  <si>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</si>
  <si>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</si>
  <si>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</si>
  <si>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</si>
  <si>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</si>
  <si>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</si>
  <si>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</si>
  <si>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</si>
  <si>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</si>
  <si>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</si>
  <si>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</si>
  <si>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</si>
  <si>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</si>
  <si>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</si>
  <si>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</si>
  <si>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</si>
  <si>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</si>
  <si>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</si>
  <si>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</si>
  <si>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</si>
  <si>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</si>
  <si>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</si>
  <si>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</si>
  <si>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</si>
  <si>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</si>
  <si>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</si>
  <si>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</si>
  <si>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</si>
  <si>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</si>
  <si>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</si>
  <si>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</si>
  <si>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</si>
  <si>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</si>
  <si>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</si>
  <si>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</si>
  <si>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</si>
  <si>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</si>
  <si>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</si>
  <si>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</si>
  <si>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</si>
  <si>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</si>
  <si>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</si>
  <si>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</si>
  <si>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</si>
  <si>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</si>
  <si>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</si>
  <si>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</si>
  <si>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</si>
  <si>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</si>
  <si>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</si>
  <si>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</si>
  <si>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</si>
  <si>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</si>
  <si>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</si>
  <si>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</si>
  <si>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</si>
  <si>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</si>
  <si>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</si>
  <si>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</si>
  <si>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</si>
  <si>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</si>
  <si>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</si>
  <si>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</si>
  <si>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</si>
  <si>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</si>
  <si>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</si>
  <si>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</si>
  <si>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</si>
  <si>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</si>
  <si>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</si>
  <si>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</si>
  <si>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</si>
  <si>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</si>
  <si>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</si>
  <si>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</si>
  <si>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</si>
  <si>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</si>
  <si>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</si>
  <si>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</si>
  <si>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</si>
  <si>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</si>
  <si>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</si>
  <si>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</si>
  <si>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</si>
  <si>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</si>
  <si>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</si>
  <si>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</si>
  <si>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</si>
  <si>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</si>
  <si>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</si>
  <si>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</si>
  <si>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</si>
  <si>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</si>
  <si>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</si>
  <si>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</si>
  <si>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</si>
  <si>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</si>
  <si>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</si>
  <si>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</si>
  <si>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</si>
  <si>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</si>
  <si>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</si>
  <si>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</si>
  <si>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</si>
  <si>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</si>
  <si>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</si>
  <si>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</si>
  <si>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</si>
  <si>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</si>
  <si>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</si>
  <si>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</si>
  <si>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</si>
  <si>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</si>
  <si>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</si>
  <si>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</si>
  <si>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</si>
  <si>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</si>
  <si>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</si>
  <si>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</si>
  <si>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</si>
  <si>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</si>
  <si>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</si>
  <si>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</si>
  <si>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</si>
  <si>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</si>
  <si>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</si>
  <si>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</si>
  <si>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</si>
  <si>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</si>
  <si>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</si>
  <si>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</si>
  <si>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</si>
  <si>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</si>
  <si>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</si>
  <si>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</si>
  <si>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</si>
  <si>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</si>
  <si>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</si>
  <si>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</si>
  <si>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</si>
  <si>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</si>
  <si>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</si>
  <si>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</si>
  <si>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</si>
  <si>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</si>
  <si>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</si>
  <si>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</si>
  <si>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</si>
  <si>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</si>
  <si>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</si>
  <si>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</si>
  <si>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</si>
  <si>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</si>
  <si>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</si>
  <si>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</si>
  <si>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</si>
  <si>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</si>
  <si>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</si>
  <si>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</si>
  <si>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</si>
  <si>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</si>
  <si>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</si>
  <si>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</si>
  <si>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</si>
  <si>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</si>
  <si>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</si>
  <si>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</si>
  <si>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</si>
  <si>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</si>
  <si>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</si>
  <si>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</si>
  <si>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</si>
  <si>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</si>
  <si>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</si>
  <si>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</si>
  <si>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</si>
  <si>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</si>
  <si>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</si>
  <si>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</si>
  <si>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</si>
  <si>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</si>
  <si>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</si>
  <si>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</si>
  <si>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</si>
  <si>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</si>
  <si>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</si>
  <si>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</si>
  <si>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</si>
  <si>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</si>
  <si>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</si>
  <si>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</si>
  <si>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</si>
  <si>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</si>
  <si>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</si>
  <si>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</si>
  <si>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</si>
  <si>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</si>
  <si>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</si>
  <si>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</si>
  <si>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</si>
  <si>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</si>
  <si>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</si>
  <si>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</si>
  <si>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</si>
  <si>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</si>
  <si>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</si>
  <si>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</si>
  <si>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</si>
  <si>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</si>
  <si>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</si>
  <si>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</si>
  <si>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</si>
  <si>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</si>
  <si>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</si>
  <si>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</si>
  <si>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</si>
  <si>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</si>
  <si>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</si>
  <si>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</si>
  <si>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</si>
  <si>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</si>
  <si>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</si>
  <si>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</si>
  <si>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</si>
  <si>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</si>
  <si>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</si>
  <si>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</si>
  <si>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</si>
  <si>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</si>
  <si>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</si>
  <si>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</si>
  <si>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</si>
  <si>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</si>
  <si>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</si>
  <si>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</si>
  <si>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</si>
  <si>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</si>
  <si>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</si>
  <si>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</si>
  <si>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</si>
  <si>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</si>
  <si>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</si>
  <si>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</si>
  <si>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</si>
  <si>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</si>
  <si>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</si>
  <si>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</si>
  <si>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</si>
  <si>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</si>
  <si>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</si>
  <si>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</si>
  <si>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</si>
  <si>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</si>
  <si>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</si>
  <si>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</si>
  <si>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</si>
  <si>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</si>
  <si>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</si>
  <si>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</si>
  <si>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</si>
  <si>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</si>
  <si>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</si>
  <si>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</si>
  <si>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</si>
  <si>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</si>
  <si>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</si>
  <si>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</si>
  <si>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</si>
  <si>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</si>
  <si>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</si>
  <si>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</si>
  <si>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</si>
  <si>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</si>
  <si>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</si>
  <si>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</si>
  <si>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</si>
  <si>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</si>
  <si>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</si>
  <si>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</si>
  <si>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</si>
  <si>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</si>
  <si>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</si>
  <si>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</si>
  <si>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</si>
  <si>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</si>
  <si>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</si>
  <si>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</si>
  <si>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</si>
  <si>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</si>
  <si>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</si>
  <si>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</si>
  <si>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</si>
  <si>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</si>
  <si>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</si>
  <si>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</si>
  <si>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</si>
  <si>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</si>
  <si>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</si>
  <si>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</si>
  <si>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</si>
  <si>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</si>
  <si>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</si>
  <si>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</si>
  <si>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</si>
  <si>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</si>
  <si>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</si>
  <si>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</si>
  <si>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</si>
  <si>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</si>
  <si>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</si>
  <si>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</si>
  <si>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</si>
  <si>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</si>
  <si>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</si>
  <si>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</si>
  <si>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</si>
  <si>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</si>
  <si>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</si>
  <si>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</si>
  <si>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</si>
  <si>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</si>
  <si>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</si>
  <si>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</si>
  <si>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</si>
  <si>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</si>
  <si>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</si>
  <si>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</si>
  <si>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</si>
  <si>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</si>
  <si>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</si>
  <si>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</si>
  <si>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</si>
  <si>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</si>
  <si>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</si>
  <si>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</si>
  <si>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</si>
  <si>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</si>
  <si>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</si>
  <si>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</si>
  <si>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</si>
  <si>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</si>
  <si>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</si>
  <si>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</si>
  <si>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</si>
  <si>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</si>
  <si>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</si>
  <si>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</si>
  <si>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</si>
  <si>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</si>
  <si>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</si>
  <si>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</si>
  <si>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</si>
  <si>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</si>
  <si>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</si>
  <si>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</si>
  <si>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</si>
  <si>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</si>
  <si>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</si>
  <si>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</si>
  <si>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</si>
  <si>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</si>
  <si>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</si>
  <si>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</si>
  <si>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</si>
  <si>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</si>
  <si>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</si>
  <si>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</si>
  <si>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</si>
  <si>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</si>
  <si>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</si>
  <si>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</si>
  <si>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</si>
  <si>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</si>
  <si>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</si>
  <si>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</si>
  <si>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</si>
  <si>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</si>
  <si>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</si>
  <si>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</si>
  <si>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</si>
  <si>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</si>
  <si>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</si>
  <si>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</si>
  <si>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</si>
  <si>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</si>
  <si>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</si>
  <si>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</si>
  <si>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</si>
  <si>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</si>
  <si>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</si>
  <si>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</si>
  <si>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</si>
  <si>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</si>
  <si>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</si>
  <si>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</si>
  <si>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</si>
  <si>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</si>
  <si>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</si>
  <si>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</si>
  <si>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</si>
  <si>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</si>
  <si>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</si>
  <si>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</si>
  <si>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</si>
  <si>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</si>
  <si>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</si>
  <si>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</si>
  <si>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</si>
  <si>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</si>
  <si>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</si>
  <si>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</si>
  <si>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</si>
  <si>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</si>
  <si>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</si>
  <si>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</si>
  <si>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</si>
  <si>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</si>
  <si>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</si>
  <si>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</si>
  <si>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</si>
  <si>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</si>
  <si>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</si>
  <si>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</si>
  <si>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</si>
  <si>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</si>
  <si>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</si>
  <si>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</si>
  <si>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</si>
  <si>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</si>
  <si>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</si>
  <si>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</si>
  <si>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</si>
  <si>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</si>
  <si>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</si>
  <si>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</si>
  <si>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</si>
  <si>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</si>
  <si>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</si>
  <si>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</si>
  <si>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</si>
  <si>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</si>
  <si>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</si>
  <si>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</si>
  <si>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</si>
  <si>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</si>
  <si>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</si>
  <si>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</si>
  <si>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</si>
  <si>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</si>
  <si>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</si>
  <si>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</si>
  <si>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</si>
  <si>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</si>
  <si>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</si>
  <si>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</si>
  <si>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</si>
  <si>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</si>
  <si>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</si>
  <si>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</si>
  <si>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</si>
  <si>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</si>
  <si>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</si>
  <si>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</si>
  <si>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</si>
  <si>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</si>
  <si>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</si>
  <si>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</si>
  <si>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</si>
  <si>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</si>
  <si>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</si>
  <si>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</si>
  <si>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</si>
  <si>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</si>
  <si>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</si>
  <si>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</si>
  <si>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</si>
  <si>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</si>
  <si>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</si>
  <si>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</si>
  <si>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</si>
  <si>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</si>
  <si>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</si>
  <si>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</si>
  <si>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</si>
  <si>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</si>
  <si>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</si>
  <si>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</si>
  <si>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</si>
  <si>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</si>
  <si>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</si>
  <si>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</si>
  <si>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</si>
  <si>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</si>
  <si>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</si>
  <si>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</si>
  <si>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</si>
  <si>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</si>
  <si>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</si>
  <si>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</si>
  <si>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</si>
  <si>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</si>
  <si>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</si>
  <si>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</si>
  <si>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</si>
  <si>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</si>
  <si>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</si>
  <si>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</si>
  <si>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</si>
  <si>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</si>
  <si>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</si>
  <si>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</si>
  <si>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</si>
  <si>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</si>
  <si>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</si>
  <si>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</si>
  <si>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</si>
  <si>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</si>
  <si>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</si>
  <si>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</si>
  <si>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</si>
  <si>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</si>
  <si>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</si>
  <si>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</si>
  <si>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</si>
  <si>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</si>
  <si>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</si>
  <si>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</si>
  <si>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</si>
  <si>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</si>
  <si>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</si>
  <si>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</si>
  <si>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</si>
  <si>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</si>
  <si>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</si>
  <si>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</si>
  <si>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</si>
  <si>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</si>
  <si>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</si>
  <si>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</si>
  <si>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</si>
  <si>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</si>
  <si>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</si>
  <si>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</si>
  <si>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</si>
  <si>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</si>
  <si>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</si>
  <si>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</si>
  <si>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</si>
  <si>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</si>
  <si>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</si>
  <si>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</si>
  <si>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</si>
  <si>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</si>
  <si>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</si>
  <si>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</si>
  <si>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</si>
  <si>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</si>
  <si>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</si>
  <si>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</si>
  <si>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</si>
  <si>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</si>
  <si>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</si>
  <si>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</si>
  <si>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</si>
  <si>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</si>
  <si>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</si>
  <si>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</si>
  <si>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</si>
  <si>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</si>
  <si>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</si>
  <si>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</si>
  <si>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</si>
  <si>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</si>
  <si>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</si>
  <si>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</si>
  <si>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</si>
  <si>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</si>
  <si>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</si>
  <si>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</si>
  <si>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</si>
  <si>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</si>
  <si>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</si>
  <si>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</si>
  <si>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</si>
  <si>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</si>
  <si>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</si>
  <si>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</si>
  <si>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</si>
  <si>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</si>
  <si>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</si>
  <si>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</si>
  <si>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</si>
  <si>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</si>
  <si>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</si>
  <si>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</si>
  <si>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</si>
  <si>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</si>
  <si>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</si>
  <si>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</si>
  <si>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</si>
  <si>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</si>
  <si>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</si>
  <si>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</si>
  <si>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</si>
  <si>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</si>
  <si>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</si>
  <si>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</si>
  <si>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</si>
  <si>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</si>
  <si>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</si>
  <si>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</si>
  <si>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</si>
  <si>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</si>
  <si>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</si>
  <si>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</si>
  <si>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</si>
  <si>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</si>
  <si>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</si>
  <si>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</si>
  <si>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</si>
  <si>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</si>
  <si>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</si>
  <si>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</si>
  <si>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</si>
  <si>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</si>
  <si>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</si>
  <si>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</si>
  <si>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</si>
  <si>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</si>
  <si>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</si>
  <si>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</si>
  <si>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</si>
  <si>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</si>
  <si>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</si>
  <si>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</si>
  <si>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</si>
  <si>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</si>
  <si>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</si>
  <si>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</si>
  <si>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</si>
  <si>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</si>
  <si>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</si>
  <si>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</si>
  <si>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</si>
  <si>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</si>
  <si>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</si>
  <si>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</si>
  <si>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</si>
  <si>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</si>
  <si>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</si>
  <si>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</si>
  <si>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</si>
  <si>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</si>
  <si>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</si>
  <si>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</si>
  <si>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</si>
  <si>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</si>
  <si>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</si>
  <si>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</si>
  <si>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</si>
  <si>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</si>
  <si>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</si>
  <si>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</si>
  <si>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</si>
  <si>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</si>
  <si>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</si>
  <si>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</si>
  <si>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</si>
  <si>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</si>
  <si>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</si>
  <si>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</si>
  <si>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</si>
  <si>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</si>
  <si>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</si>
  <si>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</si>
  <si>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</si>
  <si>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</si>
  <si>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</si>
  <si>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</si>
  <si>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</si>
  <si>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</si>
  <si>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</si>
  <si>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</si>
  <si>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</si>
  <si>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</si>
  <si>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</si>
  <si>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</si>
  <si>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</si>
  <si>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</si>
  <si>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</si>
  <si>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</si>
  <si>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</si>
  <si>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</si>
  <si>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</si>
  <si>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</si>
  <si>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</si>
  <si>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</si>
  <si>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</si>
  <si>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</si>
  <si>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</si>
  <si>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</si>
  <si>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</si>
  <si>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</si>
  <si>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</si>
  <si>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</si>
  <si>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</si>
  <si>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</si>
  <si>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</si>
  <si>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</si>
  <si>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</si>
  <si>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</si>
  <si>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</si>
  <si>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</si>
  <si>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</si>
  <si>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</si>
  <si>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</si>
  <si>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</si>
  <si>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</si>
  <si>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</si>
  <si>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</si>
  <si>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</si>
  <si>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</si>
  <si>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</si>
  <si>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</si>
  <si>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</si>
  <si>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</si>
  <si>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</si>
  <si>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</si>
  <si>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</si>
  <si>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</si>
  <si>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</si>
  <si>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</si>
  <si>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</si>
  <si>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</si>
  <si>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</si>
  <si>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</si>
  <si>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</si>
  <si>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</si>
  <si>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</si>
  <si>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</si>
  <si>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</si>
  <si>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</si>
  <si>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</si>
  <si>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</si>
  <si>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</si>
  <si>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</si>
  <si>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</si>
  <si>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</si>
  <si>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</si>
  <si>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</si>
  <si>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</si>
  <si>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</si>
  <si>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</si>
  <si>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</si>
  <si>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</si>
  <si>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</si>
  <si>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</si>
  <si>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</si>
  <si>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</si>
  <si>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</si>
  <si>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</si>
  <si>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</si>
  <si>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</si>
  <si>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</si>
  <si>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</si>
  <si>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</si>
  <si>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</si>
  <si>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</si>
  <si>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</si>
  <si>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</si>
  <si>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</si>
  <si>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</si>
  <si>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</si>
  <si>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</si>
  <si>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</si>
  <si>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</si>
  <si>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</si>
  <si>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</si>
  <si>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</si>
  <si>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</si>
  <si>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</si>
  <si>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</si>
  <si>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</si>
  <si>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</si>
  <si>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</si>
  <si>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</si>
  <si>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</si>
  <si>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</si>
  <si>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</si>
  <si>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</si>
  <si>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</si>
  <si>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</si>
  <si>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</si>
  <si>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</si>
  <si>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</si>
  <si>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</si>
  <si>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</si>
  <si>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</si>
  <si>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</si>
  <si>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</si>
  <si>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</si>
  <si>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</si>
  <si>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</si>
  <si>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</si>
  <si>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</si>
  <si>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</si>
  <si>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</si>
  <si>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</si>
  <si>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</si>
  <si>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</si>
  <si>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</si>
  <si>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</si>
  <si>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</si>
  <si>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</si>
  <si>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</si>
  <si>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</si>
  <si>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</si>
  <si>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</si>
  <si>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</si>
  <si>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</si>
  <si>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</si>
  <si>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</si>
  <si>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</si>
  <si>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</si>
  <si>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</si>
  <si>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</si>
  <si>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</si>
  <si>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</si>
  <si>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</si>
  <si>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</si>
  <si>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</si>
  <si>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</si>
  <si>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</si>
  <si>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</si>
  <si>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</si>
  <si>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</si>
  <si>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</si>
  <si>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</si>
  <si>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</si>
  <si>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</si>
  <si>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</si>
  <si>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</si>
  <si>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</si>
  <si>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</si>
  <si>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</si>
  <si>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</si>
  <si>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</si>
  <si>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</si>
  <si>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</si>
  <si>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</si>
  <si>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</si>
  <si>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</si>
  <si>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</si>
  <si>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</si>
  <si>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</si>
  <si>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</si>
  <si>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</si>
  <si>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</si>
  <si>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</si>
  <si>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</si>
  <si>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</si>
  <si>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</si>
  <si>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</si>
  <si>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</si>
  <si>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</si>
  <si>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</si>
  <si>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</si>
  <si>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</si>
  <si>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</si>
  <si>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</si>
  <si>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</si>
  <si>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</si>
  <si>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</si>
  <si>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</si>
  <si>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</si>
  <si>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</si>
  <si>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</si>
  <si>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</si>
  <si>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</si>
  <si>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</si>
  <si>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</si>
  <si>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</si>
  <si>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</si>
  <si>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</si>
  <si>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</si>
  <si>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</si>
  <si>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</si>
  <si>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</si>
  <si>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</si>
  <si>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</si>
  <si>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</si>
  <si>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</si>
  <si>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</si>
  <si>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</si>
  <si>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</si>
  <si>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</si>
  <si>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</si>
  <si>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</si>
  <si>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</si>
  <si>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</si>
  <si>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</si>
  <si>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</si>
  <si>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</si>
  <si>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</si>
  <si>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</si>
  <si>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</si>
  <si>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</si>
  <si>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</si>
  <si>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</si>
  <si>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</si>
  <si>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</si>
  <si>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</si>
  <si>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</si>
  <si>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</si>
  <si>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</si>
  <si>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</si>
  <si>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</si>
  <si>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</si>
  <si>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</si>
  <si>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</si>
  <si>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</si>
  <si>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</si>
  <si>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</si>
  <si>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</si>
  <si>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</si>
  <si>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</si>
  <si>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</si>
  <si>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</si>
  <si>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</si>
  <si>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</si>
  <si>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</si>
  <si>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</si>
  <si>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</si>
  <si>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</si>
  <si>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</si>
  <si>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</si>
  <si>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</si>
  <si>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</si>
  <si>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</si>
  <si>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</si>
  <si>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</si>
  <si>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</si>
  <si>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</si>
  <si>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</si>
  <si>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</si>
  <si>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</si>
  <si>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</si>
  <si>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</si>
  <si>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</si>
  <si>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</si>
  <si>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</si>
  <si>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</si>
  <si>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</si>
  <si>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</si>
  <si>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</si>
  <si>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</si>
  <si>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</si>
  <si>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</si>
  <si>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</si>
  <si>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</si>
  <si>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</si>
  <si>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</si>
  <si>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</si>
  <si>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</si>
  <si>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</si>
  <si>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</si>
  <si>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</si>
  <si>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</si>
  <si>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</si>
  <si>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</si>
  <si>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</si>
  <si>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</si>
  <si>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</si>
  <si>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</si>
  <si>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</si>
  <si>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</si>
  <si>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</si>
  <si>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</si>
  <si>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</si>
  <si>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</si>
  <si>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</si>
  <si>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</si>
  <si>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</si>
  <si>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</si>
  <si>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</si>
  <si>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</si>
  <si>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</si>
  <si>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</si>
  <si>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</si>
  <si>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</si>
  <si>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</si>
  <si>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</si>
  <si>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</si>
  <si>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</si>
  <si>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</si>
  <si>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</si>
  <si>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</si>
  <si>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</si>
  <si>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</si>
  <si>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</si>
  <si>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</si>
  <si>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</si>
  <si>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</si>
  <si>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</si>
  <si>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</si>
  <si>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</si>
  <si>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</si>
  <si>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</si>
  <si>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</si>
  <si>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</si>
  <si>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</si>
  <si>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</si>
  <si>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</si>
  <si>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</si>
  <si>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</si>
  <si>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</si>
  <si>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</si>
  <si>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</si>
  <si>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</si>
  <si>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</si>
  <si>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</si>
  <si>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</si>
  <si>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</si>
  <si>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</si>
  <si>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</si>
  <si>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</si>
  <si>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</si>
  <si>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</si>
  <si>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</si>
  <si>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</si>
  <si>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</si>
  <si>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</si>
  <si>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</si>
  <si>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</si>
  <si>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</si>
  <si>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</si>
  <si>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</si>
  <si>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</si>
  <si>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</si>
  <si>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</si>
  <si>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</si>
  <si>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</si>
  <si>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</si>
  <si>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</si>
  <si>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</si>
  <si>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</si>
  <si>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</si>
  <si>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</si>
  <si>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</si>
  <si>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</si>
  <si>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</si>
  <si>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</si>
  <si>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</si>
  <si>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</si>
  <si>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</si>
  <si>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</si>
  <si>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</si>
  <si>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</si>
  <si>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</si>
  <si>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</si>
  <si>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</si>
  <si>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</si>
  <si>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</si>
  <si>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</si>
  <si>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</si>
  <si>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</si>
  <si>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</si>
  <si>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</si>
  <si>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</si>
  <si>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</si>
  <si>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</si>
  <si>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</si>
  <si>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</si>
  <si>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</si>
  <si>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</si>
  <si>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</si>
  <si>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</si>
  <si>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</si>
  <si>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</si>
  <si>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</si>
  <si>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</si>
  <si>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</si>
  <si>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</si>
  <si>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</si>
  <si>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</si>
  <si>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</si>
  <si>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</si>
  <si>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</si>
  <si>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</si>
  <si>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</si>
  <si>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</si>
  <si>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</si>
  <si>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</si>
  <si>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</si>
  <si>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</si>
  <si>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</si>
  <si>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</si>
  <si>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</si>
  <si>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</si>
  <si>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</si>
  <si>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</si>
  <si>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</si>
  <si>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</si>
  <si>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</si>
  <si>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</si>
  <si>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</si>
  <si>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</si>
  <si>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</si>
  <si>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</si>
  <si>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</si>
  <si>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</si>
  <si>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</si>
  <si>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</si>
  <si>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</si>
  <si>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</si>
  <si>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</si>
  <si>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</si>
  <si>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</si>
  <si>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</si>
  <si>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</si>
  <si>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</si>
  <si>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</si>
  <si>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</si>
  <si>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</si>
  <si>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</si>
  <si>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</si>
  <si>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</si>
  <si>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</si>
  <si>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</si>
  <si>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</si>
  <si>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</si>
  <si>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</si>
  <si>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</si>
  <si>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</si>
  <si>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</si>
  <si>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</si>
  <si>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</si>
  <si>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</si>
  <si>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</si>
  <si>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</si>
  <si>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</si>
  <si>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</si>
  <si>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</si>
  <si>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</si>
  <si>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</si>
  <si>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</si>
  <si>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</si>
  <si>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</si>
  <si>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</si>
  <si>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</si>
  <si>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</si>
  <si>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</si>
  <si>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</si>
  <si>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</si>
  <si>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</si>
  <si>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</si>
  <si>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</si>
  <si>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</si>
  <si>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</si>
  <si>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</si>
  <si>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</si>
  <si>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</si>
  <si>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</si>
  <si>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</si>
  <si>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</si>
  <si>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</si>
  <si>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</si>
  <si>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</si>
  <si>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</si>
  <si>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</si>
  <si>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</si>
  <si>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</si>
  <si>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</si>
  <si>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</si>
  <si>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</si>
  <si>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</si>
  <si>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</si>
  <si>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</si>
  <si>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</si>
  <si>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</si>
  <si>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</si>
  <si>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</si>
  <si>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</si>
  <si>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</si>
  <si>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</si>
  <si>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</si>
  <si>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</si>
  <si>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</si>
  <si>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</si>
  <si>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</si>
  <si>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</si>
  <si>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</si>
  <si>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</si>
  <si>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</si>
  <si>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</si>
  <si>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</si>
  <si>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</si>
  <si>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</si>
  <si>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</si>
  <si>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</si>
  <si>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</si>
  <si>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</si>
  <si>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</si>
  <si>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</si>
  <si>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</si>
  <si>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</si>
  <si>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</si>
  <si>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</si>
  <si>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</si>
  <si>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</si>
  <si>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</si>
  <si>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</si>
  <si>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</si>
  <si>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</si>
  <si>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</si>
  <si>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</si>
  <si>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</si>
  <si>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</si>
  <si>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</si>
  <si>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</si>
  <si>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</si>
  <si>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</si>
  <si>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</si>
  <si>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</si>
  <si>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</si>
  <si>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</si>
  <si>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</si>
  <si>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</si>
  <si>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</si>
  <si>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</si>
  <si>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</si>
  <si>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</si>
  <si>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</si>
  <si>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</si>
  <si>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</si>
  <si>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</si>
  <si>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</si>
  <si>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</si>
  <si>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</si>
  <si>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</si>
  <si>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</si>
  <si>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</si>
  <si>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</si>
  <si>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</si>
  <si>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</si>
  <si>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</si>
  <si>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</si>
  <si>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</si>
  <si>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</si>
  <si>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</si>
  <si>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</si>
  <si>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</si>
  <si>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</si>
  <si>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</si>
  <si>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</si>
  <si>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</si>
  <si>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</si>
  <si>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</si>
  <si>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</si>
  <si>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</si>
  <si>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</si>
  <si>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</si>
  <si>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</si>
  <si>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</si>
  <si>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</si>
  <si>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</si>
  <si>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</si>
  <si>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</si>
  <si>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</si>
  <si>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</si>
  <si>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</si>
  <si>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</si>
  <si>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</si>
  <si>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</si>
  <si>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</si>
  <si>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</si>
  <si>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</si>
  <si>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</si>
  <si>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</si>
  <si>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</si>
  <si>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</si>
  <si>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</si>
  <si>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</si>
  <si>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</si>
  <si>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</si>
  <si>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</si>
  <si>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</si>
  <si>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</si>
  <si>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</si>
  <si>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</si>
  <si>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</si>
  <si>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</si>
  <si>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</si>
  <si>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</si>
  <si>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</si>
  <si>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</si>
  <si>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</si>
  <si>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</si>
  <si>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</si>
  <si>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</si>
  <si>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</si>
  <si>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</si>
  <si>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</si>
  <si>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</si>
  <si>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</si>
  <si>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</si>
  <si>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</si>
  <si>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</si>
  <si>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</si>
  <si>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</si>
  <si>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</si>
  <si>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</si>
  <si>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</si>
  <si>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</si>
  <si>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</si>
  <si>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</si>
  <si>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</si>
  <si>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</si>
  <si>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</si>
  <si>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</si>
  <si>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</si>
  <si>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</si>
  <si>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</si>
  <si>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</si>
  <si>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</si>
  <si>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</si>
  <si>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</si>
  <si>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</si>
  <si>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</si>
  <si>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</si>
  <si>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</si>
  <si>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</si>
  <si>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</si>
  <si>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</si>
  <si>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</si>
  <si>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</si>
  <si>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</si>
  <si>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</si>
  <si>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</si>
  <si>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</si>
  <si>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</si>
  <si>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</si>
  <si>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</si>
  <si>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</si>
  <si>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</si>
  <si>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</si>
  <si>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</si>
  <si>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</si>
  <si>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</si>
  <si>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</si>
  <si>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</si>
  <si>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</si>
  <si>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</si>
  <si>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</si>
  <si>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</si>
  <si>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</si>
  <si>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</si>
  <si>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</si>
  <si>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</si>
  <si>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</si>
  <si>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</si>
  <si>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</si>
  <si>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</si>
  <si>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</si>
  <si>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</si>
  <si>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</si>
  <si>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</si>
  <si>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</si>
  <si>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</si>
  <si>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</si>
  <si>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</si>
  <si>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</si>
  <si>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</si>
  <si>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</si>
  <si>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</si>
  <si>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</si>
  <si>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</si>
  <si>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</si>
  <si>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</si>
  <si>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</si>
  <si>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</si>
  <si>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</si>
  <si>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</si>
  <si>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</si>
  <si>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</si>
  <si>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</si>
  <si>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</si>
  <si>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</si>
  <si>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</si>
  <si>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</si>
  <si>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</si>
  <si>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</si>
  <si>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</si>
  <si>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</si>
  <si>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</si>
  <si>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</si>
  <si>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</si>
  <si>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</si>
  <si>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</si>
  <si>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</si>
  <si>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</si>
  <si>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</si>
  <si>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</si>
  <si>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</si>
  <si>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</si>
  <si>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</si>
  <si>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</si>
  <si>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</si>
  <si>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</si>
  <si>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</si>
  <si>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</si>
  <si>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</si>
  <si>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</si>
  <si>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</si>
  <si>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</si>
  <si>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</si>
  <si>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</si>
  <si>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</si>
  <si>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</si>
  <si>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</si>
  <si>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</si>
  <si>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</si>
  <si>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</si>
  <si>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</si>
  <si>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</si>
  <si>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</si>
  <si>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</si>
  <si>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</si>
  <si>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</si>
  <si>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</si>
  <si>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</si>
  <si>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</si>
  <si>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</si>
  <si>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</si>
  <si>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</si>
  <si>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</si>
  <si>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</si>
  <si>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</si>
  <si>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</si>
  <si>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</si>
  <si>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</si>
  <si>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</si>
  <si>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</si>
  <si>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</si>
  <si>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</si>
  <si>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</si>
  <si>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</si>
  <si>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</si>
  <si>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</si>
  <si>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</si>
  <si>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</si>
  <si>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</si>
  <si>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</si>
  <si>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</si>
  <si>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</si>
  <si>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</si>
  <si>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</si>
  <si>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</si>
  <si>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</si>
  <si>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</si>
  <si>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</si>
  <si>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</si>
  <si>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</si>
  <si>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</si>
  <si>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</si>
  <si>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</si>
  <si>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</si>
  <si>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</si>
  <si>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</si>
  <si>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</si>
  <si>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</si>
  <si>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</si>
  <si>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</si>
  <si>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</si>
  <si>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</si>
  <si>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</si>
  <si>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</si>
  <si>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</si>
  <si>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</si>
  <si>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</si>
  <si>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</si>
  <si>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</si>
  <si>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</si>
  <si>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</si>
  <si>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</si>
  <si>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</si>
  <si>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</si>
  <si>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</si>
  <si>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</si>
  <si>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</si>
  <si>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</si>
  <si>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</si>
  <si>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</si>
  <si>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</si>
  <si>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</si>
  <si>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</si>
  <si>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</si>
  <si>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</si>
  <si>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</si>
  <si>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</si>
  <si>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</si>
  <si>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</si>
  <si>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</si>
  <si>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</si>
  <si>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</si>
  <si>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</si>
  <si>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</si>
  <si>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</si>
  <si>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</si>
  <si>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</si>
  <si>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</si>
  <si>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</si>
  <si>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</si>
  <si>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</si>
  <si>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</si>
  <si>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</si>
  <si>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</si>
  <si>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</si>
  <si>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</si>
  <si>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</si>
  <si>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</si>
  <si>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</si>
  <si>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</si>
  <si>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</si>
  <si>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</si>
  <si>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</si>
  <si>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</si>
  <si>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</si>
  <si>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</si>
  <si>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</si>
  <si>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</si>
  <si>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</si>
  <si>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</si>
  <si>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</si>
  <si>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</si>
  <si>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</si>
  <si>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</si>
  <si>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</si>
  <si>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</si>
  <si>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</si>
  <si>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</si>
  <si>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</si>
  <si>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</si>
  <si>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</si>
  <si>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</si>
  <si>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</si>
  <si>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</si>
  <si>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</si>
  <si>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</si>
  <si>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</si>
  <si>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</si>
  <si>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</si>
  <si>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</si>
  <si>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</si>
  <si>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</si>
  <si>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</si>
  <si>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</si>
  <si>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</si>
  <si>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</si>
  <si>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</si>
  <si>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</si>
  <si>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</si>
  <si>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</si>
  <si>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</si>
  <si>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</si>
  <si>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</si>
  <si>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</si>
  <si>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</si>
  <si>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</si>
  <si>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</si>
  <si>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</si>
  <si>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</si>
  <si>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</si>
  <si>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</si>
  <si>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</si>
  <si>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</si>
  <si>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</si>
  <si>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</si>
  <si>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</si>
  <si>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</si>
  <si>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</si>
  <si>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</si>
  <si>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</si>
  <si>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</si>
  <si>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</si>
  <si>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</si>
  <si>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</si>
  <si>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</si>
  <si>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</si>
  <si>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</si>
  <si>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</si>
  <si>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</si>
  <si>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</si>
  <si>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</si>
  <si>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</si>
  <si>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</si>
  <si>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</si>
  <si>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</si>
  <si>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</si>
  <si>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</si>
  <si>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</si>
  <si>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</si>
  <si>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</si>
  <si>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</si>
  <si>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</si>
  <si>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</si>
  <si>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</si>
  <si>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</si>
  <si>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</si>
  <si>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</si>
  <si>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</si>
  <si>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</si>
  <si>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</si>
  <si>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</si>
  <si>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</si>
  <si>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</si>
  <si>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</si>
  <si>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</si>
  <si>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</si>
  <si>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</si>
  <si>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</si>
  <si>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</si>
  <si>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</si>
  <si>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</si>
  <si>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</si>
  <si>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</si>
  <si>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</si>
  <si>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</si>
  <si>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</si>
  <si>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</si>
  <si>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</si>
  <si>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</si>
  <si>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</si>
  <si>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</si>
  <si>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</si>
  <si>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</si>
  <si>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</si>
  <si>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</si>
  <si>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</si>
  <si>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</si>
  <si>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</si>
  <si>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</si>
  <si>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</si>
  <si>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</si>
  <si>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</si>
  <si>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</si>
  <si>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</si>
  <si>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</si>
  <si>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</si>
  <si>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</si>
  <si>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</si>
  <si>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</si>
  <si>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</si>
  <si>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</si>
  <si>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</si>
  <si>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</si>
  <si>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</si>
  <si>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</si>
  <si>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</si>
  <si>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</si>
  <si>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</si>
  <si>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</si>
  <si>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</si>
  <si>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</si>
  <si>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</si>
  <si>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</si>
  <si>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</si>
  <si>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</si>
  <si>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</si>
  <si>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</si>
  <si>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</si>
  <si>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</si>
  <si>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</si>
  <si>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</si>
  <si>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</si>
  <si>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</si>
  <si>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</si>
  <si>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</si>
  <si>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</si>
  <si>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</si>
  <si>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</si>
  <si>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</si>
  <si>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</si>
  <si>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</si>
  <si>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</si>
  <si>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</si>
  <si>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</si>
  <si>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</si>
  <si>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</si>
  <si>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</si>
  <si>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</si>
  <si>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</si>
  <si>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</si>
  <si>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</si>
  <si>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</si>
  <si>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</si>
  <si>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</si>
  <si>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</si>
  <si>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</si>
  <si>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</si>
  <si>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</si>
  <si>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</si>
  <si>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</si>
  <si>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</si>
  <si>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</si>
  <si>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</si>
  <si>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</si>
  <si>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</si>
  <si>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</si>
  <si>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</si>
  <si>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</si>
  <si>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</si>
  <si>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</si>
  <si>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</si>
  <si>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</si>
  <si>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</si>
  <si>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</si>
  <si>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</si>
  <si>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</si>
  <si>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</si>
  <si>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</si>
  <si>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</si>
  <si>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</si>
  <si>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</si>
  <si>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</si>
  <si>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</si>
  <si>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</si>
  <si>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</si>
  <si>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</si>
  <si>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</si>
  <si>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</si>
  <si>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</si>
  <si>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</si>
  <si>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</si>
  <si>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</si>
  <si>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</si>
  <si>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</si>
  <si>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</si>
  <si>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</si>
  <si>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</si>
  <si>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</si>
  <si>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</si>
  <si>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</si>
  <si>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</si>
  <si>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</si>
  <si>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</si>
  <si>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</si>
  <si>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</si>
  <si>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</si>
  <si>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</si>
  <si>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</si>
  <si>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</si>
  <si>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</si>
  <si>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</si>
  <si>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</si>
  <si>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</si>
  <si>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</si>
  <si>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</si>
  <si>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</si>
  <si>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</si>
  <si>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</si>
  <si>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</si>
  <si>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</si>
  <si>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</si>
  <si>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</si>
  <si>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</si>
  <si>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</si>
  <si>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</si>
  <si>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</si>
  <si>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</si>
  <si>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</si>
  <si>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</si>
  <si>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</si>
  <si>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</si>
  <si>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</si>
  <si>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</si>
  <si>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</si>
  <si>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</si>
  <si>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</si>
  <si>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</si>
  <si>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</si>
  <si>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</si>
  <si>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</si>
  <si>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</si>
  <si>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</si>
  <si>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</si>
  <si>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</si>
  <si>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</si>
  <si>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</si>
  <si>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</si>
  <si>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</si>
  <si>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</si>
  <si>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</si>
  <si>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</si>
  <si>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</si>
  <si>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</si>
  <si>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</si>
  <si>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</si>
  <si>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</si>
  <si>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</si>
  <si>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</si>
  <si>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</si>
  <si>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</si>
  <si>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</si>
  <si>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</si>
  <si>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</si>
  <si>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</si>
  <si>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</si>
  <si>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</si>
  <si>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</si>
  <si>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</si>
  <si>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</si>
  <si>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</si>
  <si>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</si>
  <si>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</si>
  <si>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</si>
  <si>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</si>
  <si>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</si>
  <si>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</si>
  <si>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</si>
  <si>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</si>
  <si>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</si>
  <si>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</si>
  <si>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</si>
  <si>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</si>
  <si>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</si>
  <si>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</si>
  <si>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</si>
  <si>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</si>
  <si>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</si>
  <si>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</si>
  <si>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</si>
  <si>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</si>
  <si>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</si>
  <si>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</si>
  <si>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</si>
  <si>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</si>
  <si>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</si>
  <si>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</si>
  <si>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</si>
  <si>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</si>
  <si>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</si>
  <si>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</si>
  <si>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</si>
  <si>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</si>
  <si>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</si>
  <si>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</si>
  <si>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</si>
  <si>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</si>
  <si>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</si>
  <si>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</si>
  <si>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</si>
  <si>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</si>
  <si>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</si>
  <si>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</si>
  <si>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</si>
  <si>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</si>
  <si>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</si>
  <si>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</si>
  <si>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</si>
  <si>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</si>
  <si>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</si>
  <si>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</si>
  <si>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</si>
  <si>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</si>
  <si>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</si>
  <si>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</si>
  <si>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</si>
  <si>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</si>
  <si>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</si>
  <si>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</si>
  <si>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</si>
  <si>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</si>
  <si>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</si>
  <si>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</si>
  <si>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</si>
  <si>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</si>
  <si>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</si>
  <si>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</si>
  <si>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</si>
  <si>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</si>
  <si>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</si>
  <si>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</si>
  <si>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</si>
  <si>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</si>
  <si>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</si>
  <si>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</si>
  <si>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</si>
  <si>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</si>
  <si>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</si>
  <si>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</si>
  <si>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</si>
  <si>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</si>
  <si>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</si>
  <si>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</si>
  <si>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</si>
  <si>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</si>
  <si>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</si>
  <si>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</si>
  <si>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</si>
  <si>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</si>
  <si>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</si>
  <si>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</si>
  <si>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</si>
  <si>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</si>
  <si>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</si>
  <si>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</si>
  <si>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</si>
  <si>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</si>
  <si>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</si>
  <si>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</si>
  <si>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</si>
  <si>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</si>
  <si>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</si>
  <si>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</si>
  <si>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</si>
  <si>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</si>
  <si>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</si>
  <si>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</si>
  <si>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</si>
  <si>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</si>
  <si>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</si>
  <si>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</si>
  <si>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</si>
  <si>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</si>
  <si>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</si>
  <si>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</si>
  <si>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</si>
  <si>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</si>
  <si>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</si>
  <si>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</si>
  <si>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</si>
  <si>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</si>
  <si>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</si>
  <si>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</si>
  <si>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</si>
  <si>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</si>
  <si>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</si>
  <si>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</si>
  <si>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</si>
  <si>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</si>
  <si>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</si>
  <si>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</si>
  <si>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</si>
  <si>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</si>
  <si>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</si>
  <si>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</si>
  <si>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</si>
  <si>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</si>
  <si>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</si>
  <si>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</si>
  <si>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</si>
  <si>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</si>
  <si>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</si>
  <si>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</si>
  <si>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</si>
  <si>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</si>
  <si>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</si>
  <si>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</si>
  <si>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</si>
  <si>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</si>
  <si>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</si>
  <si>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</si>
  <si>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</si>
  <si>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</si>
  <si>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</si>
  <si>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</si>
  <si>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</si>
  <si>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</si>
  <si>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</si>
  <si>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</si>
  <si>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</si>
  <si>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</si>
  <si>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</si>
  <si>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</si>
  <si>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</si>
  <si>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</si>
  <si>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</si>
  <si>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</si>
  <si>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</si>
  <si>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</si>
  <si>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</si>
  <si>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</si>
  <si>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</si>
  <si>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</si>
  <si>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</si>
  <si>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</si>
  <si>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</si>
  <si>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</si>
  <si>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</si>
  <si>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</si>
  <si>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</si>
  <si>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</si>
  <si>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</si>
  <si>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</si>
  <si>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</si>
  <si>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</si>
  <si>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</si>
  <si>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</si>
  <si>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</si>
  <si>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</si>
  <si>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</si>
  <si>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</si>
  <si>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</si>
  <si>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</si>
  <si>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</si>
  <si>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</si>
  <si>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</si>
  <si>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</si>
  <si>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</si>
  <si>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</si>
  <si>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</si>
  <si>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</si>
  <si>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</si>
  <si>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</si>
  <si>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</si>
  <si>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</si>
  <si>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</si>
  <si>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</si>
  <si>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</si>
  <si>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</si>
  <si>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</si>
  <si>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</si>
  <si>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</si>
  <si>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</si>
  <si>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</si>
  <si>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</si>
  <si>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</si>
  <si>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</si>
  <si>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</si>
  <si>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</si>
  <si>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</si>
  <si>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</si>
  <si>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</si>
  <si>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</si>
  <si>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</si>
  <si>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</si>
  <si>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</si>
  <si>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</si>
  <si>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</si>
  <si>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</si>
  <si>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</si>
  <si>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</si>
  <si>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</si>
  <si>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</si>
  <si>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</si>
  <si>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</si>
  <si>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</si>
  <si>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</si>
  <si>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</si>
  <si>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</si>
  <si>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</si>
  <si>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</si>
  <si>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</si>
  <si>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</si>
  <si>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</si>
  <si>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</si>
  <si>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</si>
  <si>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</si>
  <si>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</si>
  <si>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</si>
  <si>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</si>
  <si>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</si>
  <si>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</si>
  <si>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</si>
  <si>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</si>
  <si>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</si>
  <si>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</si>
  <si>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</si>
  <si>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</si>
  <si>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</si>
  <si>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</si>
  <si>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</si>
  <si>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</si>
  <si>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</si>
  <si>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</si>
  <si>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</si>
  <si>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</si>
  <si>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</si>
  <si>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</si>
  <si>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</si>
  <si>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</si>
  <si>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</si>
  <si>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</si>
  <si>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</si>
  <si>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</si>
  <si>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</si>
  <si>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</si>
  <si>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</si>
  <si>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</si>
  <si>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</si>
  <si>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</si>
  <si>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</si>
  <si>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</si>
  <si>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</si>
  <si>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</si>
  <si>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</si>
  <si>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</si>
  <si>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</si>
  <si>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</si>
  <si>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</si>
  <si>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</si>
  <si>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</si>
  <si>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</si>
  <si>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</si>
  <si>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</si>
  <si>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</si>
  <si>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</si>
  <si>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</si>
  <si>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</si>
  <si>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</si>
  <si>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</si>
  <si>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</si>
  <si>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</si>
  <si>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</si>
  <si>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</si>
  <si>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</si>
  <si>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</si>
  <si>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</si>
  <si>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</si>
  <si>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</si>
  <si>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</si>
  <si>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</si>
  <si>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</si>
  <si>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</si>
  <si>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</si>
  <si>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</si>
  <si>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</si>
  <si>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</si>
  <si>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</si>
  <si>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</si>
  <si>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</si>
  <si>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</si>
  <si>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</si>
  <si>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</si>
  <si>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</si>
  <si>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</si>
  <si>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</si>
  <si>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</si>
  <si>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</si>
  <si>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</si>
  <si>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</si>
  <si>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</si>
  <si>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</si>
  <si>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</si>
  <si>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</si>
  <si>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</si>
  <si>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</si>
  <si>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</si>
  <si>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</si>
  <si>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</si>
  <si>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</si>
  <si>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</si>
  <si>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</si>
  <si>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</si>
  <si>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</si>
  <si>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</si>
  <si>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</si>
  <si>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</si>
  <si>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</si>
  <si>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</si>
  <si>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</si>
  <si>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</si>
  <si>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</si>
  <si>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</si>
  <si>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</si>
  <si>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</si>
  <si>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</si>
  <si>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</si>
  <si>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</si>
  <si>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</si>
  <si>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</si>
  <si>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</si>
  <si>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</si>
  <si>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</si>
  <si>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</si>
  <si>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</si>
  <si>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</si>
  <si>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</si>
  <si>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</si>
  <si>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</si>
  <si>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</si>
  <si>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</si>
  <si>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</si>
  <si>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</si>
  <si>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</si>
  <si>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</si>
  <si>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</si>
  <si>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</si>
  <si>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</si>
  <si>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</si>
  <si>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</si>
  <si>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</si>
  <si>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</si>
  <si>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</si>
  <si>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</si>
  <si>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</si>
  <si>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</si>
  <si>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</si>
  <si>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</si>
  <si>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</si>
  <si>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</si>
  <si>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</si>
  <si>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</si>
  <si>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</si>
  <si>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</si>
  <si>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</si>
  <si>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</si>
  <si>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</si>
  <si>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</si>
  <si>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</si>
  <si>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</si>
  <si>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</si>
  <si>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</si>
  <si>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</si>
  <si>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</si>
  <si>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</si>
  <si>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</si>
  <si>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</si>
  <si>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</si>
  <si>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</si>
  <si>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</si>
  <si>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</si>
  <si>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</si>
  <si>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</si>
  <si>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</si>
  <si>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</si>
  <si>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</si>
  <si>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</si>
  <si>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</si>
  <si>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</si>
  <si>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</si>
  <si>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</si>
  <si>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</si>
  <si>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</si>
  <si>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</si>
  <si>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</si>
  <si>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</si>
  <si>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</si>
  <si>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</si>
  <si>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</si>
  <si>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</si>
  <si>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</si>
  <si>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</si>
  <si>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</si>
  <si>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</si>
  <si>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</si>
  <si>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</si>
  <si>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</si>
  <si>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</si>
  <si>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</si>
  <si>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</si>
  <si>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</si>
  <si>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</si>
  <si>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</si>
  <si>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</si>
  <si>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</si>
  <si>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</si>
  <si>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</si>
  <si>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</si>
  <si>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</si>
  <si>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</si>
  <si>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</si>
  <si>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</si>
  <si>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</si>
  <si>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</si>
  <si>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</si>
  <si>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</si>
  <si>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</si>
  <si>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</si>
  <si>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</si>
  <si>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</si>
  <si>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</si>
  <si>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</si>
  <si>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</si>
  <si>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</si>
  <si>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</si>
  <si>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</si>
  <si>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</si>
  <si>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</si>
  <si>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</si>
  <si>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</si>
  <si>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</si>
  <si>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</si>
  <si>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</si>
  <si>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</si>
  <si>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</si>
  <si>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</si>
  <si>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</si>
  <si>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</si>
  <si>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</si>
  <si>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</si>
  <si>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</si>
  <si>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</si>
  <si>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</si>
  <si>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</si>
  <si>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</si>
  <si>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</si>
  <si>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</si>
  <si>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</si>
  <si>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</si>
  <si>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</si>
  <si>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</si>
  <si>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</si>
  <si>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</si>
  <si>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</si>
  <si>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</si>
  <si>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</si>
  <si>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</si>
  <si>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</si>
  <si>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</si>
  <si>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</si>
  <si>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</si>
  <si>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</si>
  <si>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</si>
  <si>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</si>
  <si>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</si>
  <si>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</si>
  <si>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</si>
  <si>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</si>
  <si>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</si>
  <si>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</si>
  <si>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</si>
  <si>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</si>
  <si>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</si>
  <si>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</si>
  <si>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</si>
  <si>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</si>
  <si>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</si>
  <si>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</si>
  <si>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</si>
  <si>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</si>
  <si>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</si>
  <si>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</si>
  <si>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</si>
  <si>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</si>
  <si>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</si>
  <si>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</si>
  <si>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</si>
  <si>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</si>
  <si>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</si>
  <si>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</si>
  <si>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</si>
  <si>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</si>
  <si>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</si>
  <si>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</si>
  <si>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</si>
  <si>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</si>
  <si>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</si>
  <si>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</si>
  <si>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</si>
  <si>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</si>
  <si>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</si>
  <si>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</si>
  <si>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</si>
  <si>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</si>
  <si>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</si>
  <si>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</si>
  <si>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</si>
  <si>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</si>
  <si>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</si>
  <si>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</si>
  <si>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</si>
  <si>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</si>
  <si>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</si>
  <si>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</si>
  <si>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</si>
  <si>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</si>
  <si>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</si>
  <si>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</si>
  <si>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</si>
  <si>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</si>
  <si>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</si>
  <si>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</si>
  <si>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</si>
  <si>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</si>
  <si>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</si>
  <si>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</si>
  <si>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</si>
  <si>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</si>
  <si>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</si>
  <si>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</si>
  <si>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</si>
  <si>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</si>
  <si>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</si>
  <si>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</si>
  <si>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</si>
  <si>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</si>
  <si>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</si>
  <si>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</si>
  <si>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</si>
  <si>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</si>
  <si>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</si>
  <si>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</si>
  <si>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</si>
  <si>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</si>
  <si>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</si>
  <si>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</si>
  <si>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</si>
  <si>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</si>
  <si>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</si>
  <si>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</si>
  <si>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</si>
  <si>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</si>
  <si>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</si>
  <si>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</si>
  <si>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</si>
  <si>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</si>
  <si>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</si>
  <si>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</si>
  <si>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</si>
  <si>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</si>
  <si>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</si>
  <si>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</si>
  <si>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</si>
  <si>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</si>
  <si>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</si>
  <si>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</si>
  <si>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</si>
  <si>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</si>
  <si>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</si>
  <si>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</si>
  <si>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</si>
  <si>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</si>
  <si>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</si>
  <si>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</si>
  <si>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</si>
  <si>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</si>
  <si>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</si>
  <si>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</si>
  <si>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</si>
  <si>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</si>
  <si>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</si>
  <si>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</si>
  <si>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</si>
  <si>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</si>
  <si>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</si>
  <si>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</si>
  <si>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</si>
  <si>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</si>
  <si>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</si>
  <si>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</si>
  <si>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</si>
  <si>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</si>
  <si>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</si>
  <si>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</si>
  <si>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</si>
  <si>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</si>
  <si>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</si>
  <si>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</si>
  <si>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</si>
  <si>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</si>
  <si>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</si>
  <si>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</si>
  <si>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</si>
  <si>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</si>
  <si>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</si>
  <si>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</si>
  <si>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</si>
  <si>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</si>
  <si>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</si>
  <si>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</si>
  <si>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</si>
  <si>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</si>
  <si>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</si>
  <si>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</si>
  <si>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</si>
  <si>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</si>
  <si>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</si>
  <si>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</si>
  <si>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</si>
  <si>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</si>
  <si>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</si>
  <si>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</si>
  <si>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</si>
  <si>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</si>
  <si>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</si>
  <si>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</si>
  <si>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</si>
  <si>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</si>
  <si>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</si>
  <si>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</si>
  <si>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</si>
  <si>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</si>
  <si>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</si>
  <si>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</si>
  <si>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</si>
  <si>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</si>
  <si>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</si>
  <si>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</si>
  <si>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</si>
  <si>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</si>
  <si>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</si>
  <si>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</si>
  <si>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</si>
  <si>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</si>
  <si>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</si>
  <si>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</si>
  <si>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</si>
  <si>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</si>
  <si>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</si>
  <si>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</si>
  <si>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</si>
  <si>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</si>
  <si>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</si>
  <si>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</si>
  <si>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</si>
  <si>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</si>
  <si>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</si>
  <si>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</si>
  <si>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</si>
  <si>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</si>
  <si>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</si>
  <si>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</si>
  <si>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</si>
  <si>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</si>
  <si>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</si>
  <si>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</si>
  <si>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</si>
  <si>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</si>
  <si>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</si>
  <si>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</si>
  <si>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</si>
  <si>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</si>
  <si>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</si>
  <si>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</si>
  <si>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</si>
  <si>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</si>
  <si>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</si>
  <si>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</si>
  <si>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</si>
  <si>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</si>
  <si>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</si>
  <si>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</si>
  <si>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</si>
  <si>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</si>
  <si>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</si>
  <si>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</si>
  <si>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</si>
  <si>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</si>
  <si>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</si>
  <si>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</si>
  <si>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</si>
  <si>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</si>
  <si>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</si>
  <si>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</si>
  <si>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</si>
  <si>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</si>
  <si>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</si>
  <si>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</si>
  <si>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</si>
  <si>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</si>
  <si>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</si>
  <si>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</si>
  <si>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</si>
  <si>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</si>
  <si>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</si>
  <si>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</si>
  <si>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</si>
  <si>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</si>
  <si>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</si>
  <si>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</si>
  <si>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</si>
  <si>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</si>
  <si>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</si>
  <si>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</si>
  <si>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</si>
  <si>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</si>
  <si>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</si>
  <si>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</si>
  <si>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</si>
  <si>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</si>
  <si>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</si>
  <si>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</si>
  <si>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</si>
  <si>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</si>
  <si>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</si>
  <si>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</si>
  <si>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</si>
  <si>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</si>
  <si>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</si>
  <si>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</si>
  <si>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</si>
  <si>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</si>
  <si>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</si>
  <si>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</si>
  <si>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</si>
  <si>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</si>
  <si>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</si>
  <si>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</si>
  <si>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</si>
  <si>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</si>
  <si>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</si>
  <si>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</si>
  <si>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</si>
  <si>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</si>
  <si>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</si>
  <si>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</si>
  <si>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</si>
  <si>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</si>
  <si>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</si>
  <si>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</si>
  <si>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</si>
  <si>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</si>
  <si>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</si>
  <si>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</si>
  <si>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</si>
  <si>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</si>
  <si>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</si>
  <si>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</si>
  <si>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</si>
  <si>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</si>
  <si>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</si>
  <si>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</si>
  <si>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</si>
  <si>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</si>
  <si>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</si>
  <si>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</si>
  <si>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</si>
  <si>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</si>
  <si>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</si>
  <si>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</si>
  <si>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</si>
  <si>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</si>
  <si>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</si>
  <si>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</si>
  <si>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</si>
  <si>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</si>
  <si>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</si>
  <si>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</si>
  <si>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</si>
  <si>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</si>
  <si>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</si>
  <si>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</si>
  <si>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</si>
  <si>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</si>
  <si>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</si>
  <si>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</si>
  <si>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</si>
  <si>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</si>
  <si>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</si>
  <si>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</si>
  <si>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</si>
  <si>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</si>
  <si>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</si>
  <si>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</si>
  <si>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</si>
  <si>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</si>
  <si>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</si>
  <si>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</si>
  <si>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</si>
  <si>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</si>
  <si>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</si>
  <si>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</si>
  <si>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</si>
  <si>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</si>
  <si>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</si>
  <si>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</si>
  <si>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</si>
  <si>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</si>
  <si>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</si>
  <si>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</si>
  <si>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</si>
  <si>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</si>
  <si>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</si>
  <si>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</si>
  <si>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</si>
  <si>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</si>
  <si>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</si>
  <si>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</si>
  <si>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</si>
  <si>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</si>
  <si>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</si>
  <si>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</si>
  <si>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</si>
  <si>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</si>
  <si>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</si>
  <si>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</si>
  <si>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</si>
  <si>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</si>
  <si>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</si>
  <si>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</si>
  <si>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</si>
  <si>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</si>
  <si>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</si>
  <si>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</si>
  <si>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</si>
  <si>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</si>
  <si>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</si>
  <si>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</si>
  <si>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</si>
  <si>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</si>
  <si>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</si>
  <si>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</si>
  <si>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</si>
  <si>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</si>
  <si>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</si>
  <si>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</si>
  <si>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</si>
  <si>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</si>
  <si>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</si>
  <si>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</si>
  <si>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</si>
  <si>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</si>
  <si>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</si>
  <si>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</si>
  <si>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</si>
  <si>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</si>
  <si>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</si>
  <si>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</si>
  <si>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</si>
  <si>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</si>
  <si>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</si>
  <si>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</si>
  <si>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</si>
  <si>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</si>
  <si>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</si>
  <si>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</si>
  <si>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</si>
  <si>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</si>
  <si>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</si>
  <si>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</si>
  <si>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</si>
  <si>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</si>
  <si>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</si>
  <si>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</si>
  <si>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</si>
  <si>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</si>
  <si>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</si>
  <si>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</si>
  <si>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</si>
  <si>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</si>
  <si>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</si>
  <si>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</si>
  <si>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</si>
  <si>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</si>
  <si>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</si>
  <si>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</si>
  <si>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</si>
  <si>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</si>
  <si>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</si>
  <si>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</si>
  <si>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</si>
  <si>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</si>
  <si>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</si>
  <si>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</si>
  <si>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</si>
  <si>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</si>
  <si>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</si>
  <si>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</si>
  <si>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</si>
  <si>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</si>
  <si>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</si>
  <si>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</si>
  <si>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</si>
  <si>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</si>
  <si>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</si>
  <si>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</si>
  <si>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</si>
  <si>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</si>
  <si>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</si>
  <si>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</si>
  <si>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</si>
  <si>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</si>
  <si>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</si>
  <si>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</si>
  <si>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</si>
  <si>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</si>
  <si>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</si>
  <si>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</si>
  <si>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</si>
  <si>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</si>
  <si>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</si>
  <si>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</si>
  <si>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</si>
  <si>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</si>
  <si>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</si>
  <si>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</si>
  <si>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</si>
  <si>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</si>
  <si>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</si>
  <si>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</si>
  <si>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</si>
  <si>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</si>
  <si>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</si>
  <si>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</si>
  <si>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</si>
  <si>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</si>
  <si>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</si>
  <si>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</si>
  <si>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</si>
  <si>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</si>
  <si>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</si>
  <si>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</si>
  <si>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</si>
  <si>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</si>
  <si>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</si>
  <si>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</si>
  <si>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</si>
  <si>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</si>
  <si>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</si>
  <si>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</si>
  <si>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</si>
  <si>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</si>
  <si>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</si>
  <si>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</si>
  <si>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</si>
  <si>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</si>
  <si>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</si>
  <si>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</si>
  <si>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</si>
  <si>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</si>
  <si>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</si>
  <si>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</si>
  <si>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</si>
  <si>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</si>
  <si>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</si>
  <si>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</si>
  <si>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</si>
  <si>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</si>
  <si>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</si>
  <si>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</si>
  <si>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</si>
  <si>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</si>
  <si>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</si>
  <si>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</si>
  <si>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</si>
  <si>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</si>
  <si>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</si>
  <si>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</si>
  <si>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</si>
  <si>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</si>
  <si>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</si>
  <si>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</si>
  <si>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</si>
  <si>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</si>
  <si>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</si>
  <si>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</si>
  <si>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</si>
  <si>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</si>
  <si>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</si>
  <si>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</si>
  <si>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</si>
  <si>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</si>
  <si>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</si>
  <si>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</si>
  <si>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</si>
  <si>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</si>
  <si>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</si>
  <si>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</si>
  <si>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</si>
  <si>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</si>
  <si>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</si>
  <si>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</si>
  <si>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</si>
  <si>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</si>
  <si>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</si>
  <si>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</si>
  <si>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</si>
  <si>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</si>
  <si>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</si>
  <si>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</si>
  <si>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</si>
  <si>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</si>
  <si>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</si>
  <si>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</si>
  <si>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</si>
  <si>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</si>
  <si>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</si>
  <si>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</si>
  <si>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</si>
  <si>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</si>
  <si>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</si>
  <si>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</si>
  <si>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</si>
  <si>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</si>
  <si>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</si>
  <si>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</si>
  <si>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</si>
  <si>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</si>
  <si>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</si>
  <si>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</si>
  <si>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</si>
  <si>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</si>
  <si>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</si>
  <si>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</si>
  <si>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</si>
  <si>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</si>
  <si>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</si>
  <si>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</si>
  <si>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</si>
  <si>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</si>
  <si>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</si>
  <si>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</si>
  <si>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</si>
  <si>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</si>
  <si>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</si>
  <si>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</si>
  <si>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</si>
  <si>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</si>
  <si>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</si>
  <si>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</si>
  <si>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</si>
  <si>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</si>
  <si>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</si>
  <si>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</si>
  <si>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</si>
  <si>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</si>
  <si>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</si>
  <si>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</si>
  <si>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</si>
  <si>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</si>
  <si>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</si>
  <si>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</si>
  <si>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</si>
  <si>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</si>
  <si>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</si>
  <si>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</si>
  <si>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</si>
  <si>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</si>
  <si>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</si>
  <si>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</si>
  <si>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</si>
  <si>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</si>
  <si>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</si>
  <si>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</si>
  <si>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</si>
  <si>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</si>
  <si>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</si>
  <si>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</si>
  <si>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</si>
  <si>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</si>
  <si>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</si>
  <si>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</si>
  <si>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</si>
  <si>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</si>
  <si>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</si>
  <si>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</si>
  <si>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</si>
  <si>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</si>
  <si>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</si>
  <si>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</si>
  <si>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</si>
  <si>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</si>
  <si>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</si>
  <si>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</si>
  <si>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</si>
  <si>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</si>
  <si>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</si>
  <si>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</si>
  <si>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</si>
  <si>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</si>
  <si>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</si>
  <si>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</si>
  <si>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</si>
  <si>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</si>
  <si>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</si>
  <si>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</si>
  <si>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</si>
  <si>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</si>
  <si>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</si>
  <si>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</si>
  <si>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</si>
  <si>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</si>
  <si>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</si>
  <si>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</si>
  <si>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</si>
  <si>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</si>
  <si>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</si>
  <si>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</si>
  <si>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</si>
  <si>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</si>
  <si>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</si>
  <si>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</si>
  <si>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</si>
  <si>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</si>
  <si>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</si>
  <si>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</si>
  <si>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</si>
  <si>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</si>
  <si>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</si>
  <si>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</si>
  <si>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</si>
  <si>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</si>
  <si>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</si>
  <si>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</si>
  <si>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</si>
  <si>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</si>
  <si>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</si>
  <si>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</si>
  <si>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</si>
  <si>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</si>
  <si>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</si>
  <si>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</si>
  <si>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</si>
  <si>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</si>
  <si>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</si>
  <si>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</si>
  <si>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</si>
  <si>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</si>
  <si>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</si>
  <si>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</si>
  <si>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</si>
  <si>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</si>
  <si>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</si>
  <si>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</si>
  <si>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</si>
  <si>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</si>
  <si>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</si>
  <si>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</si>
  <si>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</si>
  <si>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</si>
  <si>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</si>
  <si>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</si>
  <si>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</si>
  <si>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</si>
  <si>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</si>
  <si>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</si>
  <si>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</si>
  <si>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</si>
  <si>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</si>
  <si>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</si>
  <si>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</si>
  <si>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</si>
  <si>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</si>
  <si>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</si>
  <si>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</si>
  <si>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</si>
  <si>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</si>
  <si>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</si>
  <si>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</si>
  <si>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</si>
  <si>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</si>
  <si>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</si>
  <si>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</si>
  <si>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</si>
  <si>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</si>
  <si>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</si>
  <si>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</si>
  <si>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</si>
  <si>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</si>
  <si>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</si>
  <si>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</si>
  <si>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</si>
  <si>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</si>
  <si>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</si>
  <si>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</si>
  <si>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</si>
  <si>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</si>
  <si>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</si>
  <si>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</si>
  <si>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</si>
  <si>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</si>
  <si>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</si>
  <si>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</si>
  <si>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</si>
  <si>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</si>
  <si>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</si>
  <si>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</si>
  <si>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</si>
  <si>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</si>
  <si>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</si>
  <si>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</si>
  <si>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</si>
  <si>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</si>
  <si>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</si>
  <si>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</si>
  <si>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</si>
  <si>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</si>
  <si>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</si>
  <si>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</si>
  <si>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</si>
  <si>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</si>
  <si>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</si>
  <si>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</si>
  <si>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</si>
  <si>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</si>
  <si>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</si>
  <si>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</si>
  <si>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</si>
  <si>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</si>
  <si>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</si>
  <si>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</si>
  <si>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</si>
  <si>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</si>
  <si>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</si>
  <si>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</si>
  <si>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</si>
  <si>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</si>
  <si>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</si>
  <si>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</si>
  <si>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</si>
  <si>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</si>
  <si>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</si>
  <si>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</si>
  <si>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</si>
  <si>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</si>
  <si>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</si>
  <si>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</si>
  <si>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</si>
  <si>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</si>
  <si>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</si>
  <si>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</si>
  <si>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</si>
  <si>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</si>
  <si>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</si>
  <si>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</si>
  <si>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</si>
  <si>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</si>
  <si>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</si>
  <si>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</si>
  <si>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</si>
  <si>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</si>
  <si>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</si>
  <si>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</si>
  <si>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</si>
  <si>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</si>
  <si>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</si>
  <si>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</si>
  <si>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</si>
  <si>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</si>
  <si>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</si>
  <si>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</si>
  <si>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</si>
  <si>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</si>
  <si>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</si>
  <si>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</si>
  <si>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</si>
  <si>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</si>
  <si>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</si>
  <si>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</si>
  <si>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</si>
  <si>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</si>
  <si>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</si>
  <si>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</si>
  <si>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</si>
  <si>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</si>
  <si>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</si>
  <si>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</si>
  <si>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</si>
  <si>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</si>
  <si>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</si>
  <si>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</si>
  <si>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</si>
  <si>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</si>
  <si>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</si>
  <si>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</si>
  <si>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</si>
  <si>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</si>
  <si>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</si>
  <si>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</si>
  <si>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</si>
  <si>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</si>
  <si>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</si>
  <si>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</si>
  <si>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</si>
  <si>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</si>
  <si>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</si>
  <si>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</si>
  <si>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</si>
  <si>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</si>
  <si>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</si>
  <si>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</si>
  <si>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</si>
  <si>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</si>
  <si>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</si>
  <si>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</si>
  <si>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</si>
  <si>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</si>
  <si>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</si>
  <si>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</si>
  <si>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</si>
  <si>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</si>
  <si>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</si>
  <si>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</si>
  <si>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</si>
  <si>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</si>
  <si>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</si>
  <si>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</si>
  <si>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</si>
  <si>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</si>
  <si>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</si>
  <si>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</si>
  <si>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</si>
  <si>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</si>
  <si>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</si>
  <si>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</si>
  <si>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</si>
  <si>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</si>
  <si>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</si>
  <si>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</si>
  <si>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</si>
  <si>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</si>
  <si>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</si>
  <si>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</si>
  <si>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</si>
  <si>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</si>
  <si>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</si>
  <si>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</si>
  <si>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</si>
  <si>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</si>
  <si>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</si>
  <si>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</si>
  <si>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</si>
  <si>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</si>
  <si>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</si>
  <si>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</si>
  <si>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</si>
  <si>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</si>
  <si>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</si>
  <si>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</si>
  <si>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</si>
  <si>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</si>
  <si>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</si>
  <si>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</si>
  <si>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</si>
  <si>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</si>
  <si>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</si>
  <si>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</si>
  <si>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</si>
  <si>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</si>
  <si>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</si>
  <si>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</si>
  <si>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</si>
  <si>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</si>
  <si>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</si>
  <si>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</si>
  <si>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</si>
  <si>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</si>
  <si>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</si>
  <si>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</si>
  <si>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</si>
  <si>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</si>
  <si>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</si>
  <si>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</si>
  <si>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</si>
  <si>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</si>
  <si>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</si>
  <si>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</si>
  <si>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</si>
  <si>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</si>
  <si>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</si>
  <si>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</si>
  <si>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</si>
  <si>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</si>
  <si>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</si>
  <si>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</si>
  <si>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</si>
  <si>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</si>
  <si>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</si>
  <si>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</si>
  <si>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</si>
  <si>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</si>
  <si>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</si>
  <si>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</si>
  <si>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</si>
  <si>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</si>
  <si>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</si>
  <si>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</si>
  <si>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</si>
  <si>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</si>
  <si>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</si>
  <si>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</si>
  <si>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</si>
  <si>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</si>
  <si>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</si>
  <si>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</si>
  <si>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</si>
  <si>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</si>
  <si>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</si>
  <si>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</si>
  <si>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</si>
  <si>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</si>
  <si>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</si>
  <si>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</si>
  <si>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</si>
  <si>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</si>
  <si>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</si>
  <si>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</si>
  <si>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</si>
  <si>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</si>
  <si>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</si>
  <si>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</si>
  <si>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</si>
  <si>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</si>
  <si>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</si>
  <si>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</si>
  <si>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</si>
  <si>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</si>
  <si>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</si>
  <si>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</si>
  <si>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</si>
  <si>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</si>
  <si>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</si>
  <si>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</si>
  <si>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</si>
  <si>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</si>
  <si>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</si>
  <si>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</si>
  <si>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</si>
  <si>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</si>
  <si>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</si>
  <si>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</si>
  <si>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</si>
  <si>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</si>
  <si>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</si>
  <si>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</si>
  <si>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</si>
  <si>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</si>
  <si>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</si>
  <si>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</si>
  <si>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</si>
  <si>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</si>
  <si>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</si>
  <si>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</si>
  <si>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</si>
  <si>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</si>
  <si>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</si>
  <si>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</si>
  <si>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</si>
  <si>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</si>
  <si>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</si>
  <si>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</si>
  <si>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</si>
  <si>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</si>
  <si>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</si>
  <si>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</si>
  <si>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</si>
  <si>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</si>
  <si>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</si>
  <si>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</si>
  <si>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</si>
  <si>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</si>
  <si>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</si>
  <si>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</si>
  <si>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</si>
  <si>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</si>
  <si>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</si>
  <si>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</si>
  <si>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</si>
  <si>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</si>
  <si>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</si>
  <si>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</si>
  <si>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</si>
  <si>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</si>
  <si>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</si>
  <si>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</si>
  <si>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</si>
  <si>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</si>
  <si>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</si>
  <si>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</si>
  <si>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</si>
  <si>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</si>
  <si>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</si>
  <si>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</si>
  <si>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</si>
  <si>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</si>
  <si>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</si>
  <si>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</si>
  <si>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</si>
  <si>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</si>
  <si>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</si>
  <si>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</si>
  <si>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</si>
  <si>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</si>
  <si>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</si>
  <si>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</si>
  <si>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</si>
  <si>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</si>
  <si>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</si>
  <si>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</si>
  <si>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</si>
  <si>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</si>
  <si>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</si>
  <si>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</si>
  <si>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</si>
  <si>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</si>
  <si>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</si>
  <si>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</si>
  <si>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</si>
  <si>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</si>
  <si>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</si>
  <si>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</si>
  <si>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</si>
  <si>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</si>
  <si>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 xml:space="preserve">Date Ended Conversion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</si>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</sst>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0.72</c:v>
                </c:pt>
                <c:pt idx="2">
                  <c:v>0.57999999999999996</c:v>
                </c:pt>
                <c:pt idx="3">
                  <c:v>0.59</c:v>
                </c:pt>
                <c:pt idx="4">
                  <c:v>0.55000000000000004</c:v>
                </c:pt>
                <c:pt idx="5">
                  <c:v>0.38</c:v>
                </c:pt>
                <c:pt idx="6">
                  <c:v>0.33</c:v>
                </c:pt>
                <c:pt idx="7">
                  <c:v>0.22</c:v>
                </c:pt>
                <c:pt idx="8">
                  <c:v>0.8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94-400A-8DF8-F86E1D561F4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0.28000000000000003</c:v>
                </c:pt>
                <c:pt idx="2">
                  <c:v>0.42</c:v>
                </c:pt>
                <c:pt idx="3">
                  <c:v>0.41</c:v>
                </c:pt>
                <c:pt idx="4">
                  <c:v>0.45</c:v>
                </c:pt>
                <c:pt idx="5">
                  <c:v>0.63</c:v>
                </c:pt>
                <c:pt idx="6">
                  <c:v>0.67</c:v>
                </c:pt>
                <c:pt idx="7">
                  <c:v>0.78</c:v>
                </c:pt>
                <c:pt idx="8">
                  <c:v>0.2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94-400A-8DF8-F86E1D561F4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94-400A-8DF8-F86E1D56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693440"/>
        <c:axId val="1010693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29</c:v>
                      </c:pt>
                      <c:pt idx="4">
                        <c:v>11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94-400A-8DF8-F86E1D561F4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18</c:v>
                      </c:pt>
                      <c:pt idx="2">
                        <c:v>35</c:v>
                      </c:pt>
                      <c:pt idx="3">
                        <c:v>20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2</c:v>
                      </c:pt>
                      <c:pt idx="7">
                        <c:v>7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A94-400A-8DF8-F86E1D561F4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A94-400A-8DF8-F86E1D561F4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65</c:v>
                      </c:pt>
                      <c:pt idx="2">
                        <c:v>84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3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94-400A-8DF8-F86E1D561F49}"/>
                  </c:ext>
                </c:extLst>
              </c15:ser>
            </c15:filteredLineSeries>
          </c:ext>
        </c:extLst>
      </c:lineChart>
      <c:catAx>
        <c:axId val="10106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93024"/>
        <c:crosses val="autoZero"/>
        <c:auto val="1"/>
        <c:lblAlgn val="ctr"/>
        <c:lblOffset val="100"/>
        <c:noMultiLvlLbl val="0"/>
      </c:catAx>
      <c:valAx>
        <c:axId val="101069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9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6-4892-8D42-94695B3155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6-4892-8D42-94695B3155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6-4892-8D42-94695B31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463503"/>
        <c:axId val="1760479311"/>
      </c:lineChart>
      <c:catAx>
        <c:axId val="1760463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79311"/>
        <c:crosses val="autoZero"/>
        <c:auto val="1"/>
        <c:lblAlgn val="ctr"/>
        <c:lblOffset val="100"/>
        <c:noMultiLvlLbl val="0"/>
      </c:catAx>
      <c:valAx>
        <c:axId val="17604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6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B-44FB-9231-BDE1747AC2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B-44FB-9231-BDE1747AC2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B-44FB-9231-BDE1747AC2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4B-44FB-9231-BDE1747AC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6680815"/>
        <c:axId val="2076688303"/>
      </c:barChart>
      <c:catAx>
        <c:axId val="207668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88303"/>
        <c:crosses val="autoZero"/>
        <c:auto val="1"/>
        <c:lblAlgn val="ctr"/>
        <c:lblOffset val="100"/>
        <c:noMultiLvlLbl val="0"/>
      </c:catAx>
      <c:valAx>
        <c:axId val="20766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8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9-461D-AACC-2628B22644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9-461D-AACC-2628B22644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9-461D-AACC-2628B226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3338175"/>
        <c:axId val="1833338591"/>
      </c:barChart>
      <c:catAx>
        <c:axId val="18333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38591"/>
        <c:crosses val="autoZero"/>
        <c:auto val="1"/>
        <c:lblAlgn val="ctr"/>
        <c:lblOffset val="100"/>
        <c:noMultiLvlLbl val="0"/>
      </c:catAx>
      <c:valAx>
        <c:axId val="18333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7-47CB-BE98-986E1289C6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7-47CB-BE98-986E1289C6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7-47CB-BE98-986E1289C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651856"/>
        <c:axId val="970650192"/>
      </c:lineChart>
      <c:catAx>
        <c:axId val="9706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50192"/>
        <c:crosses val="autoZero"/>
        <c:auto val="1"/>
        <c:lblAlgn val="ctr"/>
        <c:lblOffset val="100"/>
        <c:noMultiLvlLbl val="0"/>
      </c:catAx>
      <c:valAx>
        <c:axId val="97065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869949</xdr:colOff>
      <xdr:row>16</xdr:row>
      <xdr:rowOff>25401</xdr:rowOff>
    </xdr:from>
    <xdr:to>
      <xdr:col>11</xdr:col>
      <xdr:colOff>440531</xdr:colOff>
      <xdr:row>48</xdr:row>
      <xdr:rowOff>83345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F2C21-C422-F205-39A4-90F8028E1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84137</xdr:rowOff>
    </xdr:from>
    <xdr:to>
      <xdr:col>13</xdr:col>
      <xdr:colOff>504825</xdr:colOff>
      <xdr:row>17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87E06-7FD6-2A3D-B4C9-FC994795C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131762</xdr:rowOff>
    </xdr:from>
    <xdr:to>
      <xdr:col>13</xdr:col>
      <xdr:colOff>400050</xdr:colOff>
      <xdr:row>16</xdr:row>
      <xdr:rowOff>153987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C2DAB-95DA-3E2A-D828-AE1824186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95248</xdr:colOff>
      <xdr:row>1</xdr:row>
      <xdr:rowOff>112711</xdr:rowOff>
    </xdr:from>
    <xdr:to>
      <xdr:col>21</xdr:col>
      <xdr:colOff>523875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B7AF-3587-5BF9-091C-D6893617A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2</xdr:row>
      <xdr:rowOff>106362</xdr:rowOff>
    </xdr:from>
    <xdr:to>
      <xdr:col>13</xdr:col>
      <xdr:colOff>142875</xdr:colOff>
      <xdr:row>17</xdr:row>
      <xdr:rowOff>125412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2C534-38CE-29BE-1C0C-4C9DD3DFD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Brown" refreshedDate="44896.916719328707" createdVersion="8" refreshedVersion="8" minRefreshableVersion="3" recordCount="4114" xr:uid="{D66FCF6B-5B74-4F26-A7F8-431C7AEBC5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Brown" refreshedDate="44896.943218402776" createdVersion="8" refreshedVersion="8" minRefreshableVersion="3" recordCount="4114" xr:uid="{90A2A921-E4B1-4429-BF71-A6F1D16DCB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Brown" refreshedDate="44901.845283564813" createdVersion="8" refreshedVersion="8" minRefreshableVersion="3" recordCount="4114" xr:uid="{7DD03F3F-427B-4A69-8330-BD16D571446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40C66-EE4A-4D83-A18D-3D59C33B0D4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43D44-4E6D-4D38-9F0D-46103C7352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F9022-7EF8-4672-B44F-37445A007AD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6EFF8-1219-4B56-9DDE-322E417792F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0" zoomScaleNormal="60" workbookViewId="0">
      <selection activeCell="F122" sqref="F122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7.81640625" style="6" bestFit="1" customWidth="1"/>
    <col min="5" max="5" width="18.26953125" style="8" bestFit="1" customWidth="1"/>
    <col min="6" max="6" width="21" bestFit="1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54296875" style="10" bestFit="1" customWidth="1"/>
    <col min="16" max="16" width="23.26953125" bestFit="1" customWidth="1"/>
    <col min="17" max="17" width="41.1796875" customWidth="1"/>
    <col min="18" max="18" width="21.1796875" bestFit="1" customWidth="1"/>
    <col min="19" max="19" width="37.54296875" bestFit="1" customWidth="1"/>
    <col min="20" max="20" width="43.453125" bestFit="1" customWidth="1"/>
    <col min="21" max="21" width="8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3" t="s">
        <v>8359</v>
      </c>
      <c r="S1" s="13" t="s">
        <v>8365</v>
      </c>
      <c r="T1" s="13" t="s">
        <v>8398</v>
      </c>
      <c r="U1" s="13" t="s">
        <v>8378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8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5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5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5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5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5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5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5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5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3">
      <customFilters>
        <customFilter operator="greaterThan" val="50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1313-5B75-4B24-AE05-0042B7D54520}">
  <dimension ref="A1:H13"/>
  <sheetViews>
    <sheetView zoomScale="80" zoomScaleNormal="80" workbookViewId="0">
      <selection activeCell="H2" sqref="H2"/>
    </sheetView>
  </sheetViews>
  <sheetFormatPr defaultRowHeight="14.5" x14ac:dyDescent="0.35"/>
  <cols>
    <col min="1" max="1" width="13.54296875" bestFit="1" customWidth="1"/>
    <col min="2" max="2" width="19.08984375" bestFit="1" customWidth="1"/>
    <col min="3" max="3" width="15.08984375" bestFit="1" customWidth="1"/>
    <col min="4" max="4" width="17.81640625" bestFit="1" customWidth="1"/>
    <col min="5" max="5" width="13.7265625" bestFit="1" customWidth="1"/>
    <col min="6" max="6" width="22.08984375" style="20" bestFit="1" customWidth="1"/>
    <col min="7" max="7" width="18.26953125" bestFit="1" customWidth="1"/>
    <col min="8" max="8" width="20.7265625" bestFit="1" customWidth="1"/>
  </cols>
  <sheetData>
    <row r="1" spans="1:8" x14ac:dyDescent="0.3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1">
        <f>IFERROR(ROUND(B2/E2,2),0)</f>
        <v>0.76</v>
      </c>
      <c r="G2" s="10">
        <f>IFERROR(ROUND(C2/E2,2),0)</f>
        <v>0.24</v>
      </c>
      <c r="H2" s="21">
        <f>IFERROR(ROUND(D2/E2,2),0)</f>
        <v>0</v>
      </c>
    </row>
    <row r="3" spans="1:8" x14ac:dyDescent="0.35">
      <c r="A3" t="s">
        <v>8407</v>
      </c>
      <c r="B3">
        <f>COUNTIFS(Kickstarter!$D:$D,"=1000",Kickstarter!$D:$D,"&lt;4999",Kickstarter!$F:$F,"successful",Kickstarter!$R:$R,"plays")</f>
        <v>47</v>
      </c>
      <c r="C3">
        <f>COUNTIFS(Kickstarter!$D:$D,"=1000",Kickstarter!$D:$D,"&lt;4999",Kickstarter!$F:$F,"failed",Kickstarter!$R:$R,"plays")</f>
        <v>18</v>
      </c>
      <c r="D3">
        <f>COUNTIFS(Kickstarter!$D:$D,"=1000",Kickstarter!$D:$D,"&lt;4999",Kickstarter!$F:$F,"canceled",Kickstarter!$R:$R,"plays")</f>
        <v>0</v>
      </c>
      <c r="E3">
        <f t="shared" ref="E3:E13" si="0">SUM(B3+C3+D3)</f>
        <v>65</v>
      </c>
      <c r="F3" s="21">
        <f t="shared" ref="F3:F13" si="1">IFERROR(ROUND(B3/E3,2),0)</f>
        <v>0.72</v>
      </c>
      <c r="G3" s="10">
        <f t="shared" ref="G3:G13" si="2">IFERROR(ROUND(C3/E3,2),0)</f>
        <v>0.28000000000000003</v>
      </c>
      <c r="H3" s="21">
        <f t="shared" ref="H3:H13" si="3">IFERROR(ROUND(D3/E3,2),0)</f>
        <v>0</v>
      </c>
    </row>
    <row r="4" spans="1:8" x14ac:dyDescent="0.35">
      <c r="A4" t="s">
        <v>8408</v>
      </c>
      <c r="B4">
        <f>COUNTIFS(Kickstarter!$D:$D,"=5000",Kickstarter!$D:$D,"&lt;9999",Kickstarter!$F:$F,"successful",Kickstarter!$R:$R,"plays")</f>
        <v>49</v>
      </c>
      <c r="C4">
        <f>COUNTIFS(Kickstarter!$D:$D,"=5000",Kickstarter!$D:$D,"&lt;9999",Kickstarter!$F:$F,"failed",Kickstarter!$R:$R,"plays")</f>
        <v>35</v>
      </c>
      <c r="D4">
        <f>COUNTIFS(Kickstarter!$D:$D,"=5000",Kickstarter!$D:$D,"&lt;9999",Kickstarter!$F:$F,"canceled",Kickstarter!$R:$R,"plays")</f>
        <v>0</v>
      </c>
      <c r="E4">
        <f t="shared" si="0"/>
        <v>84</v>
      </c>
      <c r="F4" s="21">
        <f t="shared" si="1"/>
        <v>0.57999999999999996</v>
      </c>
      <c r="G4" s="10">
        <f t="shared" si="2"/>
        <v>0.42</v>
      </c>
      <c r="H4" s="21">
        <f t="shared" si="3"/>
        <v>0</v>
      </c>
    </row>
    <row r="5" spans="1:8" x14ac:dyDescent="0.35">
      <c r="A5" t="s">
        <v>8409</v>
      </c>
      <c r="B5">
        <f>COUNTIFS(Kickstarter!$D:$D,"=10000",Kickstarter!$D:$D,"&lt;14999",Kickstarter!$F:$F,"successful",Kickstarter!$R:$R,"plays")</f>
        <v>29</v>
      </c>
      <c r="C5">
        <f>COUNTIFS(Kickstarter!$D:$D,"=10000",Kickstarter!$D:$D,"&lt;14999",Kickstarter!$F:$F,"failed",Kickstarter!$R:$R,"plays")</f>
        <v>20</v>
      </c>
      <c r="D5">
        <f>COUNTIFS(Kickstarter!$D:$D,"=10000",Kickstarter!$D:$D,"&lt;14999",Kickstarter!$F:$F,"canceled",Kickstarter!$R:$R,"plays")</f>
        <v>0</v>
      </c>
      <c r="E5">
        <f t="shared" si="0"/>
        <v>49</v>
      </c>
      <c r="F5" s="21">
        <f t="shared" si="1"/>
        <v>0.59</v>
      </c>
      <c r="G5" s="10">
        <f t="shared" si="2"/>
        <v>0.41</v>
      </c>
      <c r="H5" s="21">
        <f t="shared" si="3"/>
        <v>0</v>
      </c>
    </row>
    <row r="6" spans="1:8" x14ac:dyDescent="0.35">
      <c r="A6" t="s">
        <v>8410</v>
      </c>
      <c r="B6">
        <f>COUNTIFS(Kickstarter!$D:$D,"=15000",Kickstarter!$D:$D,"&lt;19999",Kickstarter!$F:$F,"successful",Kickstarter!$R:$R,"plays")</f>
        <v>11</v>
      </c>
      <c r="C6">
        <f>COUNTIFS(Kickstarter!$D:$D,"=15000",Kickstarter!$D:$D,"&lt;19999",Kickstarter!$F:$F,"failed",Kickstarter!$R:$R,"plays")</f>
        <v>9</v>
      </c>
      <c r="D6">
        <f>COUNTIFS(Kickstarter!$D:$D,"=15000",Kickstarter!$D:$D,"&lt;19999",Kickstarter!$F:$F,"canceled",Kickstarter!$R:$R,"plays")</f>
        <v>0</v>
      </c>
      <c r="E6">
        <f t="shared" si="0"/>
        <v>20</v>
      </c>
      <c r="F6" s="21">
        <f t="shared" si="1"/>
        <v>0.55000000000000004</v>
      </c>
      <c r="G6" s="10">
        <f t="shared" si="2"/>
        <v>0.45</v>
      </c>
      <c r="H6" s="21">
        <f t="shared" si="3"/>
        <v>0</v>
      </c>
    </row>
    <row r="7" spans="1:8" x14ac:dyDescent="0.35">
      <c r="A7" t="s">
        <v>8411</v>
      </c>
      <c r="B7">
        <f>COUNTIFS(Kickstarter!$D:$D,"=20000",Kickstarter!$D:$D,"&lt;24999",Kickstarter!$F:$F,"successful",Kickstarter!$R:$R,"plays")</f>
        <v>6</v>
      </c>
      <c r="C7">
        <f>COUNTIFS(Kickstarter!$D:$D,"=20000",Kickstarter!$D:$D,"&lt;24999",Kickstarter!$F:$F,"failed",Kickstarter!$R:$R,"plays")</f>
        <v>10</v>
      </c>
      <c r="D7">
        <f>COUNTIFS(Kickstarter!$D:$D,"=20000",Kickstarter!$D:$D,"&lt;24999",Kickstarter!$F:$F,"canceled",Kickstarter!$R:$R,"plays")</f>
        <v>0</v>
      </c>
      <c r="E7">
        <f t="shared" si="0"/>
        <v>16</v>
      </c>
      <c r="F7" s="21">
        <f t="shared" si="1"/>
        <v>0.38</v>
      </c>
      <c r="G7" s="10">
        <f t="shared" si="2"/>
        <v>0.63</v>
      </c>
      <c r="H7" s="21">
        <f t="shared" si="3"/>
        <v>0</v>
      </c>
    </row>
    <row r="8" spans="1:8" x14ac:dyDescent="0.35">
      <c r="A8" t="s">
        <v>8412</v>
      </c>
      <c r="B8">
        <f>COUNTIFS(Kickstarter!$D:$D,"=25000",Kickstarter!$D:$D,"&lt;29999",Kickstarter!$F:$F,"successful",Kickstarter!$R:$R,"plays")</f>
        <v>1</v>
      </c>
      <c r="C8">
        <f>COUNTIFS(Kickstarter!$D:$D,"=25000",Kickstarter!$D:$D,"&lt;29999",Kickstarter!$F:$F,"failed",Kickstarter!$R:$R,"plays")</f>
        <v>2</v>
      </c>
      <c r="D8">
        <f>COUNTIFS(Kickstarter!$D:$D,"=25000",Kickstarter!$D:$D,"&lt;29999",Kickstarter!$F:$F,"canceled",Kickstarter!$R:$R,"plays")</f>
        <v>0</v>
      </c>
      <c r="E8">
        <f t="shared" si="0"/>
        <v>3</v>
      </c>
      <c r="F8" s="21">
        <f t="shared" si="1"/>
        <v>0.33</v>
      </c>
      <c r="G8" s="10">
        <f t="shared" si="2"/>
        <v>0.67</v>
      </c>
      <c r="H8" s="21">
        <f t="shared" si="3"/>
        <v>0</v>
      </c>
    </row>
    <row r="9" spans="1:8" x14ac:dyDescent="0.35">
      <c r="A9" t="s">
        <v>8413</v>
      </c>
      <c r="B9">
        <f>COUNTIFS(Kickstarter!$D:$D,"=30000",Kickstarter!$D:$D,"&lt;34999",Kickstarter!$F:$F,"successful",Kickstarter!$R:$R,"plays")</f>
        <v>2</v>
      </c>
      <c r="C9">
        <f>COUNTIFS(Kickstarter!$D:$D,"=30000",Kickstarter!$D:$D,"&lt;34999",Kickstarter!$F:$F,"failed",Kickstarter!$R:$R,"plays")</f>
        <v>7</v>
      </c>
      <c r="D9">
        <f>COUNTIFS(Kickstarter!$D:$D,"=30000",Kickstarter!$D:$D,"&lt;34999",Kickstarter!$F:$F,"canceled",Kickstarter!$R:$R,"plays")</f>
        <v>0</v>
      </c>
      <c r="E9">
        <f t="shared" si="0"/>
        <v>9</v>
      </c>
      <c r="F9" s="21">
        <f t="shared" si="1"/>
        <v>0.22</v>
      </c>
      <c r="G9" s="10">
        <f t="shared" si="2"/>
        <v>0.78</v>
      </c>
      <c r="H9" s="21">
        <f t="shared" si="3"/>
        <v>0</v>
      </c>
    </row>
    <row r="10" spans="1:8" x14ac:dyDescent="0.35">
      <c r="A10" t="s">
        <v>8414</v>
      </c>
      <c r="B10">
        <f>COUNTIFS(Kickstarter!$D:$D,"=35000",Kickstarter!$D:$D,"&lt;39999",Kickstarter!$F:$F,"successful",Kickstarter!$R:$R,"plays")</f>
        <v>4</v>
      </c>
      <c r="C10">
        <f>COUNTIFS(Kickstarter!$D:$D,"=35000",Kickstarter!$D:$D,"&lt;39999",Kickstarter!$F:$F,"failed",Kickstarter!$R:$R,"plays")</f>
        <v>1</v>
      </c>
      <c r="D10">
        <f>COUNTIFS(Kickstarter!$D:$D,"=35000",Kickstarter!$D:$D,"&lt;39999",Kickstarter!$F:$F,"canceled",Kickstarter!$R:$R,"plays")</f>
        <v>0</v>
      </c>
      <c r="E10">
        <f t="shared" si="0"/>
        <v>5</v>
      </c>
      <c r="F10" s="21">
        <f t="shared" si="1"/>
        <v>0.8</v>
      </c>
      <c r="G10" s="10">
        <f t="shared" si="2"/>
        <v>0.2</v>
      </c>
      <c r="H10" s="21">
        <f t="shared" si="3"/>
        <v>0</v>
      </c>
    </row>
    <row r="11" spans="1:8" x14ac:dyDescent="0.35">
      <c r="A11" t="s">
        <v>8415</v>
      </c>
      <c r="B11">
        <f>COUNTIFS(Kickstarter!$D:$D,"=40000",Kickstarter!$D:$D,"&lt;44999",Kickstarter!$F:$F,"successful",Kickstarter!$R:$R,"plays")</f>
        <v>2</v>
      </c>
      <c r="C11">
        <f>COUNTIFS(Kickstarter!$D:$D,"=40000",Kickstarter!$D:$D,"&lt;44999",Kickstarter!$F:$F,"failed",Kickstarter!$R:$R,"plays")</f>
        <v>1</v>
      </c>
      <c r="D11">
        <f>COUNTIFS(Kickstarter!$D:$D,"=40000",Kickstarter!$D:$D,"&lt;44999",Kickstarter!$F:$F,"canceled",Kickstarter!$R:$R,"plays")</f>
        <v>0</v>
      </c>
      <c r="E11">
        <f t="shared" si="0"/>
        <v>3</v>
      </c>
      <c r="F11" s="21">
        <f t="shared" si="1"/>
        <v>0.67</v>
      </c>
      <c r="G11" s="10">
        <f t="shared" si="2"/>
        <v>0.33</v>
      </c>
      <c r="H11" s="21">
        <f t="shared" si="3"/>
        <v>0</v>
      </c>
    </row>
    <row r="12" spans="1:8" x14ac:dyDescent="0.35">
      <c r="A12" t="s">
        <v>8416</v>
      </c>
      <c r="B12">
        <f>COUNTIFS(Kickstarter!$D:$D,"=45000",Kickstarter!$D:$D,"&lt;49999",Kickstarter!$F:$F,"successful",Kickstarter!$R:$R,"plays")</f>
        <v>0</v>
      </c>
      <c r="C12">
        <f>COUNTIFS(Kickstarter!$D:$D,"=45000",Kickstarter!$D:$D,"&lt;49999",Kickstarter!$F:$F,"failed",Kickstarter!$R:$R,"plays")</f>
        <v>1</v>
      </c>
      <c r="D12">
        <f>COUNTIFS(Kickstarter!$D:$D,"=45000",Kickstarter!$D:$D,"&lt;49999",Kickstarter!$F:$F,"canceled",Kickstarter!$R:$R,"plays")</f>
        <v>0</v>
      </c>
      <c r="E12">
        <f t="shared" si="0"/>
        <v>1</v>
      </c>
      <c r="F12" s="21">
        <f t="shared" si="1"/>
        <v>0</v>
      </c>
      <c r="G12" s="10">
        <f t="shared" si="2"/>
        <v>1</v>
      </c>
      <c r="H12" s="21">
        <f t="shared" si="3"/>
        <v>0</v>
      </c>
    </row>
    <row r="13" spans="1:8" x14ac:dyDescent="0.3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0.13</v>
      </c>
      <c r="G13" s="10">
        <f t="shared" si="2"/>
        <v>0.88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12680-B452-434D-B0CF-B3A65F057EAA}">
  <dimension ref="A1:E18"/>
  <sheetViews>
    <sheetView workbookViewId="0">
      <selection activeCell="E1" sqref="E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7" t="s">
        <v>8372</v>
      </c>
      <c r="B6">
        <v>7</v>
      </c>
      <c r="C6">
        <v>33</v>
      </c>
      <c r="D6">
        <v>56</v>
      </c>
      <c r="E6">
        <v>96</v>
      </c>
    </row>
    <row r="7" spans="1:5" x14ac:dyDescent="0.35">
      <c r="A7" s="17" t="s">
        <v>8373</v>
      </c>
      <c r="B7">
        <v>3</v>
      </c>
      <c r="C7">
        <v>39</v>
      </c>
      <c r="D7">
        <v>71</v>
      </c>
      <c r="E7">
        <v>113</v>
      </c>
    </row>
    <row r="8" spans="1:5" x14ac:dyDescent="0.35">
      <c r="A8" s="17" t="s">
        <v>8374</v>
      </c>
      <c r="B8">
        <v>3</v>
      </c>
      <c r="C8">
        <v>33</v>
      </c>
      <c r="D8">
        <v>56</v>
      </c>
      <c r="E8">
        <v>92</v>
      </c>
    </row>
    <row r="9" spans="1:5" x14ac:dyDescent="0.35">
      <c r="A9" s="17" t="s">
        <v>8375</v>
      </c>
      <c r="B9">
        <v>2</v>
      </c>
      <c r="C9">
        <v>40</v>
      </c>
      <c r="D9">
        <v>71</v>
      </c>
      <c r="E9">
        <v>113</v>
      </c>
    </row>
    <row r="10" spans="1:5" x14ac:dyDescent="0.35">
      <c r="A10" s="17" t="s">
        <v>8366</v>
      </c>
      <c r="B10">
        <v>3</v>
      </c>
      <c r="C10">
        <v>52</v>
      </c>
      <c r="D10">
        <v>111</v>
      </c>
      <c r="E10">
        <v>166</v>
      </c>
    </row>
    <row r="11" spans="1:5" x14ac:dyDescent="0.35">
      <c r="A11" s="17" t="s">
        <v>8376</v>
      </c>
      <c r="B11">
        <v>4</v>
      </c>
      <c r="C11">
        <v>49</v>
      </c>
      <c r="D11">
        <v>100</v>
      </c>
      <c r="E11">
        <v>153</v>
      </c>
    </row>
    <row r="12" spans="1:5" x14ac:dyDescent="0.35">
      <c r="A12" s="17" t="s">
        <v>8367</v>
      </c>
      <c r="B12">
        <v>1</v>
      </c>
      <c r="C12">
        <v>50</v>
      </c>
      <c r="D12">
        <v>87</v>
      </c>
      <c r="E12">
        <v>138</v>
      </c>
    </row>
    <row r="13" spans="1:5" x14ac:dyDescent="0.35">
      <c r="A13" s="17" t="s">
        <v>8368</v>
      </c>
      <c r="B13">
        <v>4</v>
      </c>
      <c r="C13">
        <v>47</v>
      </c>
      <c r="D13">
        <v>72</v>
      </c>
      <c r="E13">
        <v>123</v>
      </c>
    </row>
    <row r="14" spans="1:5" x14ac:dyDescent="0.35">
      <c r="A14" s="17" t="s">
        <v>8369</v>
      </c>
      <c r="B14">
        <v>4</v>
      </c>
      <c r="C14">
        <v>34</v>
      </c>
      <c r="D14">
        <v>59</v>
      </c>
      <c r="E14">
        <v>97</v>
      </c>
    </row>
    <row r="15" spans="1:5" x14ac:dyDescent="0.35">
      <c r="A15" s="17" t="s">
        <v>8370</v>
      </c>
      <c r="C15">
        <v>50</v>
      </c>
      <c r="D15">
        <v>65</v>
      </c>
      <c r="E15">
        <v>115</v>
      </c>
    </row>
    <row r="16" spans="1:5" x14ac:dyDescent="0.35">
      <c r="A16" s="17" t="s">
        <v>8371</v>
      </c>
      <c r="B16">
        <v>3</v>
      </c>
      <c r="C16">
        <v>31</v>
      </c>
      <c r="D16">
        <v>54</v>
      </c>
      <c r="E16">
        <v>88</v>
      </c>
    </row>
    <row r="17" spans="1:5" x14ac:dyDescent="0.35">
      <c r="A17" s="17" t="s">
        <v>8377</v>
      </c>
      <c r="B17">
        <v>3</v>
      </c>
      <c r="C17">
        <v>35</v>
      </c>
      <c r="D17">
        <v>37</v>
      </c>
      <c r="E17">
        <v>75</v>
      </c>
    </row>
    <row r="18" spans="1:5" x14ac:dyDescent="0.35">
      <c r="A18" s="17" t="s">
        <v>8361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264F2-1288-453F-BC68-10B2CEF3774A}">
  <dimension ref="A1:F6"/>
  <sheetViews>
    <sheetView workbookViewId="0">
      <selection activeCell="A13" sqref="A13:XFD13"/>
    </sheetView>
  </sheetViews>
  <sheetFormatPr defaultRowHeight="14.5" x14ac:dyDescent="0.35"/>
  <cols>
    <col min="1" max="1" width="17.1796875" bestFit="1" customWidth="1"/>
    <col min="2" max="2" width="15.54296875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5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EF4CD-0C82-482B-B6F9-73247DB6B70E}">
  <dimension ref="A1:E7"/>
  <sheetViews>
    <sheetView topLeftCell="F4" workbookViewId="0"/>
  </sheetViews>
  <sheetFormatPr defaultRowHeight="14.5" x14ac:dyDescent="0.35"/>
  <cols>
    <col min="1" max="1" width="17.1796875" bestFit="1" customWidth="1"/>
    <col min="2" max="2" width="15.54296875" bestFit="1" customWidth="1"/>
    <col min="3" max="3" width="4.17968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5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2E69-C706-4123-B341-05EFAB3276A3}">
  <dimension ref="A1:F6"/>
  <sheetViews>
    <sheetView topLeftCell="B1" workbookViewId="0">
      <selection activeCell="B16" sqref="B16"/>
    </sheetView>
  </sheetViews>
  <sheetFormatPr defaultRowHeight="14.5" x14ac:dyDescent="0.35"/>
  <cols>
    <col min="1" max="1" width="18.54296875" customWidth="1"/>
    <col min="2" max="2" width="122.54296875" bestFit="1" customWidth="1"/>
    <col min="3" max="3" width="10.1796875" style="8" bestFit="1" customWidth="1"/>
    <col min="4" max="4" width="9.1796875" style="8" bestFit="1"/>
    <col min="5" max="5" width="16.1796875" style="8" bestFit="1" customWidth="1"/>
    <col min="6" max="6" width="17.1796875" bestFit="1" customWidth="1"/>
  </cols>
  <sheetData>
    <row r="1" spans="1:6" x14ac:dyDescent="0.35">
      <c r="A1" t="s">
        <v>8379</v>
      </c>
      <c r="B1" t="s">
        <v>8380</v>
      </c>
      <c r="C1" s="8" t="s">
        <v>8381</v>
      </c>
      <c r="D1" s="8" t="s">
        <v>8382</v>
      </c>
      <c r="E1" s="8" t="s">
        <v>8307</v>
      </c>
      <c r="F1" t="s">
        <v>8383</v>
      </c>
    </row>
    <row r="2" spans="1:6" x14ac:dyDescent="0.3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x14ac:dyDescent="0.35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x14ac:dyDescent="0.35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21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B21D-D2D3-44C5-B090-566B032DCDC6}">
  <dimension ref="A1:C14"/>
  <sheetViews>
    <sheetView tabSelected="1" workbookViewId="0">
      <selection activeCell="B15" sqref="B15"/>
    </sheetView>
  </sheetViews>
  <sheetFormatPr defaultRowHeight="14.5" x14ac:dyDescent="0.35"/>
  <cols>
    <col min="1" max="1" width="28.453125" bestFit="1" customWidth="1"/>
    <col min="2" max="2" width="10.54296875" bestFit="1" customWidth="1"/>
    <col min="3" max="3" width="11.542968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8393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8390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5">
      <c r="A6" t="s">
        <v>8391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35">
      <c r="B8" s="19"/>
      <c r="C8" s="19"/>
    </row>
    <row r="9" spans="1:3" x14ac:dyDescent="0.35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8395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5">
      <c r="A13" t="s">
        <v>8396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5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A3FB-9199-494D-9DEB-E0CF964E24C4}">
  <dimension ref="A1:E18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7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7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7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7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7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7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7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7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7" t="s">
        <v>8370</v>
      </c>
      <c r="B15">
        <v>65</v>
      </c>
      <c r="C15">
        <v>50</v>
      </c>
      <c r="E15">
        <v>115</v>
      </c>
    </row>
    <row r="16" spans="1:5" x14ac:dyDescent="0.35">
      <c r="A16" s="17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7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Brown</cp:lastModifiedBy>
  <dcterms:created xsi:type="dcterms:W3CDTF">2017-04-20T15:17:24Z</dcterms:created>
  <dcterms:modified xsi:type="dcterms:W3CDTF">2022-12-07T04:41:56Z</dcterms:modified>
</cp:coreProperties>
</file>