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ATABASE\ITMO\Physics\"/>
    </mc:Choice>
  </mc:AlternateContent>
  <xr:revisionPtr revIDLastSave="0" documentId="13_ncr:1_{35D0D6B2-D814-4E84-A10E-CDC5AE5E2A20}" xr6:coauthVersionLast="47" xr6:coauthVersionMax="47" xr10:uidLastSave="{00000000-0000-0000-0000-000000000000}"/>
  <bookViews>
    <workbookView xWindow="-98" yWindow="-98" windowWidth="24196" windowHeight="14476" activeTab="3" xr2:uid="{00000000-000D-0000-FFFF-FFFF00000000}"/>
  </bookViews>
  <sheets>
    <sheet name="Таблица 2" sheetId="3" r:id="rId1"/>
    <sheet name="Таблица 3" sheetId="1" r:id="rId2"/>
    <sheet name="Таблица 4" sheetId="2" r:id="rId3"/>
    <sheet name="Таблица 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B6" i="4"/>
  <c r="M15" i="4" s="1"/>
  <c r="B5" i="4"/>
  <c r="B4" i="4"/>
  <c r="M13" i="4" s="1"/>
  <c r="B3" i="4"/>
  <c r="M12" i="4" s="1"/>
  <c r="B2" i="4"/>
  <c r="M14" i="4"/>
  <c r="M11" i="4"/>
  <c r="N12" i="4"/>
  <c r="O12" i="4" s="1"/>
  <c r="N13" i="4"/>
  <c r="O13" i="4" s="1"/>
  <c r="N14" i="4"/>
  <c r="O14" i="4" s="1"/>
  <c r="N11" i="4"/>
  <c r="O11" i="4" s="1"/>
  <c r="M5" i="4"/>
  <c r="M6" i="4"/>
  <c r="M4" i="4"/>
  <c r="M2" i="4"/>
  <c r="M3" i="4"/>
  <c r="E6" i="4"/>
  <c r="E5" i="4"/>
  <c r="E4" i="4"/>
  <c r="E3" i="4"/>
  <c r="E2" i="4"/>
  <c r="J34" i="4"/>
  <c r="J33" i="4"/>
  <c r="J32" i="4"/>
  <c r="L32" i="4"/>
  <c r="L33" i="4"/>
  <c r="L34" i="4"/>
  <c r="L35" i="4"/>
  <c r="L31" i="4"/>
  <c r="J31" i="4"/>
  <c r="J29" i="4"/>
  <c r="J28" i="4"/>
  <c r="J27" i="4"/>
  <c r="L27" i="4"/>
  <c r="L28" i="4"/>
  <c r="L29" i="4"/>
  <c r="L30" i="4"/>
  <c r="L26" i="4"/>
  <c r="J26" i="4"/>
  <c r="J24" i="4"/>
  <c r="J23" i="4"/>
  <c r="J22" i="4"/>
  <c r="L22" i="4"/>
  <c r="L23" i="4"/>
  <c r="L24" i="4"/>
  <c r="L25" i="4"/>
  <c r="L21" i="4"/>
  <c r="J21" i="4"/>
  <c r="J19" i="4"/>
  <c r="J18" i="4"/>
  <c r="J17" i="4"/>
  <c r="L17" i="4"/>
  <c r="L18" i="4"/>
  <c r="L19" i="4"/>
  <c r="L20" i="4"/>
  <c r="L16" i="4"/>
  <c r="J16" i="4"/>
  <c r="J14" i="4"/>
  <c r="J13" i="4"/>
  <c r="J12" i="4"/>
  <c r="L12" i="4"/>
  <c r="L13" i="4"/>
  <c r="L14" i="4"/>
  <c r="L15" i="4"/>
  <c r="L11" i="4"/>
  <c r="J11" i="4"/>
  <c r="H34" i="4"/>
  <c r="H33" i="4"/>
  <c r="H32" i="4"/>
  <c r="K32" i="4"/>
  <c r="K33" i="4"/>
  <c r="K34" i="4"/>
  <c r="K35" i="4"/>
  <c r="K31" i="4"/>
  <c r="H31" i="4"/>
  <c r="H29" i="4"/>
  <c r="H28" i="4"/>
  <c r="H27" i="4"/>
  <c r="K27" i="4"/>
  <c r="K28" i="4"/>
  <c r="K29" i="4"/>
  <c r="K30" i="4"/>
  <c r="K26" i="4"/>
  <c r="H26" i="4"/>
  <c r="H21" i="4"/>
  <c r="K22" i="4"/>
  <c r="K23" i="4"/>
  <c r="K24" i="4"/>
  <c r="K25" i="4"/>
  <c r="K21" i="4"/>
  <c r="H22" i="4" s="1"/>
  <c r="H23" i="4" s="1"/>
  <c r="H24" i="4" s="1"/>
  <c r="K18" i="4"/>
  <c r="H17" i="4"/>
  <c r="H18" i="4" s="1"/>
  <c r="H19" i="4" s="1"/>
  <c r="K19" i="4"/>
  <c r="K20" i="4"/>
  <c r="K17" i="4"/>
  <c r="K16" i="4"/>
  <c r="H16" i="4"/>
  <c r="H14" i="4"/>
  <c r="H13" i="4"/>
  <c r="K12" i="4"/>
  <c r="K13" i="4"/>
  <c r="K14" i="4"/>
  <c r="K15" i="4"/>
  <c r="K11" i="4"/>
  <c r="H12" i="4"/>
  <c r="H11" i="4"/>
  <c r="B15" i="1"/>
  <c r="B14" i="1"/>
  <c r="B13" i="1"/>
  <c r="L9" i="1"/>
  <c r="L7" i="1"/>
  <c r="L6" i="1"/>
  <c r="L5" i="1"/>
  <c r="L4" i="1"/>
  <c r="L3" i="1"/>
  <c r="I9" i="1"/>
  <c r="B11" i="1"/>
  <c r="K9" i="1"/>
  <c r="J9" i="1"/>
  <c r="K7" i="1"/>
  <c r="K6" i="1"/>
  <c r="K5" i="1"/>
  <c r="K4" i="1"/>
  <c r="K3" i="1"/>
  <c r="B10" i="1"/>
  <c r="J4" i="1"/>
  <c r="J5" i="1"/>
  <c r="J6" i="1"/>
  <c r="J7" i="1"/>
  <c r="J3" i="1"/>
  <c r="I4" i="1"/>
  <c r="I5" i="1"/>
  <c r="I6" i="1"/>
  <c r="I7" i="1"/>
  <c r="I3" i="1"/>
  <c r="G4" i="1"/>
  <c r="G5" i="1"/>
  <c r="G6" i="1"/>
  <c r="G7" i="1"/>
  <c r="G3" i="1"/>
  <c r="F4" i="1"/>
  <c r="F5" i="1"/>
  <c r="F6" i="1"/>
  <c r="F7" i="1"/>
  <c r="F3" i="1"/>
  <c r="A2" i="3"/>
  <c r="B2" i="3"/>
  <c r="N15" i="4" l="1"/>
  <c r="O15" i="4" s="1"/>
  <c r="Q10" i="4" s="1"/>
  <c r="O17" i="4" s="1"/>
  <c r="Q12" i="4"/>
  <c r="Q11" i="4" l="1"/>
  <c r="R12" i="4" l="1"/>
  <c r="S12" i="4" s="1"/>
  <c r="R14" i="4"/>
  <c r="S14" i="4" s="1"/>
  <c r="R15" i="4"/>
  <c r="S15" i="4" s="1"/>
  <c r="R11" i="4"/>
  <c r="S11" i="4" s="1"/>
  <c r="R13" i="4"/>
  <c r="S13" i="4" s="1"/>
  <c r="Q13" i="4" l="1"/>
  <c r="Q14" i="4" s="1"/>
  <c r="Q15" i="4" s="1"/>
</calcChain>
</file>

<file path=xl/sharedStrings.xml><?xml version="1.0" encoding="utf-8"?>
<sst xmlns="http://schemas.openxmlformats.org/spreadsheetml/2006/main" count="123" uniqueCount="77">
  <si>
    <t>x, м</t>
  </si>
  <si>
    <t>x', м</t>
  </si>
  <si>
    <t>№</t>
  </si>
  <si>
    <t>Измеренные величины</t>
  </si>
  <si>
    <t>Рассчитанные величины</t>
  </si>
  <si>
    <t>x_2 - x_1, м</t>
  </si>
  <si>
    <t>x_1, м</t>
  </si>
  <si>
    <t>х_2, м</t>
  </si>
  <si>
    <t>t_1, c</t>
  </si>
  <si>
    <t>t_2, c</t>
  </si>
  <si>
    <t>N_пластин</t>
  </si>
  <si>
    <t>h, мм</t>
  </si>
  <si>
    <t>h', мм</t>
  </si>
  <si>
    <t>h_0, мм</t>
  </si>
  <si>
    <t>h_0', мм</t>
  </si>
  <si>
    <t>ZY</t>
  </si>
  <si>
    <t>Z^2</t>
  </si>
  <si>
    <t>σ_α =</t>
  </si>
  <si>
    <t>Сумма</t>
  </si>
  <si>
    <t>Задание №1</t>
  </si>
  <si>
    <t>α =</t>
  </si>
  <si>
    <t>(Y_i - new_α*Z_i)^2</t>
  </si>
  <si>
    <t>(Y_i - α*Z_i)^2</t>
  </si>
  <si>
    <t>Δα =</t>
  </si>
  <si>
    <t>МНК</t>
  </si>
  <si>
    <t>Дов. инт.</t>
  </si>
  <si>
    <t>sinα</t>
  </si>
  <si>
    <t>⟨𝑡1⟩ ± ∆𝑡1, с</t>
  </si>
  <si>
    <t>⟨𝑡2⟩ ± ∆𝑡2, с</t>
  </si>
  <si>
    <t>⟨𝑎⟩ ± ∆𝑎, м/с^2</t>
  </si>
  <si>
    <t>t1</t>
  </si>
  <si>
    <t>t2</t>
  </si>
  <si>
    <t>t1: (xi - _x)^2</t>
  </si>
  <si>
    <t>_t1 =</t>
  </si>
  <si>
    <t>S_t1 =</t>
  </si>
  <si>
    <t>Δ_t1 =</t>
  </si>
  <si>
    <t>Δt1 =</t>
  </si>
  <si>
    <t>t2: (xi - _x)^2</t>
  </si>
  <si>
    <t>0,98 ± 0,087</t>
  </si>
  <si>
    <t>0,88 ± 0,087</t>
  </si>
  <si>
    <t>0,76 ± 0,095</t>
  </si>
  <si>
    <t>_t2 =</t>
  </si>
  <si>
    <t>S_t2 =</t>
  </si>
  <si>
    <t>Δ_t2 =</t>
  </si>
  <si>
    <t>Δt2 =</t>
  </si>
  <si>
    <t>4,94 ± 0,157</t>
  </si>
  <si>
    <t>3,42 ± 0,124</t>
  </si>
  <si>
    <t>2,42 ± 0,087</t>
  </si>
  <si>
    <t>2,14 ± 0,095</t>
  </si>
  <si>
    <t>Копия таблицы 4</t>
  </si>
  <si>
    <t>1,66 ± 0,200</t>
  </si>
  <si>
    <t>1,2 ± 0,110</t>
  </si>
  <si>
    <t>2,74 ± 0,130</t>
  </si>
  <si>
    <t>∆𝑎</t>
  </si>
  <si>
    <t>0,023 ± 0,002</t>
  </si>
  <si>
    <t>0,068 ± 0,006</t>
  </si>
  <si>
    <t>0,168 ± 0,019</t>
  </si>
  <si>
    <t>0,475 ± 0,051</t>
  </si>
  <si>
    <t>0,295 ± 0,026</t>
  </si>
  <si>
    <t>a =</t>
  </si>
  <si>
    <t>σ_a =</t>
  </si>
  <si>
    <t>ε_α =</t>
  </si>
  <si>
    <t>Сопротивление воздуха</t>
  </si>
  <si>
    <t>a_i</t>
  </si>
  <si>
    <t>g = 9,8 +-0,05</t>
  </si>
  <si>
    <t>a_i * sin α_i</t>
  </si>
  <si>
    <t>sin α_i^2</t>
  </si>
  <si>
    <t>σ_g =</t>
  </si>
  <si>
    <t>d_i</t>
  </si>
  <si>
    <t>D =</t>
  </si>
  <si>
    <t>B =</t>
  </si>
  <si>
    <t>A =</t>
  </si>
  <si>
    <t>d_i^2</t>
  </si>
  <si>
    <t>∆g =</t>
  </si>
  <si>
    <t>ε_g =</t>
  </si>
  <si>
    <t>g_СПб =</t>
  </si>
  <si>
    <t xml:space="preserve"> |𝑔эксп − 𝑔табл|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</si>
</sst>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5" fontId="0" fillId="0" borderId="35" xfId="0" applyNumberFormat="1" applyBorder="1" applyAlignment="1">
      <alignment horizontal="center" vertical="center"/>
    </xf>
    <xf numFmtId="166" fontId="0" fillId="0" borderId="3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6" fontId="0" fillId="0" borderId="33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0" fillId="0" borderId="0" xfId="0" applyAlignment="1">
      <alignment horizontal="right" vertical="center"/>
    </xf>
    <xf numFmtId="165" fontId="0" fillId="0" borderId="1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0" fontId="0" fillId="0" borderId="25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165" fontId="0" fillId="0" borderId="27" xfId="0" applyNumberFormat="1" applyBorder="1" applyAlignment="1">
      <alignment horizontal="left" vertical="center"/>
    </xf>
    <xf numFmtId="165" fontId="0" fillId="0" borderId="29" xfId="0" applyNumberFormat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>
      <alignment horizontal="left"/>
    </xf>
    <xf numFmtId="165" fontId="0" fillId="0" borderId="0" xfId="0" applyNumberFormat="1" applyAlignment="1">
      <alignment horizontal="left" vertical="center"/>
    </xf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left"/>
    </xf>
    <xf numFmtId="165" fontId="0" fillId="0" borderId="25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165" fontId="0" fillId="0" borderId="26" xfId="0" applyNumberFormat="1" applyBorder="1" applyAlignment="1">
      <alignment horizontal="left"/>
    </xf>
    <xf numFmtId="165" fontId="0" fillId="0" borderId="30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left"/>
    </xf>
    <xf numFmtId="165" fontId="0" fillId="0" borderId="29" xfId="0" applyNumberFormat="1" applyBorder="1" applyAlignment="1">
      <alignment horizontal="left"/>
    </xf>
    <xf numFmtId="0" fontId="5" fillId="0" borderId="0" xfId="0" applyFont="1" applyAlignment="1">
      <alignment horizontal="right"/>
    </xf>
    <xf numFmtId="165" fontId="0" fillId="0" borderId="31" xfId="0" applyNumberForma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1" fillId="0" borderId="30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0" fontId="3" fillId="0" borderId="30" xfId="0" applyFont="1" applyBorder="1" applyAlignment="1">
      <alignment horizontal="right" vertical="center"/>
    </xf>
    <xf numFmtId="166" fontId="0" fillId="0" borderId="26" xfId="0" applyNumberFormat="1" applyBorder="1" applyAlignment="1">
      <alignment horizontal="left" vertical="center"/>
    </xf>
    <xf numFmtId="166" fontId="0" fillId="0" borderId="31" xfId="0" applyNumberFormat="1" applyBorder="1" applyAlignment="1">
      <alignment horizontal="left" vertical="center"/>
    </xf>
    <xf numFmtId="2" fontId="0" fillId="0" borderId="26" xfId="0" applyNumberFormat="1" applyBorder="1" applyAlignment="1">
      <alignment horizontal="left" vertical="center"/>
    </xf>
    <xf numFmtId="10" fontId="0" fillId="0" borderId="31" xfId="0" applyNumberFormat="1" applyBorder="1" applyAlignment="1">
      <alignment horizontal="left" vertical="center"/>
    </xf>
    <xf numFmtId="165" fontId="0" fillId="0" borderId="32" xfId="0" applyNumberFormat="1" applyBorder="1" applyAlignment="1">
      <alignment horizontal="center" vertical="center"/>
    </xf>
    <xf numFmtId="10" fontId="0" fillId="0" borderId="32" xfId="0" applyNumberFormat="1" applyBorder="1" applyAlignment="1">
      <alignment horizontal="left"/>
    </xf>
    <xf numFmtId="2" fontId="0" fillId="0" borderId="8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172827</xdr:colOff>
      <xdr:row>1</xdr:row>
      <xdr:rowOff>12406</xdr:rowOff>
    </xdr:from>
    <xdr:to>
      <xdr:col>6</xdr:col>
      <xdr:colOff>771274</xdr:colOff>
      <xdr:row>1</xdr:row>
      <xdr:rowOff>325078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66CD3FA-9651-A576-DE4A-A5ED80757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4327" y="193381"/>
          <a:ext cx="598447" cy="3126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256732</xdr:colOff>
      <xdr:row>0</xdr:row>
      <xdr:rowOff>17353</xdr:rowOff>
    </xdr:from>
    <xdr:to>
      <xdr:col>8</xdr:col>
      <xdr:colOff>7204</xdr:colOff>
      <xdr:row>1</xdr:row>
      <xdr:rowOff>179918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6A4273E-6E35-302C-EDFE-E1D1B4821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4798" y="17353"/>
          <a:ext cx="1269459" cy="400690"/>
        </a:xfrm>
        <a:prstGeom prst="rect">
          <a:avLst/>
        </a:prstGeom>
      </xdr:spPr>
    </xdr:pic>
    <xdr:clientData/>
  </xdr:twoCellAnchor>
  <xdr:twoCellAnchor editAs="oneCell">
    <xdr:from>
      <xdr:col>6</xdr:col>
      <xdr:colOff>9616</xdr:colOff>
      <xdr:row>2</xdr:row>
      <xdr:rowOff>5268</xdr:rowOff>
    </xdr:from>
    <xdr:to>
      <xdr:col>8</xdr:col>
      <xdr:colOff>54951</xdr:colOff>
      <xdr:row>3</xdr:row>
      <xdr:rowOff>95123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D5A4AE8-FB64-B79E-EEDE-90E8C1D09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1328" y="481518"/>
          <a:ext cx="1565672" cy="327980"/>
        </a:xfrm>
        <a:prstGeom prst="rect">
          <a:avLst/>
        </a:prstGeom>
      </xdr:spPr>
    </xdr:pic>
    <xdr:clientData/>
  </xdr:twoCellAnchor>
  <xdr:twoCellAnchor editAs="oneCell">
    <xdr:from>
      <xdr:col>8</xdr:col>
      <xdr:colOff>32970</xdr:colOff>
      <xdr:row>0</xdr:row>
      <xdr:rowOff>40299</xdr:rowOff>
    </xdr:from>
    <xdr:to>
      <xdr:col>9</xdr:col>
      <xdr:colOff>621385</xdr:colOff>
      <xdr:row>3</xdr:row>
      <xdr:rowOff>135549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02C1B28-4657-EA05-D243-F993663A2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55018" y="40299"/>
          <a:ext cx="1236847" cy="809625"/>
        </a:xfrm>
        <a:prstGeom prst="rect">
          <a:avLst/>
        </a:prstGeom>
      </xdr:spPr>
    </xdr:pic>
    <xdr:clientData/>
  </xdr:twoCellAnchor>
  <xdr:twoCellAnchor editAs="oneCell">
    <xdr:from>
      <xdr:col>10</xdr:col>
      <xdr:colOff>10991</xdr:colOff>
      <xdr:row>0</xdr:row>
      <xdr:rowOff>76934</xdr:rowOff>
    </xdr:from>
    <xdr:to>
      <xdr:col>11</xdr:col>
      <xdr:colOff>407951</xdr:colOff>
      <xdr:row>2</xdr:row>
      <xdr:rowOff>124558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AF4B4FC-36FD-3E99-E39E-8B9DFCECB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29905" y="76934"/>
          <a:ext cx="1268864" cy="523874"/>
        </a:xfrm>
        <a:prstGeom prst="rect">
          <a:avLst/>
        </a:prstGeom>
      </xdr:spPr>
    </xdr:pic>
    <xdr:clientData/>
  </xdr:twoCellAnchor>
  <xdr:twoCellAnchor editAs="oneCell">
    <xdr:from>
      <xdr:col>6</xdr:col>
      <xdr:colOff>6171</xdr:colOff>
      <xdr:row>3</xdr:row>
      <xdr:rowOff>173146</xdr:rowOff>
    </xdr:from>
    <xdr:to>
      <xdr:col>7</xdr:col>
      <xdr:colOff>661930</xdr:colOff>
      <xdr:row>5</xdr:row>
      <xdr:rowOff>108917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11AADFE-831C-A252-3380-771A5FC24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84237" y="887521"/>
          <a:ext cx="1302456" cy="412021"/>
        </a:xfrm>
        <a:prstGeom prst="rect">
          <a:avLst/>
        </a:prstGeom>
      </xdr:spPr>
    </xdr:pic>
    <xdr:clientData/>
  </xdr:twoCellAnchor>
  <xdr:twoCellAnchor editAs="oneCell">
    <xdr:from>
      <xdr:col>7</xdr:col>
      <xdr:colOff>705505</xdr:colOff>
      <xdr:row>3</xdr:row>
      <xdr:rowOff>77320</xdr:rowOff>
    </xdr:from>
    <xdr:to>
      <xdr:col>11</xdr:col>
      <xdr:colOff>778228</xdr:colOff>
      <xdr:row>5</xdr:row>
      <xdr:rowOff>102963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CFB56E2-5990-EF03-80EA-35EB9CCB2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30268" y="791695"/>
          <a:ext cx="3110697" cy="501893"/>
        </a:xfrm>
        <a:prstGeom prst="rect">
          <a:avLst/>
        </a:prstGeom>
      </xdr:spPr>
    </xdr:pic>
    <xdr:clientData/>
  </xdr:twoCellAnchor>
  <xdr:twoCellAnchor editAs="oneCell">
    <xdr:from>
      <xdr:col>13</xdr:col>
      <xdr:colOff>25491</xdr:colOff>
      <xdr:row>0</xdr:row>
      <xdr:rowOff>29307</xdr:rowOff>
    </xdr:from>
    <xdr:to>
      <xdr:col>16</xdr:col>
      <xdr:colOff>105264</xdr:colOff>
      <xdr:row>3</xdr:row>
      <xdr:rowOff>7327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65C1255-60BF-61FE-F738-43F2332E3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69616" y="29307"/>
          <a:ext cx="2100076" cy="692395"/>
        </a:xfrm>
        <a:prstGeom prst="rect">
          <a:avLst/>
        </a:prstGeom>
      </xdr:spPr>
    </xdr:pic>
    <xdr:clientData/>
  </xdr:twoCellAnchor>
  <xdr:twoCellAnchor editAs="oneCell">
    <xdr:from>
      <xdr:col>13</xdr:col>
      <xdr:colOff>54369</xdr:colOff>
      <xdr:row>3</xdr:row>
      <xdr:rowOff>32972</xdr:rowOff>
    </xdr:from>
    <xdr:to>
      <xdr:col>15</xdr:col>
      <xdr:colOff>260221</xdr:colOff>
      <xdr:row>4</xdr:row>
      <xdr:rowOff>208818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41AAB596-8630-F600-E44A-C7FD7863D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98494" y="747347"/>
          <a:ext cx="1577722" cy="413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E0D4-3584-4FB2-B123-F546F0E028B9}">
  <dimension ref="A1:D2"/>
  <sheetViews>
    <sheetView zoomScale="130" zoomScaleNormal="130" workbookViewId="0">
      <selection activeCell="A3" sqref="A3"/>
    </sheetView>
  </sheetViews>
  <sheetFormatPr defaultRowHeight="14.25" x14ac:dyDescent="0.45"/>
  <sheetData>
    <row r="1" spans="1:4" x14ac:dyDescent="0.45">
      <c r="A1" s="1" t="s">
        <v>0</v>
      </c>
      <c r="B1" s="1" t="s">
        <v>1</v>
      </c>
      <c r="C1" s="1" t="s">
        <v>13</v>
      </c>
      <c r="D1" s="1" t="s">
        <v>14</v>
      </c>
    </row>
    <row r="2" spans="1:4" x14ac:dyDescent="0.45">
      <c r="A2" s="1">
        <f>220/1000</f>
        <v>0.22</v>
      </c>
      <c r="B2" s="1">
        <f>1000/1000</f>
        <v>1</v>
      </c>
      <c r="C2" s="1">
        <v>192</v>
      </c>
      <c r="D2" s="1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zoomScale="160" zoomScaleNormal="160" workbookViewId="0">
      <selection activeCell="F13" sqref="F13"/>
    </sheetView>
  </sheetViews>
  <sheetFormatPr defaultRowHeight="14.25" x14ac:dyDescent="0.45"/>
  <cols>
    <col min="1" max="1" width="12.19921875" customWidth="1"/>
    <col min="2" max="2" width="10.19921875" bestFit="1" customWidth="1"/>
    <col min="5" max="5" width="9.19921875" bestFit="1" customWidth="1"/>
    <col min="6" max="6" width="11.59765625" customWidth="1"/>
    <col min="7" max="7" width="12.46484375" customWidth="1"/>
    <col min="10" max="10" width="9.19921875" bestFit="1" customWidth="1"/>
    <col min="11" max="11" width="12.796875" bestFit="1" customWidth="1"/>
    <col min="12" max="12" width="16.796875" customWidth="1"/>
  </cols>
  <sheetData>
    <row r="1" spans="1:12" x14ac:dyDescent="0.45">
      <c r="A1" s="99" t="s">
        <v>2</v>
      </c>
      <c r="B1" s="101" t="s">
        <v>3</v>
      </c>
      <c r="C1" s="102"/>
      <c r="D1" s="102"/>
      <c r="E1" s="103"/>
      <c r="F1" s="101" t="s">
        <v>4</v>
      </c>
      <c r="G1" s="103"/>
    </row>
    <row r="2" spans="1:12" ht="27.4" customHeight="1" thickBot="1" x14ac:dyDescent="0.5">
      <c r="A2" s="100"/>
      <c r="B2" s="21" t="s">
        <v>6</v>
      </c>
      <c r="C2" s="9" t="s">
        <v>7</v>
      </c>
      <c r="D2" s="9" t="s">
        <v>8</v>
      </c>
      <c r="E2" s="10" t="s">
        <v>9</v>
      </c>
      <c r="F2" s="21" t="s">
        <v>5</v>
      </c>
      <c r="G2" s="10"/>
      <c r="I2" s="33" t="s">
        <v>15</v>
      </c>
      <c r="J2" s="33" t="s">
        <v>16</v>
      </c>
      <c r="K2" s="33" t="s">
        <v>22</v>
      </c>
      <c r="L2" s="33" t="s">
        <v>21</v>
      </c>
    </row>
    <row r="3" spans="1:12" ht="19.899999999999999" customHeight="1" x14ac:dyDescent="0.45">
      <c r="A3" s="77">
        <v>1</v>
      </c>
      <c r="B3" s="78">
        <v>0.15</v>
      </c>
      <c r="C3" s="79">
        <v>0.4</v>
      </c>
      <c r="D3" s="79">
        <v>1.8</v>
      </c>
      <c r="E3" s="80">
        <v>3</v>
      </c>
      <c r="F3" s="81">
        <f>C3-B3</f>
        <v>0.25</v>
      </c>
      <c r="G3" s="82">
        <f>(E3^2 - D3^2)/2</f>
        <v>2.88</v>
      </c>
      <c r="I3" s="34">
        <f>F3*G3</f>
        <v>0.72</v>
      </c>
      <c r="J3" s="34">
        <f>G3^2</f>
        <v>8.2943999999999996</v>
      </c>
      <c r="K3" s="31">
        <f>(0.25-0.0869*2.88)^2</f>
        <v>7.3983999999996992E-8</v>
      </c>
      <c r="L3" s="31">
        <f>(0.25-0.9*2.88)^2</f>
        <v>5.4849640000000006</v>
      </c>
    </row>
    <row r="4" spans="1:12" ht="19.899999999999999" customHeight="1" x14ac:dyDescent="0.45">
      <c r="A4" s="8">
        <v>2</v>
      </c>
      <c r="B4" s="5">
        <v>0.15</v>
      </c>
      <c r="C4" s="2">
        <v>0.5</v>
      </c>
      <c r="D4" s="2">
        <v>1.6</v>
      </c>
      <c r="E4" s="6">
        <v>3.4</v>
      </c>
      <c r="F4" s="30">
        <f t="shared" ref="F4:F7" si="0">C4-B4</f>
        <v>0.35</v>
      </c>
      <c r="G4" s="22">
        <f t="shared" ref="G4:G7" si="1">(E4^2 - D4^2)/2</f>
        <v>4.4999999999999991</v>
      </c>
      <c r="I4" s="35">
        <f t="shared" ref="I4:I7" si="2">F4*G4</f>
        <v>1.5749999999999995</v>
      </c>
      <c r="J4" s="35">
        <f t="shared" ref="J4:J7" si="3">G4^2</f>
        <v>20.249999999999993</v>
      </c>
      <c r="K4" s="32">
        <f>(0.35-0.0869*4.5)^2</f>
        <v>1.6851025000000025E-3</v>
      </c>
      <c r="L4" s="32">
        <f>(0.35-0.9*4.5)^2</f>
        <v>13.689999999999998</v>
      </c>
    </row>
    <row r="5" spans="1:12" ht="19.899999999999999" customHeight="1" x14ac:dyDescent="0.45">
      <c r="A5" s="8">
        <v>3</v>
      </c>
      <c r="B5" s="5">
        <v>0.15</v>
      </c>
      <c r="C5" s="2">
        <v>0.7</v>
      </c>
      <c r="D5" s="2">
        <v>1.6</v>
      </c>
      <c r="E5" s="20">
        <v>4</v>
      </c>
      <c r="F5" s="30">
        <f t="shared" si="0"/>
        <v>0.54999999999999993</v>
      </c>
      <c r="G5" s="6">
        <f t="shared" si="1"/>
        <v>6.72</v>
      </c>
      <c r="I5" s="35">
        <f t="shared" si="2"/>
        <v>3.6959999999999993</v>
      </c>
      <c r="J5" s="35">
        <f t="shared" si="3"/>
        <v>45.158399999999993</v>
      </c>
      <c r="K5" s="32">
        <f>(0.55-0.0869*6.72)^2</f>
        <v>1.1538250239999999E-3</v>
      </c>
      <c r="L5" s="32">
        <f>(0.55-0.9*6.72)^2</f>
        <v>30.228004000000002</v>
      </c>
    </row>
    <row r="6" spans="1:12" ht="19.899999999999999" customHeight="1" x14ac:dyDescent="0.45">
      <c r="A6" s="8">
        <v>4</v>
      </c>
      <c r="B6" s="5">
        <v>0.15</v>
      </c>
      <c r="C6" s="2">
        <v>0.9</v>
      </c>
      <c r="D6" s="2">
        <v>1.5</v>
      </c>
      <c r="E6" s="6">
        <v>4.3</v>
      </c>
      <c r="F6" s="30">
        <f t="shared" si="0"/>
        <v>0.75</v>
      </c>
      <c r="G6" s="6">
        <f t="shared" si="1"/>
        <v>8.1199999999999992</v>
      </c>
      <c r="I6" s="35">
        <f t="shared" si="2"/>
        <v>6.09</v>
      </c>
      <c r="J6" s="35">
        <f t="shared" si="3"/>
        <v>65.934399999999982</v>
      </c>
      <c r="K6" s="32">
        <f>(0.75-0.0869*8.12)^2</f>
        <v>1.9688743840000069E-3</v>
      </c>
      <c r="L6" s="32">
        <f>(0.75-0.9*8.12)^2</f>
        <v>43.007363999999995</v>
      </c>
    </row>
    <row r="7" spans="1:12" ht="19.899999999999999" customHeight="1" thickBot="1" x14ac:dyDescent="0.5">
      <c r="A7" s="13">
        <v>5</v>
      </c>
      <c r="B7" s="21">
        <v>0.15</v>
      </c>
      <c r="C7" s="9">
        <v>1.1000000000000001</v>
      </c>
      <c r="D7" s="9">
        <v>1.5</v>
      </c>
      <c r="E7" s="10">
        <v>4.9000000000000004</v>
      </c>
      <c r="F7" s="76">
        <f t="shared" si="0"/>
        <v>0.95000000000000007</v>
      </c>
      <c r="G7" s="10">
        <f t="shared" si="1"/>
        <v>10.880000000000003</v>
      </c>
      <c r="I7" s="28">
        <f t="shared" si="2"/>
        <v>10.336000000000004</v>
      </c>
      <c r="J7" s="28">
        <f t="shared" si="3"/>
        <v>118.37440000000005</v>
      </c>
      <c r="K7" s="29">
        <f>(0.95-0.0869*10.88)^2</f>
        <v>2.0502783999998783E-5</v>
      </c>
      <c r="L7" s="29">
        <f>(0.95-0.9*10.88)^2</f>
        <v>78.180964000000046</v>
      </c>
    </row>
    <row r="8" spans="1:12" x14ac:dyDescent="0.45">
      <c r="I8" s="27" t="s">
        <v>18</v>
      </c>
      <c r="J8" s="27" t="s">
        <v>18</v>
      </c>
      <c r="K8" s="27" t="s">
        <v>18</v>
      </c>
      <c r="L8" s="27" t="s">
        <v>18</v>
      </c>
    </row>
    <row r="9" spans="1:12" x14ac:dyDescent="0.45">
      <c r="A9" s="104" t="s">
        <v>19</v>
      </c>
      <c r="B9" s="105"/>
      <c r="C9" s="106"/>
      <c r="I9" s="28">
        <f>SUM(I3:I7)</f>
        <v>22.417000000000002</v>
      </c>
      <c r="J9" s="28">
        <f>SUM(J3:J7)</f>
        <v>258.01159999999999</v>
      </c>
      <c r="K9" s="29">
        <f>SUM(K3:K7)</f>
        <v>4.8283786760000081E-3</v>
      </c>
      <c r="L9" s="28">
        <f>SUM(L3:L7)</f>
        <v>170.59129600000006</v>
      </c>
    </row>
    <row r="10" spans="1:12" x14ac:dyDescent="0.45">
      <c r="A10" s="45" t="s">
        <v>59</v>
      </c>
      <c r="B10" s="70">
        <f>SUM(I3:I7)/SUM(J3:J7)</f>
        <v>8.6883690500737187E-2</v>
      </c>
      <c r="C10" s="96" t="s">
        <v>24</v>
      </c>
      <c r="D10" s="95">
        <f>2*B11</f>
        <v>4.3259455192062313E-3</v>
      </c>
      <c r="E10" s="24"/>
      <c r="F10" s="23"/>
    </row>
    <row r="11" spans="1:12" ht="15" x14ac:dyDescent="0.45">
      <c r="A11" s="66" t="s">
        <v>60</v>
      </c>
      <c r="B11" s="71">
        <f>SQRT(K9/((5-1)*J9))</f>
        <v>2.1629727596031156E-3</v>
      </c>
      <c r="C11" s="98"/>
      <c r="D11" s="93">
        <f>D10/B10*100%</f>
        <v>4.9790075608833938E-2</v>
      </c>
      <c r="F11" s="25"/>
    </row>
    <row r="12" spans="1:12" ht="15.75" x14ac:dyDescent="0.45">
      <c r="A12" s="67" t="s">
        <v>20</v>
      </c>
      <c r="B12" s="72">
        <v>0.9</v>
      </c>
      <c r="C12" s="96" t="s">
        <v>25</v>
      </c>
      <c r="F12" s="25"/>
    </row>
    <row r="13" spans="1:12" ht="15.75" x14ac:dyDescent="0.45">
      <c r="A13" s="68" t="s">
        <v>17</v>
      </c>
      <c r="B13" s="52">
        <f>SQRT(L9/((5-1)*J9))</f>
        <v>0.40656390835646511</v>
      </c>
      <c r="C13" s="97"/>
      <c r="F13" s="25"/>
    </row>
    <row r="14" spans="1:12" ht="15.75" x14ac:dyDescent="0.45">
      <c r="A14" s="68" t="s">
        <v>23</v>
      </c>
      <c r="B14" s="52">
        <f>2*B13</f>
        <v>0.81312781671293022</v>
      </c>
      <c r="C14" s="97"/>
      <c r="F14" s="25"/>
    </row>
    <row r="15" spans="1:12" ht="15" x14ac:dyDescent="0.45">
      <c r="A15" s="69" t="s">
        <v>61</v>
      </c>
      <c r="B15" s="73">
        <f>(B14/B12)*100%</f>
        <v>0.90347535190325579</v>
      </c>
      <c r="C15" s="98"/>
      <c r="F15" s="25"/>
    </row>
    <row r="16" spans="1:12" ht="15" x14ac:dyDescent="0.45">
      <c r="A16" s="26"/>
      <c r="B16" s="25"/>
    </row>
    <row r="17" spans="2:2" x14ac:dyDescent="0.45">
      <c r="B17" s="94"/>
    </row>
  </sheetData>
  <mergeCells count="6">
    <mergeCell ref="C12:C15"/>
    <mergeCell ref="A1:A2"/>
    <mergeCell ref="B1:E1"/>
    <mergeCell ref="F1:G1"/>
    <mergeCell ref="C10:C11"/>
    <mergeCell ref="A9:C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76839-D5E3-40D7-8A3A-D6DEBC1B2DCD}">
  <dimension ref="A1:F26"/>
  <sheetViews>
    <sheetView zoomScale="130" zoomScaleNormal="130" workbookViewId="0">
      <selection activeCell="G19" sqref="G19"/>
    </sheetView>
  </sheetViews>
  <sheetFormatPr defaultRowHeight="14.25" x14ac:dyDescent="0.45"/>
  <cols>
    <col min="1" max="1" width="9.46484375" customWidth="1"/>
    <col min="4" max="4" width="2.73046875" customWidth="1"/>
  </cols>
  <sheetData>
    <row r="1" spans="1:6" ht="14.65" thickBot="1" x14ac:dyDescent="0.5">
      <c r="A1" s="14" t="s">
        <v>10</v>
      </c>
      <c r="B1" s="15" t="s">
        <v>11</v>
      </c>
      <c r="C1" s="15" t="s">
        <v>12</v>
      </c>
      <c r="D1" s="15" t="s">
        <v>2</v>
      </c>
      <c r="E1" s="15" t="s">
        <v>8</v>
      </c>
      <c r="F1" s="16" t="s">
        <v>9</v>
      </c>
    </row>
    <row r="2" spans="1:6" x14ac:dyDescent="0.45">
      <c r="A2" s="99">
        <v>1</v>
      </c>
      <c r="B2" s="110">
        <v>201</v>
      </c>
      <c r="C2" s="107">
        <v>192</v>
      </c>
      <c r="D2" s="7">
        <v>1</v>
      </c>
      <c r="E2" s="11">
        <v>1.5</v>
      </c>
      <c r="F2" s="4">
        <v>4.8</v>
      </c>
    </row>
    <row r="3" spans="1:6" x14ac:dyDescent="0.45">
      <c r="A3" s="113"/>
      <c r="B3" s="111"/>
      <c r="C3" s="108"/>
      <c r="D3" s="8">
        <v>2</v>
      </c>
      <c r="E3" s="3">
        <v>1.5</v>
      </c>
      <c r="F3" s="6">
        <v>4.9000000000000004</v>
      </c>
    </row>
    <row r="4" spans="1:6" x14ac:dyDescent="0.45">
      <c r="A4" s="113"/>
      <c r="B4" s="111"/>
      <c r="C4" s="108"/>
      <c r="D4" s="8">
        <v>3</v>
      </c>
      <c r="E4" s="3">
        <v>1.8</v>
      </c>
      <c r="F4" s="6">
        <v>5.0999999999999996</v>
      </c>
    </row>
    <row r="5" spans="1:6" x14ac:dyDescent="0.45">
      <c r="A5" s="113"/>
      <c r="B5" s="111"/>
      <c r="C5" s="108"/>
      <c r="D5" s="8">
        <v>4</v>
      </c>
      <c r="E5" s="3">
        <v>1.8</v>
      </c>
      <c r="F5" s="20">
        <v>5</v>
      </c>
    </row>
    <row r="6" spans="1:6" ht="14.65" thickBot="1" x14ac:dyDescent="0.5">
      <c r="A6" s="100"/>
      <c r="B6" s="112"/>
      <c r="C6" s="109"/>
      <c r="D6" s="13">
        <v>5</v>
      </c>
      <c r="E6" s="12">
        <v>1.7</v>
      </c>
      <c r="F6" s="10">
        <v>4.9000000000000004</v>
      </c>
    </row>
    <row r="7" spans="1:6" x14ac:dyDescent="0.45">
      <c r="A7" s="99">
        <v>2</v>
      </c>
      <c r="B7" s="110">
        <v>211</v>
      </c>
      <c r="C7" s="107">
        <v>193</v>
      </c>
      <c r="D7" s="7">
        <v>1</v>
      </c>
      <c r="E7" s="11">
        <v>1.2</v>
      </c>
      <c r="F7" s="4">
        <v>3.5</v>
      </c>
    </row>
    <row r="8" spans="1:6" x14ac:dyDescent="0.45">
      <c r="A8" s="113"/>
      <c r="B8" s="111"/>
      <c r="C8" s="108"/>
      <c r="D8" s="8">
        <v>2</v>
      </c>
      <c r="E8" s="3">
        <v>1.1000000000000001</v>
      </c>
      <c r="F8" s="6">
        <v>3.3</v>
      </c>
    </row>
    <row r="9" spans="1:6" x14ac:dyDescent="0.45">
      <c r="A9" s="113"/>
      <c r="B9" s="111"/>
      <c r="C9" s="108"/>
      <c r="D9" s="8">
        <v>3</v>
      </c>
      <c r="E9" s="3">
        <v>1.2</v>
      </c>
      <c r="F9" s="6">
        <v>3.4</v>
      </c>
    </row>
    <row r="10" spans="1:6" x14ac:dyDescent="0.45">
      <c r="A10" s="113"/>
      <c r="B10" s="111"/>
      <c r="C10" s="108"/>
      <c r="D10" s="8">
        <v>4</v>
      </c>
      <c r="E10" s="3">
        <v>1.3</v>
      </c>
      <c r="F10" s="6">
        <v>3.5</v>
      </c>
    </row>
    <row r="11" spans="1:6" ht="14.65" thickBot="1" x14ac:dyDescent="0.5">
      <c r="A11" s="100"/>
      <c r="B11" s="112"/>
      <c r="C11" s="109"/>
      <c r="D11" s="13">
        <v>5</v>
      </c>
      <c r="E11" s="12">
        <v>1.2</v>
      </c>
      <c r="F11" s="10">
        <v>3.4</v>
      </c>
    </row>
    <row r="12" spans="1:6" x14ac:dyDescent="0.45">
      <c r="A12" s="99">
        <v>3</v>
      </c>
      <c r="B12" s="110">
        <v>221</v>
      </c>
      <c r="C12" s="107">
        <v>194</v>
      </c>
      <c r="D12" s="7">
        <v>1</v>
      </c>
      <c r="E12" s="17">
        <v>1</v>
      </c>
      <c r="F12" s="4">
        <v>2.8</v>
      </c>
    </row>
    <row r="13" spans="1:6" x14ac:dyDescent="0.45">
      <c r="A13" s="113"/>
      <c r="B13" s="111"/>
      <c r="C13" s="108"/>
      <c r="D13" s="8">
        <v>2</v>
      </c>
      <c r="E13" s="18">
        <v>1</v>
      </c>
      <c r="F13" s="6">
        <v>2.7</v>
      </c>
    </row>
    <row r="14" spans="1:6" x14ac:dyDescent="0.45">
      <c r="A14" s="113"/>
      <c r="B14" s="111"/>
      <c r="C14" s="108"/>
      <c r="D14" s="8">
        <v>3</v>
      </c>
      <c r="E14" s="3">
        <v>0.9</v>
      </c>
      <c r="F14" s="6">
        <v>2.6</v>
      </c>
    </row>
    <row r="15" spans="1:6" x14ac:dyDescent="0.45">
      <c r="A15" s="113"/>
      <c r="B15" s="111"/>
      <c r="C15" s="108"/>
      <c r="D15" s="8">
        <v>4</v>
      </c>
      <c r="E15" s="18">
        <v>1</v>
      </c>
      <c r="F15" s="6">
        <v>2.8</v>
      </c>
    </row>
    <row r="16" spans="1:6" ht="14.65" thickBot="1" x14ac:dyDescent="0.5">
      <c r="A16" s="100"/>
      <c r="B16" s="112"/>
      <c r="C16" s="109"/>
      <c r="D16" s="13">
        <v>5</v>
      </c>
      <c r="E16" s="19">
        <v>1</v>
      </c>
      <c r="F16" s="10">
        <v>2.8</v>
      </c>
    </row>
    <row r="17" spans="1:6" x14ac:dyDescent="0.45">
      <c r="A17" s="99">
        <v>4</v>
      </c>
      <c r="B17" s="110">
        <v>230</v>
      </c>
      <c r="C17" s="107">
        <v>195</v>
      </c>
      <c r="D17" s="7">
        <v>1</v>
      </c>
      <c r="E17" s="11">
        <v>0.9</v>
      </c>
      <c r="F17" s="4">
        <v>2.4</v>
      </c>
    </row>
    <row r="18" spans="1:6" x14ac:dyDescent="0.45">
      <c r="A18" s="113"/>
      <c r="B18" s="111"/>
      <c r="C18" s="108"/>
      <c r="D18" s="8">
        <v>2</v>
      </c>
      <c r="E18" s="3">
        <v>0.8</v>
      </c>
      <c r="F18" s="6">
        <v>2.4</v>
      </c>
    </row>
    <row r="19" spans="1:6" x14ac:dyDescent="0.45">
      <c r="A19" s="113"/>
      <c r="B19" s="111"/>
      <c r="C19" s="108"/>
      <c r="D19" s="8">
        <v>3</v>
      </c>
      <c r="E19" s="3">
        <v>0.9</v>
      </c>
      <c r="F19" s="6">
        <v>2.5</v>
      </c>
    </row>
    <row r="20" spans="1:6" x14ac:dyDescent="0.45">
      <c r="A20" s="113"/>
      <c r="B20" s="111"/>
      <c r="C20" s="108"/>
      <c r="D20" s="8">
        <v>4</v>
      </c>
      <c r="E20" s="3">
        <v>0.9</v>
      </c>
      <c r="F20" s="6">
        <v>2.4</v>
      </c>
    </row>
    <row r="21" spans="1:6" ht="14.65" thickBot="1" x14ac:dyDescent="0.5">
      <c r="A21" s="100"/>
      <c r="B21" s="112"/>
      <c r="C21" s="109"/>
      <c r="D21" s="13">
        <v>5</v>
      </c>
      <c r="E21" s="12">
        <v>0.9</v>
      </c>
      <c r="F21" s="10">
        <v>2.4</v>
      </c>
    </row>
    <row r="22" spans="1:6" x14ac:dyDescent="0.45">
      <c r="A22" s="99">
        <v>5</v>
      </c>
      <c r="B22" s="110">
        <v>238</v>
      </c>
      <c r="C22" s="107">
        <v>195</v>
      </c>
      <c r="D22" s="7">
        <v>1</v>
      </c>
      <c r="E22" s="11">
        <v>0.7</v>
      </c>
      <c r="F22" s="4">
        <v>2.1</v>
      </c>
    </row>
    <row r="23" spans="1:6" x14ac:dyDescent="0.45">
      <c r="A23" s="113"/>
      <c r="B23" s="111"/>
      <c r="C23" s="108"/>
      <c r="D23" s="8">
        <v>2</v>
      </c>
      <c r="E23" s="3">
        <v>0.8</v>
      </c>
      <c r="F23" s="6">
        <v>2.1</v>
      </c>
    </row>
    <row r="24" spans="1:6" x14ac:dyDescent="0.45">
      <c r="A24" s="113"/>
      <c r="B24" s="111"/>
      <c r="C24" s="108"/>
      <c r="D24" s="8">
        <v>3</v>
      </c>
      <c r="E24" s="3">
        <v>0.7</v>
      </c>
      <c r="F24" s="6">
        <v>2.1</v>
      </c>
    </row>
    <row r="25" spans="1:6" x14ac:dyDescent="0.45">
      <c r="A25" s="113"/>
      <c r="B25" s="111"/>
      <c r="C25" s="108"/>
      <c r="D25" s="8">
        <v>4</v>
      </c>
      <c r="E25" s="3">
        <v>0.8</v>
      </c>
      <c r="F25" s="6">
        <v>2.2000000000000002</v>
      </c>
    </row>
    <row r="26" spans="1:6" ht="14.65" thickBot="1" x14ac:dyDescent="0.5">
      <c r="A26" s="100"/>
      <c r="B26" s="112"/>
      <c r="C26" s="109"/>
      <c r="D26" s="13">
        <v>5</v>
      </c>
      <c r="E26" s="12">
        <v>0.8</v>
      </c>
      <c r="F26" s="10">
        <v>2.2000000000000002</v>
      </c>
    </row>
  </sheetData>
  <mergeCells count="15">
    <mergeCell ref="A2:A6"/>
    <mergeCell ref="A7:A11"/>
    <mergeCell ref="A12:A16"/>
    <mergeCell ref="A17:A21"/>
    <mergeCell ref="A22:A26"/>
    <mergeCell ref="C22:C26"/>
    <mergeCell ref="C2:C6"/>
    <mergeCell ref="B7:B11"/>
    <mergeCell ref="C7:C11"/>
    <mergeCell ref="B12:B16"/>
    <mergeCell ref="C12:C16"/>
    <mergeCell ref="B17:B21"/>
    <mergeCell ref="C17:C21"/>
    <mergeCell ref="B2:B6"/>
    <mergeCell ref="B22:B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07D3-CE5D-4196-B609-6E07D6DC1BB8}">
  <dimension ref="A1:S35"/>
  <sheetViews>
    <sheetView tabSelected="1" zoomScale="108" zoomScaleNormal="160" workbookViewId="0">
      <selection activeCell="O7" sqref="O7"/>
    </sheetView>
  </sheetViews>
  <sheetFormatPr defaultRowHeight="14.25" x14ac:dyDescent="0.45"/>
  <cols>
    <col min="1" max="3" width="11.796875" customWidth="1"/>
    <col min="4" max="4" width="10.3984375" customWidth="1"/>
    <col min="5" max="5" width="12" customWidth="1"/>
    <col min="6" max="6" width="11.9296875" customWidth="1"/>
    <col min="8" max="8" width="12.19921875" bestFit="1" customWidth="1"/>
    <col min="11" max="11" width="12.19921875" customWidth="1"/>
    <col min="12" max="12" width="11.53125" customWidth="1"/>
    <col min="14" max="14" width="9.19921875" bestFit="1" customWidth="1"/>
    <col min="15" max="15" width="10" customWidth="1"/>
  </cols>
  <sheetData>
    <row r="1" spans="1:19" ht="18.850000000000001" customHeight="1" thickBot="1" x14ac:dyDescent="0.5">
      <c r="A1" s="89" t="s">
        <v>10</v>
      </c>
      <c r="B1" s="86" t="s">
        <v>26</v>
      </c>
      <c r="C1" s="84" t="s">
        <v>27</v>
      </c>
      <c r="D1" s="84" t="s">
        <v>28</v>
      </c>
      <c r="E1" s="84" t="s">
        <v>29</v>
      </c>
      <c r="F1" s="85" t="s">
        <v>29</v>
      </c>
      <c r="M1" s="2" t="s">
        <v>53</v>
      </c>
    </row>
    <row r="2" spans="1:19" ht="18.75" customHeight="1" x14ac:dyDescent="0.45">
      <c r="A2" s="77">
        <v>1</v>
      </c>
      <c r="B2" s="74">
        <f>ABS(('Таблица 2'!C2 - 'Таблица 4'!B2) - ('Таблица 2'!D2 - 'Таблица 4'!C2))/(('Таблица 2'!B2 - 'Таблица 2'!A2) * 1000)</f>
        <v>1.1538461538461539E-2</v>
      </c>
      <c r="C2" s="79" t="s">
        <v>50</v>
      </c>
      <c r="D2" s="79" t="s">
        <v>45</v>
      </c>
      <c r="E2" s="28">
        <f>(2*('Таблица 3'!C3 - 'Таблица 3'!B3))/(4.94^2 - 1.66^2)</f>
        <v>2.309682187730968E-2</v>
      </c>
      <c r="F2" s="90" t="s">
        <v>54</v>
      </c>
      <c r="M2" s="35">
        <f>E2 * SQRT(((0.005)^2 + (0.005)^2)/(('Таблица 3'!C3 - 'Таблица 3'!B3)^2) + 4*((1.66*0.2)^2 + (4.94*0.157)^2)/((4.94^2 - 1.66^2)^2))</f>
        <v>1.915096284427324E-3</v>
      </c>
    </row>
    <row r="3" spans="1:19" ht="18.850000000000001" customHeight="1" x14ac:dyDescent="0.45">
      <c r="A3" s="8">
        <v>2</v>
      </c>
      <c r="B3" s="87">
        <f>ABS(('Таблица 2'!C2 - 'Таблица 4'!B7) - ('Таблица 2'!D2 - 'Таблица 4'!C7))/(('Таблица 2'!B2 - 'Таблица 2'!A2) * 1000)</f>
        <v>2.3076923076923078E-2</v>
      </c>
      <c r="C3" s="2" t="s">
        <v>51</v>
      </c>
      <c r="D3" s="2" t="s">
        <v>46</v>
      </c>
      <c r="E3" s="37">
        <f>(2*('Таблица 3'!C4 - 'Таблица 3'!B4))/(3.42^2 - 1.2^2)</f>
        <v>6.8250068250068255E-2</v>
      </c>
      <c r="F3" s="6" t="s">
        <v>55</v>
      </c>
      <c r="M3" s="35">
        <f>E3 * SQRT(((0.005)^2 + (0.005)^2)/(('Таблица 3'!C4 - 'Таблица 3'!B4)^2) + 4*((1.2*0.11)^2 + (3.42*0.124)^2)/((3.43^2 - 1.2^2)^2))</f>
        <v>6.0315789464860953E-3</v>
      </c>
    </row>
    <row r="4" spans="1:19" ht="18.850000000000001" customHeight="1" x14ac:dyDescent="0.45">
      <c r="A4" s="8">
        <v>3</v>
      </c>
      <c r="B4" s="87">
        <f>ABS(('Таблица 2'!C2 - 'Таблица 4'!B12) - ('Таблица 2'!D2 - 'Таблица 4'!C12))/(('Таблица 2'!B2 - 'Таблица 2'!A2) * 1000)</f>
        <v>3.4615384615384617E-2</v>
      </c>
      <c r="C4" s="2" t="s">
        <v>38</v>
      </c>
      <c r="D4" s="2" t="s">
        <v>52</v>
      </c>
      <c r="E4" s="37">
        <f>(2*('Таблица 3'!C5 - 'Таблица 3'!B5))/(2.74^2 - 0.98^2)</f>
        <v>0.168010752688172</v>
      </c>
      <c r="F4" s="6" t="s">
        <v>56</v>
      </c>
      <c r="M4" s="35">
        <f>E4 * SQRT(((0.005)^2 + (0.005)^2)/(('Таблица 3'!C5 - 'Таблица 3'!B5)^2) + 4*((0.98*0.087)^2 + (2.74*0.13)^2)/((2.74^2 - 0.98^2)^2))</f>
        <v>1.8921326820388572E-2</v>
      </c>
    </row>
    <row r="5" spans="1:19" ht="18.850000000000001" customHeight="1" x14ac:dyDescent="0.45">
      <c r="A5" s="8">
        <v>4</v>
      </c>
      <c r="B5" s="87">
        <f>ABS(('Таблица 2'!C2 - 'Таблица 4'!B17) - ('Таблица 2'!D2 - 'Таблица 4'!C17))/(('Таблица 2'!B2 - 'Таблица 2'!A2) * 1000)</f>
        <v>4.4871794871794872E-2</v>
      </c>
      <c r="C5" s="2" t="s">
        <v>39</v>
      </c>
      <c r="D5" s="2" t="s">
        <v>47</v>
      </c>
      <c r="E5" s="37">
        <f>(2*('Таблица 3'!C6 - 'Таблица 3'!B6))/(2.42^2 - 0.88^2)</f>
        <v>0.29515938606847697</v>
      </c>
      <c r="F5" s="6" t="s">
        <v>58</v>
      </c>
      <c r="M5" s="35">
        <f>E5 * SQRT(((0.005)^2 + (0.005)^2)/(('Таблица 3'!C6 - 'Таблица 3'!B6)^2) + 4*((0.88*0.087)^2 + (2.42*0.087)^2)/((2.42^2 - 0.88^2)^2))</f>
        <v>2.6171175569119277E-2</v>
      </c>
    </row>
    <row r="6" spans="1:19" ht="18.850000000000001" customHeight="1" thickBot="1" x14ac:dyDescent="0.5">
      <c r="A6" s="13">
        <v>5</v>
      </c>
      <c r="B6" s="88">
        <f>ABS(('Таблица 2'!C2 - 'Таблица 4'!B22) - ('Таблица 2'!D2 - 'Таблица 4'!C22))/(('Таблица 2'!B2 - 'Таблица 2'!A2) * 1000)</f>
        <v>5.5128205128205127E-2</v>
      </c>
      <c r="C6" s="9" t="s">
        <v>40</v>
      </c>
      <c r="D6" s="9" t="s">
        <v>48</v>
      </c>
      <c r="E6" s="83">
        <f>(2*('Таблица 3'!C7 - 'Таблица 3'!B7))/(2.14^2 - 0.76^2)</f>
        <v>0.47476261869065473</v>
      </c>
      <c r="F6" s="10" t="s">
        <v>57</v>
      </c>
      <c r="M6" s="28">
        <f>E6 * SQRT(((0.005)^2 + (0.005)^2)/(('Таблица 3'!C7 - 'Таблица 3'!B7)^2) + 4*((0.76*0.095)^2 + (2.14*0.095)^2)/((2.14^2 - 0.76^2)^2))</f>
        <v>5.1308874690214661E-2</v>
      </c>
    </row>
    <row r="8" spans="1:19" x14ac:dyDescent="0.45">
      <c r="M8" t="s">
        <v>62</v>
      </c>
      <c r="P8" t="s">
        <v>64</v>
      </c>
    </row>
    <row r="9" spans="1:19" ht="14.65" thickBot="1" x14ac:dyDescent="0.5">
      <c r="A9" t="s">
        <v>49</v>
      </c>
      <c r="M9">
        <v>1E-3</v>
      </c>
    </row>
    <row r="10" spans="1:19" ht="14.65" thickBot="1" x14ac:dyDescent="0.5">
      <c r="A10" s="14" t="s">
        <v>10</v>
      </c>
      <c r="B10" s="15" t="s">
        <v>11</v>
      </c>
      <c r="C10" s="15" t="s">
        <v>12</v>
      </c>
      <c r="D10" s="15" t="s">
        <v>2</v>
      </c>
      <c r="E10" s="15" t="s">
        <v>8</v>
      </c>
      <c r="F10" s="38" t="s">
        <v>9</v>
      </c>
      <c r="G10" s="114" t="s">
        <v>30</v>
      </c>
      <c r="H10" s="114"/>
      <c r="I10" s="114" t="s">
        <v>31</v>
      </c>
      <c r="J10" s="114"/>
      <c r="K10" s="2" t="s">
        <v>32</v>
      </c>
      <c r="L10" s="33" t="s">
        <v>37</v>
      </c>
      <c r="M10" s="2" t="s">
        <v>66</v>
      </c>
      <c r="N10" s="2" t="s">
        <v>63</v>
      </c>
      <c r="O10" s="2" t="s">
        <v>65</v>
      </c>
      <c r="P10" s="45" t="s">
        <v>70</v>
      </c>
      <c r="Q10" s="59">
        <f>(SUM(O11:O15) - 1/5*SUM(N11:N15)*SUM(B2:B6))/(SUM(M11:M15) - 1/5*(SUM(B2:B6))^2)</f>
        <v>9.7999999999999972</v>
      </c>
      <c r="R10" s="65" t="s">
        <v>68</v>
      </c>
      <c r="S10" s="65" t="s">
        <v>72</v>
      </c>
    </row>
    <row r="11" spans="1:19" x14ac:dyDescent="0.45">
      <c r="A11" s="99">
        <v>1</v>
      </c>
      <c r="B11" s="110">
        <v>201</v>
      </c>
      <c r="C11" s="107">
        <v>192</v>
      </c>
      <c r="D11" s="7">
        <v>1</v>
      </c>
      <c r="E11" s="11">
        <v>1.5</v>
      </c>
      <c r="F11" s="39">
        <v>4.8</v>
      </c>
      <c r="G11" s="45" t="s">
        <v>33</v>
      </c>
      <c r="H11" s="48">
        <f>SUM(E11:E15)/5</f>
        <v>1.6599999999999997</v>
      </c>
      <c r="I11" s="45" t="s">
        <v>41</v>
      </c>
      <c r="J11" s="48">
        <f>SUM(F11:F15)/5</f>
        <v>4.9399999999999995</v>
      </c>
      <c r="K11" s="55">
        <f>(E11-$H$11)^2</f>
        <v>2.5599999999999904E-2</v>
      </c>
      <c r="L11" s="34">
        <f>(F11-$J$11)^2</f>
        <v>1.9599999999999909E-2</v>
      </c>
      <c r="M11" s="35">
        <f>B2^2</f>
        <v>1.3313609467455623E-4</v>
      </c>
      <c r="N11" s="35">
        <f>9.8*(B2-$M$9)</f>
        <v>0.10327692307692309</v>
      </c>
      <c r="O11" s="35">
        <f>N11*B2</f>
        <v>1.1916568047337279E-3</v>
      </c>
      <c r="P11" s="47" t="s">
        <v>71</v>
      </c>
      <c r="Q11" s="64">
        <f xml:space="preserve"> -1 * 1/5*(SUM(N11:N15) - Q10*SUM(B2:B6))</f>
        <v>9.7999999999998991E-3</v>
      </c>
      <c r="R11" s="34">
        <f>N11 - ($Q$11 + $Q$10 * B2)</f>
        <v>-1.9599999999999854E-2</v>
      </c>
      <c r="S11" s="44">
        <f>R11^2</f>
        <v>3.8415999999999429E-4</v>
      </c>
    </row>
    <row r="12" spans="1:19" x14ac:dyDescent="0.45">
      <c r="A12" s="113"/>
      <c r="B12" s="111"/>
      <c r="C12" s="108"/>
      <c r="D12" s="8">
        <v>2</v>
      </c>
      <c r="E12" s="3">
        <v>1.5</v>
      </c>
      <c r="F12" s="40">
        <v>4.9000000000000004</v>
      </c>
      <c r="G12" s="46" t="s">
        <v>34</v>
      </c>
      <c r="H12" s="49">
        <f>SQRT((SUM(K11:K15))/(5*(5-1)))</f>
        <v>6.7823299831252695E-2</v>
      </c>
      <c r="I12" s="46" t="s">
        <v>42</v>
      </c>
      <c r="J12" s="49">
        <f>SQRT((SUM(L11:L15))/(5*(5-1)))</f>
        <v>5.0990195135927785E-2</v>
      </c>
      <c r="K12" s="56">
        <f t="shared" ref="K12:K15" si="0">(E12-$H$11)^2</f>
        <v>2.5599999999999904E-2</v>
      </c>
      <c r="L12" s="35">
        <f t="shared" ref="L12:L15" si="1">(F12-$J$11)^2</f>
        <v>1.5999999999999318E-3</v>
      </c>
      <c r="M12" s="35">
        <f t="shared" ref="M12:M15" si="2">B3^2</f>
        <v>5.3254437869822494E-4</v>
      </c>
      <c r="N12" s="35">
        <f t="shared" ref="N12:N15" si="3">9.8*(B3-$M$9)</f>
        <v>0.21635384615384617</v>
      </c>
      <c r="O12" s="35">
        <f t="shared" ref="O12:O15" si="4">N12*B3</f>
        <v>4.9927810650887581E-3</v>
      </c>
      <c r="P12" s="63" t="s">
        <v>69</v>
      </c>
      <c r="Q12" s="58">
        <f>SUM(M11:M15) - 1/5*(SUM(B2:B6))^2</f>
        <v>1.1886916502301106E-3</v>
      </c>
      <c r="R12" s="35">
        <f t="shared" ref="R12:R15" si="5">N12 - ($Q$11 + $Q$10 * B3)</f>
        <v>-1.9599999999999812E-2</v>
      </c>
      <c r="S12" s="43">
        <f t="shared" ref="S12:S15" si="6">R12^2</f>
        <v>3.8415999999999261E-4</v>
      </c>
    </row>
    <row r="13" spans="1:19" x14ac:dyDescent="0.45">
      <c r="A13" s="113"/>
      <c r="B13" s="111"/>
      <c r="C13" s="108"/>
      <c r="D13" s="8">
        <v>3</v>
      </c>
      <c r="E13" s="3">
        <v>1.8</v>
      </c>
      <c r="F13" s="40">
        <v>5.0999999999999996</v>
      </c>
      <c r="G13" s="46" t="s">
        <v>35</v>
      </c>
      <c r="H13" s="49">
        <f>2.78*H12</f>
        <v>0.18854877353088248</v>
      </c>
      <c r="I13" s="46" t="s">
        <v>43</v>
      </c>
      <c r="J13" s="49">
        <f>2.78*J12</f>
        <v>0.14175274247787922</v>
      </c>
      <c r="K13" s="56">
        <f t="shared" si="0"/>
        <v>1.9600000000000097E-2</v>
      </c>
      <c r="L13" s="35">
        <f t="shared" si="1"/>
        <v>2.5600000000000046E-2</v>
      </c>
      <c r="M13" s="35">
        <f t="shared" si="2"/>
        <v>1.1982248520710061E-3</v>
      </c>
      <c r="N13" s="35">
        <f t="shared" si="3"/>
        <v>0.32943076923076925</v>
      </c>
      <c r="O13" s="35">
        <f t="shared" si="4"/>
        <v>1.140337278106509E-2</v>
      </c>
      <c r="P13" s="63" t="s">
        <v>67</v>
      </c>
      <c r="Q13" s="58">
        <f>SQRT((SUM(S11:S15))/(Q12*(5-2)))</f>
        <v>0.73391512855996799</v>
      </c>
      <c r="R13" s="35">
        <f t="shared" si="5"/>
        <v>-1.959999999999984E-2</v>
      </c>
      <c r="S13" s="43">
        <f t="shared" si="6"/>
        <v>3.8415999999999369E-4</v>
      </c>
    </row>
    <row r="14" spans="1:19" x14ac:dyDescent="0.45">
      <c r="A14" s="113"/>
      <c r="B14" s="111"/>
      <c r="C14" s="108"/>
      <c r="D14" s="8">
        <v>4</v>
      </c>
      <c r="E14" s="3">
        <v>1.8</v>
      </c>
      <c r="F14" s="41">
        <v>5</v>
      </c>
      <c r="G14" s="46" t="s">
        <v>36</v>
      </c>
      <c r="H14" s="49">
        <f>SQRT(H13^2 + (2/3 * 0.1)^2)</f>
        <v>0.19998771073354596</v>
      </c>
      <c r="I14" s="46" t="s">
        <v>44</v>
      </c>
      <c r="J14" s="49">
        <f>SQRT(J13^2 + (2/3 * 0.1)^2)</f>
        <v>0.15664700585853658</v>
      </c>
      <c r="K14" s="56">
        <f t="shared" si="0"/>
        <v>1.9600000000000097E-2</v>
      </c>
      <c r="L14" s="35">
        <f t="shared" si="1"/>
        <v>3.6000000000000597E-3</v>
      </c>
      <c r="M14" s="35">
        <f t="shared" si="2"/>
        <v>2.0134779750164366E-3</v>
      </c>
      <c r="N14" s="35">
        <f t="shared" si="3"/>
        <v>0.42994358974358976</v>
      </c>
      <c r="O14" s="35">
        <f t="shared" si="4"/>
        <v>1.9292340565417489E-2</v>
      </c>
      <c r="P14" s="36" t="s">
        <v>73</v>
      </c>
      <c r="Q14" s="58">
        <f>2*Q13</f>
        <v>1.467830257119936</v>
      </c>
      <c r="R14" s="35">
        <f t="shared" si="5"/>
        <v>-1.9599999999999784E-2</v>
      </c>
      <c r="S14" s="43">
        <f t="shared" si="6"/>
        <v>3.8415999999999152E-4</v>
      </c>
    </row>
    <row r="15" spans="1:19" ht="14.65" thickBot="1" x14ac:dyDescent="0.5">
      <c r="A15" s="100"/>
      <c r="B15" s="112"/>
      <c r="C15" s="109"/>
      <c r="D15" s="13">
        <v>5</v>
      </c>
      <c r="E15" s="12">
        <v>1.7</v>
      </c>
      <c r="F15" s="42">
        <v>4.9000000000000004</v>
      </c>
      <c r="G15" s="47"/>
      <c r="H15" s="50"/>
      <c r="I15" s="47"/>
      <c r="J15" s="50"/>
      <c r="K15" s="56">
        <f t="shared" si="0"/>
        <v>1.6000000000000207E-3</v>
      </c>
      <c r="L15" s="28">
        <f t="shared" si="1"/>
        <v>1.5999999999999318E-3</v>
      </c>
      <c r="M15" s="28">
        <f t="shared" si="2"/>
        <v>3.0391190006574622E-3</v>
      </c>
      <c r="N15" s="28">
        <f t="shared" si="3"/>
        <v>0.53045641025641022</v>
      </c>
      <c r="O15" s="28">
        <f t="shared" si="4"/>
        <v>2.9243109796186717E-2</v>
      </c>
      <c r="P15" s="47" t="s">
        <v>74</v>
      </c>
      <c r="Q15" s="75">
        <f>Q14/Q10 * 100%</f>
        <v>0.14977859766529963</v>
      </c>
      <c r="R15" s="28">
        <f t="shared" si="5"/>
        <v>-1.959999999999984E-2</v>
      </c>
      <c r="S15" s="74">
        <f t="shared" si="6"/>
        <v>3.8415999999999369E-4</v>
      </c>
    </row>
    <row r="16" spans="1:19" x14ac:dyDescent="0.45">
      <c r="A16" s="99">
        <v>2</v>
      </c>
      <c r="B16" s="110">
        <v>211</v>
      </c>
      <c r="C16" s="107">
        <v>193</v>
      </c>
      <c r="D16" s="7">
        <v>1</v>
      </c>
      <c r="E16" s="11">
        <v>1.2</v>
      </c>
      <c r="F16" s="39">
        <v>3.5</v>
      </c>
      <c r="G16" s="45" t="s">
        <v>33</v>
      </c>
      <c r="H16" s="48">
        <f>SUM(E16:E20)/5</f>
        <v>1.2</v>
      </c>
      <c r="I16" s="45" t="s">
        <v>41</v>
      </c>
      <c r="J16" s="57">
        <f>SUM(F16:F20)/5</f>
        <v>3.4199999999999995</v>
      </c>
      <c r="K16" s="34">
        <f>(E16 - $H$16)^2</f>
        <v>0</v>
      </c>
      <c r="L16" s="43">
        <f>(F16-$J$16)^2</f>
        <v>6.4000000000000827E-3</v>
      </c>
      <c r="M16" s="91" t="s">
        <v>75</v>
      </c>
      <c r="N16" s="92">
        <v>9.8194999999999997</v>
      </c>
    </row>
    <row r="17" spans="1:15" x14ac:dyDescent="0.45">
      <c r="A17" s="113"/>
      <c r="B17" s="111"/>
      <c r="C17" s="108"/>
      <c r="D17" s="8">
        <v>2</v>
      </c>
      <c r="E17" s="3">
        <v>1.1000000000000001</v>
      </c>
      <c r="F17" s="40">
        <v>3.3</v>
      </c>
      <c r="G17" s="46" t="s">
        <v>34</v>
      </c>
      <c r="H17" s="49">
        <f>SQRT((SUM(K16:K20))/(5*(5-1)))</f>
        <v>3.1622776601683784E-2</v>
      </c>
      <c r="I17" s="46" t="s">
        <v>42</v>
      </c>
      <c r="J17" s="52">
        <f>SQRT((SUM(L16:L20))/(5*(5-1)))</f>
        <v>3.7416573867739451E-2</v>
      </c>
      <c r="K17" s="35">
        <f>(E17 - $H$16)^2</f>
        <v>9.9999999999999742E-3</v>
      </c>
      <c r="L17" s="43">
        <f t="shared" ref="L17:L20" si="7">(F17-$J$16)^2</f>
        <v>1.439999999999992E-2</v>
      </c>
      <c r="M17" t="s">
        <v>76</v>
      </c>
      <c r="O17" s="58">
        <f xml:space="preserve"> ABS(Q10 - N16)</f>
        <v>1.9500000000002515E-2</v>
      </c>
    </row>
    <row r="18" spans="1:15" x14ac:dyDescent="0.45">
      <c r="A18" s="113"/>
      <c r="B18" s="111"/>
      <c r="C18" s="108"/>
      <c r="D18" s="8">
        <v>3</v>
      </c>
      <c r="E18" s="3">
        <v>1.2</v>
      </c>
      <c r="F18" s="40">
        <v>3.4</v>
      </c>
      <c r="G18" s="46" t="s">
        <v>35</v>
      </c>
      <c r="H18" s="49">
        <f>2.78*H17</f>
        <v>8.7911318952680909E-2</v>
      </c>
      <c r="I18" s="46" t="s">
        <v>43</v>
      </c>
      <c r="J18" s="58">
        <f>2.78*J17</f>
        <v>0.10401807535231566</v>
      </c>
      <c r="K18" s="35">
        <f>(E18 - $H$16)^2</f>
        <v>0</v>
      </c>
      <c r="L18" s="43">
        <f t="shared" si="7"/>
        <v>3.9999999999998294E-4</v>
      </c>
    </row>
    <row r="19" spans="1:15" x14ac:dyDescent="0.45">
      <c r="A19" s="113"/>
      <c r="B19" s="111"/>
      <c r="C19" s="108"/>
      <c r="D19" s="8">
        <v>4</v>
      </c>
      <c r="E19" s="3">
        <v>1.3</v>
      </c>
      <c r="F19" s="40">
        <v>3.5</v>
      </c>
      <c r="G19" s="46" t="s">
        <v>36</v>
      </c>
      <c r="H19" s="49">
        <f>SQRT(H18^2 + (2/3 * 0.1)^2)</f>
        <v>0.11033061426659618</v>
      </c>
      <c r="I19" s="46" t="s">
        <v>44</v>
      </c>
      <c r="J19" s="58">
        <f>SQRT(J18^2 + (2/3 * 0.1)^2)</f>
        <v>0.12354838908073412</v>
      </c>
      <c r="K19" s="35">
        <f t="shared" ref="K19:K20" si="8">(E19 - $H$16)^2</f>
        <v>1.0000000000000018E-2</v>
      </c>
      <c r="L19" s="43">
        <f t="shared" si="7"/>
        <v>6.4000000000000827E-3</v>
      </c>
    </row>
    <row r="20" spans="1:15" ht="14.65" thickBot="1" x14ac:dyDescent="0.5">
      <c r="A20" s="100"/>
      <c r="B20" s="112"/>
      <c r="C20" s="109"/>
      <c r="D20" s="13">
        <v>5</v>
      </c>
      <c r="E20" s="12">
        <v>1.2</v>
      </c>
      <c r="F20" s="42">
        <v>3.4</v>
      </c>
      <c r="G20" s="47"/>
      <c r="H20" s="51"/>
      <c r="I20" s="53"/>
      <c r="J20" s="54"/>
      <c r="K20" s="28">
        <f t="shared" si="8"/>
        <v>0</v>
      </c>
      <c r="L20" s="43">
        <f t="shared" si="7"/>
        <v>3.9999999999998294E-4</v>
      </c>
    </row>
    <row r="21" spans="1:15" x14ac:dyDescent="0.45">
      <c r="A21" s="99">
        <v>3</v>
      </c>
      <c r="B21" s="110">
        <v>221</v>
      </c>
      <c r="C21" s="107">
        <v>194</v>
      </c>
      <c r="D21" s="7">
        <v>1</v>
      </c>
      <c r="E21" s="17">
        <v>1</v>
      </c>
      <c r="F21" s="39">
        <v>2.8</v>
      </c>
      <c r="G21" s="45" t="s">
        <v>33</v>
      </c>
      <c r="H21" s="48">
        <f>SUM(E21:E25)/5</f>
        <v>0.98000000000000009</v>
      </c>
      <c r="I21" s="45" t="s">
        <v>41</v>
      </c>
      <c r="J21" s="59">
        <f>SUM(F21:F25)/5</f>
        <v>2.7399999999999998</v>
      </c>
      <c r="K21" s="55">
        <f>(E21-$H$21)^2</f>
        <v>3.9999999999999628E-4</v>
      </c>
      <c r="L21" s="34">
        <f>(F21-$J$21)^2</f>
        <v>3.6000000000000064E-3</v>
      </c>
    </row>
    <row r="22" spans="1:15" x14ac:dyDescent="0.45">
      <c r="A22" s="113"/>
      <c r="B22" s="111"/>
      <c r="C22" s="108"/>
      <c r="D22" s="8">
        <v>2</v>
      </c>
      <c r="E22" s="18">
        <v>1</v>
      </c>
      <c r="F22" s="40">
        <v>2.7</v>
      </c>
      <c r="G22" s="46" t="s">
        <v>34</v>
      </c>
      <c r="H22" s="49">
        <f>SQRT((SUM(K21:K25))/(5*(5-1)))</f>
        <v>1.9999999999999997E-2</v>
      </c>
      <c r="I22" s="46" t="s">
        <v>42</v>
      </c>
      <c r="J22" s="58">
        <f>SQRT((SUM(L21:L25))/(5*(5-1)))</f>
        <v>3.9999999999999938E-2</v>
      </c>
      <c r="K22" s="56">
        <f t="shared" ref="K22:K25" si="9">(E22-$H$21)^2</f>
        <v>3.9999999999999628E-4</v>
      </c>
      <c r="L22" s="35">
        <f t="shared" ref="L22:L25" si="10">(F22-$J$21)^2</f>
        <v>1.5999999999999673E-3</v>
      </c>
    </row>
    <row r="23" spans="1:15" x14ac:dyDescent="0.45">
      <c r="A23" s="113"/>
      <c r="B23" s="111"/>
      <c r="C23" s="108"/>
      <c r="D23" s="8">
        <v>3</v>
      </c>
      <c r="E23" s="3">
        <v>0.9</v>
      </c>
      <c r="F23" s="40">
        <v>2.6</v>
      </c>
      <c r="G23" s="46" t="s">
        <v>35</v>
      </c>
      <c r="H23" s="52">
        <f>2.78*H22</f>
        <v>5.559999999999999E-2</v>
      </c>
      <c r="I23" s="46" t="s">
        <v>43</v>
      </c>
      <c r="J23" s="58">
        <f>2.78*J22</f>
        <v>0.11119999999999983</v>
      </c>
      <c r="K23" s="56">
        <f t="shared" si="9"/>
        <v>6.4000000000000116E-3</v>
      </c>
      <c r="L23" s="35">
        <f t="shared" si="10"/>
        <v>1.9599999999999909E-2</v>
      </c>
    </row>
    <row r="24" spans="1:15" x14ac:dyDescent="0.45">
      <c r="A24" s="113"/>
      <c r="B24" s="111"/>
      <c r="C24" s="108"/>
      <c r="D24" s="8">
        <v>4</v>
      </c>
      <c r="E24" s="18">
        <v>1</v>
      </c>
      <c r="F24" s="40">
        <v>2.8</v>
      </c>
      <c r="G24" s="46" t="s">
        <v>36</v>
      </c>
      <c r="H24" s="49">
        <f>SQRT(H23^2 + (2/3 * 0.1)^2)</f>
        <v>8.6809011308990519E-2</v>
      </c>
      <c r="I24" s="46" t="s">
        <v>44</v>
      </c>
      <c r="J24" s="58">
        <f>SQRT(J23^2 + (2/3 * 0.1)^2)</f>
        <v>0.12965293843351336</v>
      </c>
      <c r="K24" s="56">
        <f t="shared" si="9"/>
        <v>3.9999999999999628E-4</v>
      </c>
      <c r="L24" s="35">
        <f t="shared" si="10"/>
        <v>3.6000000000000064E-3</v>
      </c>
    </row>
    <row r="25" spans="1:15" ht="14.65" thickBot="1" x14ac:dyDescent="0.5">
      <c r="A25" s="100"/>
      <c r="B25" s="112"/>
      <c r="C25" s="109"/>
      <c r="D25" s="13">
        <v>5</v>
      </c>
      <c r="E25" s="19">
        <v>1</v>
      </c>
      <c r="F25" s="42">
        <v>2.8</v>
      </c>
      <c r="G25" s="47"/>
      <c r="H25" s="51"/>
      <c r="I25" s="53"/>
      <c r="J25" s="54"/>
      <c r="K25" s="60">
        <f t="shared" si="9"/>
        <v>3.9999999999999628E-4</v>
      </c>
      <c r="L25" s="28">
        <f t="shared" si="10"/>
        <v>3.6000000000000064E-3</v>
      </c>
    </row>
    <row r="26" spans="1:15" x14ac:dyDescent="0.45">
      <c r="A26" s="99">
        <v>4</v>
      </c>
      <c r="B26" s="110">
        <v>230</v>
      </c>
      <c r="C26" s="107">
        <v>195</v>
      </c>
      <c r="D26" s="7">
        <v>1</v>
      </c>
      <c r="E26" s="11">
        <v>0.9</v>
      </c>
      <c r="F26" s="39">
        <v>2.4</v>
      </c>
      <c r="G26" s="45" t="s">
        <v>33</v>
      </c>
      <c r="H26" s="48">
        <f>SUM(E26:E30)/5</f>
        <v>0.88000000000000012</v>
      </c>
      <c r="I26" s="45" t="s">
        <v>41</v>
      </c>
      <c r="J26" s="61">
        <f>SUM(F26:F30)/5</f>
        <v>2.42</v>
      </c>
      <c r="K26" s="35">
        <f>(E26-$H$26)^2</f>
        <v>3.9999999999999628E-4</v>
      </c>
      <c r="L26" s="35">
        <f>(F26-$J$26)^2</f>
        <v>4.0000000000000072E-4</v>
      </c>
    </row>
    <row r="27" spans="1:15" x14ac:dyDescent="0.45">
      <c r="A27" s="113"/>
      <c r="B27" s="111"/>
      <c r="C27" s="108"/>
      <c r="D27" s="8">
        <v>2</v>
      </c>
      <c r="E27" s="3">
        <v>0.8</v>
      </c>
      <c r="F27" s="40">
        <v>2.4</v>
      </c>
      <c r="G27" s="46" t="s">
        <v>34</v>
      </c>
      <c r="H27" s="49">
        <f>SQRT((SUM(K26:K30))/(5*(5-1)))</f>
        <v>1.9999999999999993E-2</v>
      </c>
      <c r="I27" s="46" t="s">
        <v>42</v>
      </c>
      <c r="J27" s="62">
        <f>SQRT((SUM(L26:L30))/(5*(5-1)))</f>
        <v>2.0000000000000018E-2</v>
      </c>
      <c r="K27" s="35">
        <f t="shared" ref="K27:K30" si="11">(E27-$H$26)^2</f>
        <v>6.4000000000000116E-3</v>
      </c>
      <c r="L27" s="35">
        <f t="shared" ref="L27:L30" si="12">(F27-$J$26)^2</f>
        <v>4.0000000000000072E-4</v>
      </c>
    </row>
    <row r="28" spans="1:15" x14ac:dyDescent="0.45">
      <c r="A28" s="113"/>
      <c r="B28" s="111"/>
      <c r="C28" s="108"/>
      <c r="D28" s="8">
        <v>3</v>
      </c>
      <c r="E28" s="3">
        <v>0.9</v>
      </c>
      <c r="F28" s="40">
        <v>2.5</v>
      </c>
      <c r="G28" s="46" t="s">
        <v>35</v>
      </c>
      <c r="H28" s="49">
        <f>2.78*H27</f>
        <v>5.5599999999999976E-2</v>
      </c>
      <c r="I28" s="46" t="s">
        <v>43</v>
      </c>
      <c r="J28" s="62">
        <f>2.78*J27</f>
        <v>5.5600000000000045E-2</v>
      </c>
      <c r="K28" s="35">
        <f t="shared" si="11"/>
        <v>3.9999999999999628E-4</v>
      </c>
      <c r="L28" s="35">
        <f t="shared" si="12"/>
        <v>6.4000000000000116E-3</v>
      </c>
    </row>
    <row r="29" spans="1:15" x14ac:dyDescent="0.45">
      <c r="A29" s="113"/>
      <c r="B29" s="111"/>
      <c r="C29" s="108"/>
      <c r="D29" s="8">
        <v>4</v>
      </c>
      <c r="E29" s="3">
        <v>0.9</v>
      </c>
      <c r="F29" s="40">
        <v>2.4</v>
      </c>
      <c r="G29" s="46" t="s">
        <v>36</v>
      </c>
      <c r="H29" s="49">
        <f>SQRT(H28^2 + (2/3 * 0.1)^2)</f>
        <v>8.6809011308990505E-2</v>
      </c>
      <c r="I29" s="46" t="s">
        <v>44</v>
      </c>
      <c r="J29" s="62">
        <f>SQRT(J28^2 + (2/3 * 0.1)^2)</f>
        <v>8.6809011308990561E-2</v>
      </c>
      <c r="K29" s="35">
        <f t="shared" si="11"/>
        <v>3.9999999999999628E-4</v>
      </c>
      <c r="L29" s="35">
        <f t="shared" si="12"/>
        <v>4.0000000000000072E-4</v>
      </c>
    </row>
    <row r="30" spans="1:15" ht="14.65" thickBot="1" x14ac:dyDescent="0.5">
      <c r="A30" s="100"/>
      <c r="B30" s="112"/>
      <c r="C30" s="109"/>
      <c r="D30" s="13">
        <v>5</v>
      </c>
      <c r="E30" s="12">
        <v>0.9</v>
      </c>
      <c r="F30" s="42">
        <v>2.4</v>
      </c>
      <c r="G30" s="47"/>
      <c r="H30" s="51"/>
      <c r="I30" s="53"/>
      <c r="J30" s="51"/>
      <c r="K30" s="35">
        <f t="shared" si="11"/>
        <v>3.9999999999999628E-4</v>
      </c>
      <c r="L30" s="35">
        <f t="shared" si="12"/>
        <v>4.0000000000000072E-4</v>
      </c>
    </row>
    <row r="31" spans="1:15" x14ac:dyDescent="0.45">
      <c r="A31" s="99">
        <v>5</v>
      </c>
      <c r="B31" s="110">
        <v>238</v>
      </c>
      <c r="C31" s="107">
        <v>195</v>
      </c>
      <c r="D31" s="7">
        <v>1</v>
      </c>
      <c r="E31" s="11">
        <v>0.7</v>
      </c>
      <c r="F31" s="39">
        <v>2.1</v>
      </c>
      <c r="G31" s="45" t="s">
        <v>33</v>
      </c>
      <c r="H31" s="48">
        <f>SUM(E31:E35)/5</f>
        <v>0.76</v>
      </c>
      <c r="I31" s="45" t="s">
        <v>41</v>
      </c>
      <c r="J31" s="59">
        <f>SUM(F31:F35)/5</f>
        <v>2.1399999999999997</v>
      </c>
      <c r="K31" s="55">
        <f>(E31-$H$31)^2</f>
        <v>3.6000000000000064E-3</v>
      </c>
      <c r="L31" s="34">
        <f>(F31-$J$31)^2</f>
        <v>1.5999999999999673E-3</v>
      </c>
    </row>
    <row r="32" spans="1:15" x14ac:dyDescent="0.45">
      <c r="A32" s="113"/>
      <c r="B32" s="111"/>
      <c r="C32" s="108"/>
      <c r="D32" s="8">
        <v>2</v>
      </c>
      <c r="E32" s="3">
        <v>0.8</v>
      </c>
      <c r="F32" s="40">
        <v>2.1</v>
      </c>
      <c r="G32" s="46" t="s">
        <v>34</v>
      </c>
      <c r="H32" s="49">
        <f>SQRT((SUM(K31:K35))/(5*(5-1)))</f>
        <v>2.4494897427831803E-2</v>
      </c>
      <c r="I32" s="46" t="s">
        <v>42</v>
      </c>
      <c r="J32" s="58">
        <f>SQRT((SUM(L31:L35))/(5*(5-1)))</f>
        <v>2.4494897427831803E-2</v>
      </c>
      <c r="K32" s="56">
        <f t="shared" ref="K32:K35" si="13">(E32-$H$31)^2</f>
        <v>1.6000000000000029E-3</v>
      </c>
      <c r="L32" s="35">
        <f t="shared" ref="L32:L35" si="14">(F32-$J$31)^2</f>
        <v>1.5999999999999673E-3</v>
      </c>
    </row>
    <row r="33" spans="1:12" x14ac:dyDescent="0.45">
      <c r="A33" s="113"/>
      <c r="B33" s="111"/>
      <c r="C33" s="108"/>
      <c r="D33" s="8">
        <v>3</v>
      </c>
      <c r="E33" s="3">
        <v>0.7</v>
      </c>
      <c r="F33" s="40">
        <v>2.1</v>
      </c>
      <c r="G33" s="46" t="s">
        <v>35</v>
      </c>
      <c r="H33" s="49">
        <f>2.78*H32</f>
        <v>6.809581484937241E-2</v>
      </c>
      <c r="I33" s="46" t="s">
        <v>43</v>
      </c>
      <c r="J33" s="58">
        <f>2.78*J32</f>
        <v>6.809581484937241E-2</v>
      </c>
      <c r="K33" s="56">
        <f t="shared" si="13"/>
        <v>3.6000000000000064E-3</v>
      </c>
      <c r="L33" s="35">
        <f t="shared" si="14"/>
        <v>1.5999999999999673E-3</v>
      </c>
    </row>
    <row r="34" spans="1:12" x14ac:dyDescent="0.45">
      <c r="A34" s="113"/>
      <c r="B34" s="111"/>
      <c r="C34" s="108"/>
      <c r="D34" s="8">
        <v>4</v>
      </c>
      <c r="E34" s="3">
        <v>0.8</v>
      </c>
      <c r="F34" s="40">
        <v>2.2000000000000002</v>
      </c>
      <c r="G34" s="46" t="s">
        <v>36</v>
      </c>
      <c r="H34" s="49">
        <f>SQRT(H33^2 + (2/3 * 0.1)^2)</f>
        <v>9.5296822845488682E-2</v>
      </c>
      <c r="I34" s="46" t="s">
        <v>44</v>
      </c>
      <c r="J34" s="58">
        <f>SQRT(J33^2 + (2/3 * 0.1)^2)</f>
        <v>9.5296822845488682E-2</v>
      </c>
      <c r="K34" s="56">
        <f t="shared" si="13"/>
        <v>1.6000000000000029E-3</v>
      </c>
      <c r="L34" s="35">
        <f t="shared" si="14"/>
        <v>3.6000000000000597E-3</v>
      </c>
    </row>
    <row r="35" spans="1:12" ht="14.65" thickBot="1" x14ac:dyDescent="0.5">
      <c r="A35" s="100"/>
      <c r="B35" s="112"/>
      <c r="C35" s="109"/>
      <c r="D35" s="13">
        <v>5</v>
      </c>
      <c r="E35" s="12">
        <v>0.8</v>
      </c>
      <c r="F35" s="42">
        <v>2.2000000000000002</v>
      </c>
      <c r="G35" s="47"/>
      <c r="H35" s="51"/>
      <c r="I35" s="53"/>
      <c r="J35" s="54"/>
      <c r="K35" s="60">
        <f t="shared" si="13"/>
        <v>1.6000000000000029E-3</v>
      </c>
      <c r="L35" s="28">
        <f t="shared" si="14"/>
        <v>3.6000000000000597E-3</v>
      </c>
    </row>
  </sheetData>
  <mergeCells count="17">
    <mergeCell ref="C16:C20"/>
    <mergeCell ref="A31:A35"/>
    <mergeCell ref="B31:B35"/>
    <mergeCell ref="C31:C35"/>
    <mergeCell ref="G10:H10"/>
    <mergeCell ref="I10:J10"/>
    <mergeCell ref="A21:A25"/>
    <mergeCell ref="B21:B25"/>
    <mergeCell ref="C21:C25"/>
    <mergeCell ref="A26:A30"/>
    <mergeCell ref="B26:B30"/>
    <mergeCell ref="C26:C30"/>
    <mergeCell ref="A11:A15"/>
    <mergeCell ref="B11:B15"/>
    <mergeCell ref="C11:C15"/>
    <mergeCell ref="A16:A20"/>
    <mergeCell ref="B16:B20"/>
  </mergeCells>
  <conditionalFormatting sqref="G10:H35">
    <cfRule type="cellIs" dxfId="1" priority="2" operator="greaterThan">
      <formula>-1</formula>
    </cfRule>
  </conditionalFormatting>
  <conditionalFormatting sqref="K10:K35">
    <cfRule type="cellIs" dxfId="0" priority="1" operator="greaterThan">
      <formula>-1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Таблица 2</vt:lpstr>
      <vt:lpstr>Таблица 3</vt:lpstr>
      <vt:lpstr>Таблица 4</vt:lpstr>
      <vt:lpstr>Таблица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Gadzhiev</dc:creator>
  <cp:lastModifiedBy>Гаджиев Саид Ильясович</cp:lastModifiedBy>
  <dcterms:created xsi:type="dcterms:W3CDTF">2015-06-05T18:19:34Z</dcterms:created>
  <dcterms:modified xsi:type="dcterms:W3CDTF">2023-09-15T06:33:22Z</dcterms:modified>
</cp:coreProperties>
</file>