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" sheetId="1" r:id="rId4"/>
    <sheet state="visible" name="Ускорение (a)" sheetId="2" r:id="rId5"/>
    <sheet state="visible" name="Угловое ускорение (ε)" sheetId="3" r:id="rId6"/>
    <sheet state="visible" name="Момент силы натяжения (M)" sheetId="4" r:id="rId7"/>
  </sheets>
  <definedNames/>
  <calcPr/>
</workbook>
</file>

<file path=xl/sharedStrings.xml><?xml version="1.0" encoding="utf-8"?>
<sst xmlns="http://schemas.openxmlformats.org/spreadsheetml/2006/main" count="190" uniqueCount="115">
  <si>
    <t>Масса груза, г</t>
  </si>
  <si>
    <t>Положение утяжелителей</t>
  </si>
  <si>
    <t>ср</t>
  </si>
  <si>
    <t>Знаменатель</t>
  </si>
  <si>
    <t>Числитель</t>
  </si>
  <si>
    <t>1 риска</t>
  </si>
  <si>
    <t>2 риска</t>
  </si>
  <si>
    <t>3 риска</t>
  </si>
  <si>
    <t>4 риска</t>
  </si>
  <si>
    <t>5 риска</t>
  </si>
  <si>
    <t>6 риска</t>
  </si>
  <si>
    <t>ε</t>
  </si>
  <si>
    <t>M</t>
  </si>
  <si>
    <t>M_тр</t>
  </si>
  <si>
    <t>I_i</t>
  </si>
  <si>
    <t>Для (1)</t>
  </si>
  <si>
    <t>N_рисок</t>
  </si>
  <si>
    <t>(ε_i - ε_ср)</t>
  </si>
  <si>
    <t>(M_i - M_ср)</t>
  </si>
  <si>
    <t>(ε_i - ε_ср)^2</t>
  </si>
  <si>
    <t>(ε_i - ε_ср) - (M_i - M_ср)</t>
  </si>
  <si>
    <t>(ε_i - ε_ср) * (M_i - M_ср)</t>
  </si>
  <si>
    <t xml:space="preserve">𝑚1
</t>
  </si>
  <si>
    <t>t_1</t>
  </si>
  <si>
    <t>I_1</t>
  </si>
  <si>
    <t>t_2</t>
  </si>
  <si>
    <t>10,51</t>
  </si>
  <si>
    <t>t_3</t>
  </si>
  <si>
    <t>t_ср</t>
  </si>
  <si>
    <t xml:space="preserve">𝑚2
</t>
  </si>
  <si>
    <t>I_2</t>
  </si>
  <si>
    <t>𝑡𝑠(𝑎_дов, 𝑁) =</t>
  </si>
  <si>
    <t>a_дов =</t>
  </si>
  <si>
    <r>
      <rPr>
        <rFont val="Arial"/>
        <color theme="1"/>
      </rPr>
      <t xml:space="preserve">Формула (1) для </t>
    </r>
    <r>
      <rPr>
        <rFont val="Arial"/>
        <i/>
        <color theme="1"/>
      </rPr>
      <t>I_i</t>
    </r>
  </si>
  <si>
    <t xml:space="preserve">𝑚3
</t>
  </si>
  <si>
    <t>N =</t>
  </si>
  <si>
    <t>I_3</t>
  </si>
  <si>
    <t>Δ⟨𝑡⟩пр =</t>
  </si>
  <si>
    <t xml:space="preserve">𝑚4
</t>
  </si>
  <si>
    <t>Δ⟨𝑡⟩сл =</t>
  </si>
  <si>
    <t>I_4</t>
  </si>
  <si>
    <t xml:space="preserve">Δt = </t>
  </si>
  <si>
    <t>I_5</t>
  </si>
  <si>
    <t>Погрешности</t>
  </si>
  <si>
    <r>
      <rPr>
        <rFont val="Arial"/>
        <b/>
        <i/>
        <color theme="1"/>
      </rPr>
      <t xml:space="preserve">d </t>
    </r>
    <r>
      <rPr>
        <rFont val="Arial"/>
        <color theme="1"/>
      </rPr>
      <t>=</t>
    </r>
  </si>
  <si>
    <t>a =</t>
  </si>
  <si>
    <r>
      <rPr>
        <rFont val="Arial"/>
        <b/>
        <i/>
        <color theme="1"/>
      </rPr>
      <t xml:space="preserve">d </t>
    </r>
    <r>
      <rPr>
        <rFont val="Arial"/>
        <color theme="1"/>
      </rPr>
      <t>- это диаметр ступицы</t>
    </r>
  </si>
  <si>
    <t>Δd =</t>
  </si>
  <si>
    <t>I_6</t>
  </si>
  <si>
    <t>ε =</t>
  </si>
  <si>
    <t>g =</t>
  </si>
  <si>
    <t>Δm =</t>
  </si>
  <si>
    <t>M =</t>
  </si>
  <si>
    <t>ℎ =</t>
  </si>
  <si>
    <t>Δℎ =</t>
  </si>
  <si>
    <t xml:space="preserve">m = </t>
  </si>
  <si>
    <t>Δa =</t>
  </si>
  <si>
    <t>Δε =</t>
  </si>
  <si>
    <t>ΔM =</t>
  </si>
  <si>
    <t>ЧАСТЬ С ВЫЧИСЛЕНИЕМ R</t>
  </si>
  <si>
    <t>Кол-во рисок</t>
  </si>
  <si>
    <t>d_i</t>
  </si>
  <si>
    <t>d^2</t>
  </si>
  <si>
    <t>(x_i-xср)^2</t>
  </si>
  <si>
    <t>D</t>
  </si>
  <si>
    <t>(Sb)^2</t>
  </si>
  <si>
    <t>(Sa)^2</t>
  </si>
  <si>
    <t>(Sb)</t>
  </si>
  <si>
    <t>(Sa)</t>
  </si>
  <si>
    <t>Δy = ΔM</t>
  </si>
  <si>
    <t>№</t>
  </si>
  <si>
    <t>l_1</t>
  </si>
  <si>
    <t>l_0</t>
  </si>
  <si>
    <t>b</t>
  </si>
  <si>
    <t>R</t>
  </si>
  <si>
    <t>R^2</t>
  </si>
  <si>
    <t>I</t>
  </si>
  <si>
    <t>Риска 1</t>
  </si>
  <si>
    <t>Риска 2</t>
  </si>
  <si>
    <t>Риска 3</t>
  </si>
  <si>
    <t>Риска 4</t>
  </si>
  <si>
    <t>Риска 5</t>
  </si>
  <si>
    <t>Риска 6</t>
  </si>
  <si>
    <t>n</t>
  </si>
  <si>
    <t>d_i^2</t>
  </si>
  <si>
    <t>R_ср =</t>
  </si>
  <si>
    <t>I_0 =</t>
  </si>
  <si>
    <t>I_ср =</t>
  </si>
  <si>
    <t>R^2_ср =</t>
  </si>
  <si>
    <t>4m_ут =</t>
  </si>
  <si>
    <t>Среднее</t>
  </si>
  <si>
    <t>m_ут =</t>
  </si>
  <si>
    <t>S_I0 =</t>
  </si>
  <si>
    <t>ΔI0 =</t>
  </si>
  <si>
    <t>S_4m_ут =</t>
  </si>
  <si>
    <t>Δ4m_ут =</t>
  </si>
  <si>
    <t>𝑚1</t>
  </si>
  <si>
    <t>𝑚2</t>
  </si>
  <si>
    <t>𝑚3</t>
  </si>
  <si>
    <t>𝑚4</t>
  </si>
  <si>
    <t>Это таблица ускорения (a, м/c^2)</t>
  </si>
  <si>
    <r>
      <rPr>
        <rFont val="Arial"/>
        <color theme="1"/>
      </rPr>
      <t xml:space="preserve">где </t>
    </r>
    <r>
      <rPr>
        <rFont val="Arial"/>
        <b/>
        <i/>
        <color theme="1"/>
      </rPr>
      <t>ℎ</t>
    </r>
    <r>
      <rPr>
        <rFont val="Arial"/>
        <color theme="1"/>
      </rPr>
      <t xml:space="preserve"> - расстояние, пройденное грузом за время 𝑡 от начала движения, т.е. высота нашей установки</t>
    </r>
  </si>
  <si>
    <t>м</t>
  </si>
  <si>
    <t>Это таблица угловое ускорения (ε, с^-2)</t>
  </si>
  <si>
    <r>
      <rPr>
        <rFont val="Arial"/>
        <b/>
        <i/>
        <color theme="1"/>
      </rPr>
      <t xml:space="preserve">d </t>
    </r>
    <r>
      <rPr>
        <rFont val="Arial"/>
        <color theme="1"/>
      </rPr>
      <t>=</t>
    </r>
  </si>
  <si>
    <r>
      <rPr>
        <rFont val="Arial"/>
        <b/>
        <i/>
        <color theme="1"/>
      </rPr>
      <t xml:space="preserve">d </t>
    </r>
    <r>
      <rPr>
        <rFont val="Arial"/>
        <color theme="1"/>
      </rPr>
      <t>- это диаметр ступицы</t>
    </r>
  </si>
  <si>
    <t>Масса грузов, кг</t>
  </si>
  <si>
    <t>m1 =</t>
  </si>
  <si>
    <r>
      <rPr>
        <rFont val="Arial"/>
        <b/>
        <i/>
        <color theme="1"/>
      </rPr>
      <t xml:space="preserve">d </t>
    </r>
    <r>
      <rPr>
        <rFont val="Arial"/>
        <color theme="1"/>
      </rPr>
      <t>=</t>
    </r>
  </si>
  <si>
    <t>m2 =</t>
  </si>
  <si>
    <r>
      <rPr>
        <rFont val="Arial"/>
        <b/>
        <i/>
        <color theme="1"/>
      </rPr>
      <t xml:space="preserve">d </t>
    </r>
    <r>
      <rPr>
        <rFont val="Arial"/>
        <color theme="1"/>
      </rPr>
      <t>- это диаметр ступицы</t>
    </r>
  </si>
  <si>
    <t>m3 =</t>
  </si>
  <si>
    <t>m4 =</t>
  </si>
  <si>
    <t>m_каретки =</t>
  </si>
  <si>
    <t>Это таблица углового ускорения (M, Н*м)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</si>
</sst>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"/>
    <numFmt numFmtId="165" formatCode="0.0000"/>
    <numFmt numFmtId="166" formatCode="0.000"/>
    <numFmt numFmtId="167" formatCode="#,##0.0000"/>
    <numFmt numFmtId="168" formatCode="0.0000000"/>
    <numFmt numFmtId="169" formatCode="0.00000"/>
  </numFmts>
  <fonts count="14">
    <font>
      <sz val="10.0"/>
      <color rgb="FF000000"/>
      <name val="Arial"/>
      <scheme val="minor"/>
    </font>
    <font>
      <sz val="11.0"/>
      <color rgb="FF000000"/>
      <name val="Calibri"/>
    </font>
    <font/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sz val="10.0"/>
      <color rgb="FF1F1F1F"/>
      <name val="&quot;Google Sans&quot;"/>
    </font>
    <font>
      <sz val="10.0"/>
      <color theme="1"/>
      <name val="Arial"/>
      <scheme val="minor"/>
    </font>
    <font>
      <sz val="12.0"/>
      <color rgb="FF000000"/>
      <name val="&quot;Times New Roman&quot;"/>
    </font>
    <font>
      <sz val="11.0"/>
      <color rgb="FF1F1F1F"/>
      <name val="&quot;Google Sans&quot;"/>
    </font>
    <font>
      <sz val="10.0"/>
      <color rgb="FF000000"/>
      <name val="&quot;Google Sans Mono&quot;"/>
    </font>
    <font>
      <b/>
      <i/>
      <sz val="11.0"/>
      <color rgb="FF1F1F1F"/>
      <name val="&quot;Google Sans&quot;"/>
    </font>
    <font>
      <color theme="1"/>
      <name val="Arial"/>
    </font>
    <font>
      <b/>
      <i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ck">
        <color rgb="FFFF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Border="1" applyFont="1"/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2" fontId="6" numFmtId="0" xfId="0" applyAlignment="1" applyBorder="1" applyFill="1" applyFont="1">
      <alignment horizontal="center" readingOrder="0" vertical="center"/>
    </xf>
    <xf borderId="7" fillId="0" fontId="1" numFmtId="0" xfId="0" applyAlignment="1" applyBorder="1" applyFont="1">
      <alignment horizontal="center" readingOrder="0" shrinkToFit="0" vertical="center" wrapText="0"/>
    </xf>
    <xf borderId="6" fillId="0" fontId="1" numFmtId="4" xfId="0" applyAlignment="1" applyBorder="1" applyFont="1" applyNumberFormat="1">
      <alignment horizontal="center" readingOrder="0" shrinkToFit="0" vertical="center" wrapText="0"/>
    </xf>
    <xf borderId="4" fillId="0" fontId="3" numFmtId="0" xfId="0" applyAlignment="1" applyBorder="1" applyFont="1">
      <alignment readingOrder="0"/>
    </xf>
    <xf borderId="4" fillId="0" fontId="7" numFmtId="164" xfId="0" applyAlignment="1" applyBorder="1" applyFont="1" applyNumberFormat="1">
      <alignment horizontal="center"/>
    </xf>
    <xf borderId="4" fillId="0" fontId="3" numFmtId="165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4" fillId="2" fontId="3" numFmtId="164" xfId="0" applyAlignment="1" applyBorder="1" applyFont="1" applyNumberFormat="1">
      <alignment horizontal="center" vertical="center"/>
    </xf>
    <xf borderId="4" fillId="2" fontId="3" numFmtId="166" xfId="0" applyAlignment="1" applyBorder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165" xfId="0" applyAlignment="1" applyBorder="1" applyFont="1" applyNumberFormat="1">
      <alignment horizontal="center" vertical="center"/>
    </xf>
    <xf borderId="7" fillId="0" fontId="2" numFmtId="0" xfId="0" applyBorder="1" applyFont="1"/>
    <xf borderId="3" fillId="0" fontId="1" numFmtId="4" xfId="0" applyAlignment="1" applyBorder="1" applyFont="1" applyNumberFormat="1">
      <alignment horizontal="center" readingOrder="0" shrinkToFit="0" vertical="center" wrapText="0"/>
    </xf>
    <xf borderId="4" fillId="2" fontId="0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7" fillId="0" fontId="3" numFmtId="167" xfId="0" applyAlignment="1" applyBorder="1" applyFont="1" applyNumberFormat="1">
      <alignment horizontal="center"/>
    </xf>
    <xf borderId="8" fillId="0" fontId="1" numFmtId="4" xfId="0" applyAlignment="1" applyBorder="1" applyFont="1" applyNumberFormat="1">
      <alignment horizontal="center" readingOrder="0" shrinkToFit="0" vertical="center" wrapText="0"/>
    </xf>
    <xf borderId="0" fillId="2" fontId="8" numFmtId="0" xfId="0" applyAlignment="1" applyFont="1">
      <alignment readingOrder="0"/>
    </xf>
    <xf borderId="7" fillId="2" fontId="9" numFmtId="0" xfId="0" applyAlignment="1" applyBorder="1" applyFont="1">
      <alignment horizontal="center" readingOrder="0"/>
    </xf>
    <xf borderId="3" fillId="3" fontId="1" numFmtId="4" xfId="0" applyAlignment="1" applyBorder="1" applyFill="1" applyFont="1" applyNumberFormat="1">
      <alignment horizontal="center" readingOrder="0" shrinkToFit="0" vertical="center" wrapText="0"/>
    </xf>
    <xf borderId="4" fillId="4" fontId="3" numFmtId="0" xfId="0" applyAlignment="1" applyBorder="1" applyFill="1" applyFont="1">
      <alignment readingOrder="0"/>
    </xf>
    <xf borderId="5" fillId="0" fontId="3" numFmtId="166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 readingOrder="0" vertical="center"/>
    </xf>
    <xf borderId="4" fillId="4" fontId="3" numFmtId="164" xfId="0" applyAlignment="1" applyBorder="1" applyFont="1" applyNumberFormat="1">
      <alignment horizontal="center" vertical="center"/>
    </xf>
    <xf borderId="4" fillId="4" fontId="3" numFmtId="166" xfId="0" applyAlignment="1" applyBorder="1" applyFont="1" applyNumberFormat="1">
      <alignment horizontal="center" vertical="center"/>
    </xf>
    <xf borderId="4" fillId="4" fontId="3" numFmtId="165" xfId="0" applyAlignment="1" applyBorder="1" applyFont="1" applyNumberFormat="1">
      <alignment horizontal="center" vertical="center"/>
    </xf>
    <xf borderId="0" fillId="2" fontId="3" numFmtId="0" xfId="0" applyAlignment="1" applyFont="1">
      <alignment horizontal="right" readingOrder="0"/>
    </xf>
    <xf borderId="0" fillId="2" fontId="3" numFmtId="166" xfId="0" applyFont="1" applyNumberFormat="1"/>
    <xf borderId="4" fillId="2" fontId="9" numFmtId="0" xfId="0" applyAlignment="1" applyBorder="1" applyFont="1">
      <alignment horizontal="right" readingOrder="0"/>
    </xf>
    <xf borderId="4" fillId="2" fontId="8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 readingOrder="0"/>
    </xf>
    <xf borderId="9" fillId="0" fontId="3" numFmtId="0" xfId="0" applyAlignment="1" applyBorder="1" applyFont="1">
      <alignment horizontal="center" readingOrder="0"/>
    </xf>
    <xf borderId="10" fillId="0" fontId="2" numFmtId="0" xfId="0" applyBorder="1" applyFont="1"/>
    <xf borderId="11" fillId="0" fontId="3" numFmtId="0" xfId="0" applyAlignment="1" applyBorder="1" applyFont="1">
      <alignment horizontal="center"/>
    </xf>
    <xf borderId="8" fillId="0" fontId="2" numFmtId="0" xfId="0" applyBorder="1" applyFont="1"/>
    <xf borderId="4" fillId="0" fontId="3" numFmtId="166" xfId="0" applyAlignment="1" applyBorder="1" applyFont="1" applyNumberFormat="1">
      <alignment horizontal="center" vertical="center"/>
    </xf>
    <xf borderId="11" fillId="0" fontId="2" numFmtId="0" xfId="0" applyBorder="1" applyFont="1"/>
    <xf borderId="4" fillId="0" fontId="3" numFmtId="0" xfId="0" applyAlignment="1" applyBorder="1" applyFont="1">
      <alignment horizontal="right"/>
    </xf>
    <xf borderId="12" fillId="0" fontId="2" numFmtId="0" xfId="0" applyBorder="1" applyFont="1"/>
    <xf borderId="6" fillId="0" fontId="2" numFmtId="0" xfId="0" applyBorder="1" applyFont="1"/>
    <xf borderId="4" fillId="2" fontId="10" numFmtId="168" xfId="0" applyAlignment="1" applyBorder="1" applyFont="1" applyNumberFormat="1">
      <alignment horizontal="right"/>
    </xf>
    <xf borderId="4" fillId="2" fontId="3" numFmtId="168" xfId="0" applyAlignment="1" applyBorder="1" applyFont="1" applyNumberFormat="1">
      <alignment horizontal="right"/>
    </xf>
    <xf borderId="0" fillId="0" fontId="3" numFmtId="0" xfId="0" applyAlignment="1" applyFont="1">
      <alignment horizontal="center" readingOrder="0"/>
    </xf>
    <xf borderId="13" fillId="2" fontId="3" numFmtId="0" xfId="0" applyAlignment="1" applyBorder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4" fillId="0" fontId="3" numFmtId="165" xfId="0" applyAlignment="1" applyBorder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2" fontId="11" numFmtId="0" xfId="0" applyAlignment="1" applyFont="1">
      <alignment horizontal="right" readingOrder="0"/>
    </xf>
    <xf borderId="4" fillId="4" fontId="0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2" fontId="9" numFmtId="0" xfId="0" applyAlignment="1" applyFont="1">
      <alignment horizontal="right" readingOrder="0"/>
    </xf>
    <xf borderId="0" fillId="0" fontId="3" numFmtId="165" xfId="0" applyAlignment="1" applyFont="1" applyNumberFormat="1">
      <alignment horizontal="left"/>
    </xf>
    <xf borderId="0" fillId="2" fontId="0" numFmtId="165" xfId="0" applyAlignment="1" applyFont="1" applyNumberFormat="1">
      <alignment horizontal="left"/>
    </xf>
    <xf borderId="14" fillId="2" fontId="9" numFmtId="0" xfId="0" applyAlignment="1" applyBorder="1" applyFont="1">
      <alignment horizontal="right" readingOrder="0"/>
    </xf>
    <xf borderId="14" fillId="0" fontId="3" numFmtId="165" xfId="0" applyAlignment="1" applyBorder="1" applyFont="1" applyNumberFormat="1">
      <alignment horizontal="left"/>
    </xf>
    <xf borderId="14" fillId="0" fontId="3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vertical="center"/>
    </xf>
    <xf borderId="0" fillId="0" fontId="3" numFmtId="166" xfId="0" applyFont="1" applyNumberFormat="1"/>
    <xf borderId="0" fillId="5" fontId="3" numFmtId="0" xfId="0" applyAlignment="1" applyFill="1" applyFont="1">
      <alignment horizontal="right" readingOrder="0"/>
    </xf>
    <xf borderId="0" fillId="5" fontId="3" numFmtId="169" xfId="0" applyAlignment="1" applyFont="1" applyNumberFormat="1">
      <alignment horizontal="left"/>
    </xf>
    <xf borderId="0" fillId="0" fontId="3" numFmtId="166" xfId="0" applyAlignment="1" applyFont="1" applyNumberFormat="1">
      <alignment horizontal="left"/>
    </xf>
    <xf borderId="0" fillId="5" fontId="3" numFmtId="166" xfId="0" applyAlignment="1" applyFont="1" applyNumberFormat="1">
      <alignment horizontal="left"/>
    </xf>
    <xf borderId="4" fillId="0" fontId="12" numFmtId="0" xfId="0" applyAlignment="1" applyBorder="1" applyFont="1">
      <alignment horizontal="center" vertical="center"/>
    </xf>
    <xf borderId="4" fillId="0" fontId="12" numFmtId="166" xfId="0" applyAlignment="1" applyBorder="1" applyFont="1" applyNumberFormat="1">
      <alignment horizontal="center" vertical="center"/>
    </xf>
    <xf borderId="4" fillId="0" fontId="12" numFmtId="165" xfId="0" applyAlignment="1" applyBorder="1" applyFont="1" applyNumberFormat="1">
      <alignment horizontal="center" vertical="center"/>
    </xf>
    <xf borderId="4" fillId="0" fontId="12" numFmtId="164" xfId="0" applyAlignment="1" applyBorder="1" applyFont="1" applyNumberFormat="1">
      <alignment horizontal="center" vertical="center"/>
    </xf>
    <xf borderId="0" fillId="0" fontId="3" numFmtId="165" xfId="0" applyFont="1" applyNumberFormat="1"/>
    <xf borderId="0" fillId="5" fontId="9" numFmtId="0" xfId="0" applyAlignment="1" applyFont="1">
      <alignment readingOrder="0"/>
    </xf>
    <xf borderId="0" fillId="5" fontId="3" numFmtId="166" xfId="0" applyFont="1" applyNumberFormat="1"/>
    <xf borderId="0" fillId="5" fontId="3" numFmtId="0" xfId="0" applyFont="1"/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6" fillId="0" fontId="1" numFmtId="164" xfId="0" applyAlignment="1" applyBorder="1" applyFont="1" applyNumberFormat="1">
      <alignment horizontal="center" readingOrder="0" shrinkToFit="0" wrapText="0"/>
    </xf>
    <xf borderId="4" fillId="0" fontId="13" numFmtId="0" xfId="0" applyAlignment="1" applyBorder="1" applyFont="1">
      <alignment horizontal="right" readingOrder="0" shrinkToFit="0" vertical="bottom" wrapText="0"/>
    </xf>
    <xf borderId="4" fillId="0" fontId="3" numFmtId="166" xfId="0" applyAlignment="1" applyBorder="1" applyFont="1" applyNumberFormat="1">
      <alignment horizontal="left" readingOrder="0"/>
    </xf>
    <xf borderId="4" fillId="0" fontId="5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3.png"/><Relationship Id="rId22" Type="http://schemas.openxmlformats.org/officeDocument/2006/relationships/image" Target="../media/image15.png"/><Relationship Id="rId21" Type="http://schemas.openxmlformats.org/officeDocument/2006/relationships/image" Target="../media/image16.png"/><Relationship Id="rId24" Type="http://schemas.openxmlformats.org/officeDocument/2006/relationships/image" Target="../media/image6.png"/><Relationship Id="rId23" Type="http://schemas.openxmlformats.org/officeDocument/2006/relationships/image" Target="../media/image11.png"/><Relationship Id="rId1" Type="http://schemas.openxmlformats.org/officeDocument/2006/relationships/image" Target="../media/image27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image" Target="../media/image5.png"/><Relationship Id="rId26" Type="http://schemas.openxmlformats.org/officeDocument/2006/relationships/image" Target="../media/image24.png"/><Relationship Id="rId25" Type="http://schemas.openxmlformats.org/officeDocument/2006/relationships/image" Target="../media/image21.png"/><Relationship Id="rId28" Type="http://schemas.openxmlformats.org/officeDocument/2006/relationships/image" Target="../media/image25.png"/><Relationship Id="rId27" Type="http://schemas.openxmlformats.org/officeDocument/2006/relationships/image" Target="../media/image26.png"/><Relationship Id="rId5" Type="http://schemas.openxmlformats.org/officeDocument/2006/relationships/image" Target="../media/image8.png"/><Relationship Id="rId6" Type="http://schemas.openxmlformats.org/officeDocument/2006/relationships/image" Target="../media/image12.png"/><Relationship Id="rId7" Type="http://schemas.openxmlformats.org/officeDocument/2006/relationships/image" Target="../media/image14.png"/><Relationship Id="rId8" Type="http://schemas.openxmlformats.org/officeDocument/2006/relationships/image" Target="../media/image13.png"/><Relationship Id="rId11" Type="http://schemas.openxmlformats.org/officeDocument/2006/relationships/image" Target="../media/image19.png"/><Relationship Id="rId10" Type="http://schemas.openxmlformats.org/officeDocument/2006/relationships/image" Target="../media/image4.png"/><Relationship Id="rId13" Type="http://schemas.openxmlformats.org/officeDocument/2006/relationships/image" Target="../media/image17.png"/><Relationship Id="rId12" Type="http://schemas.openxmlformats.org/officeDocument/2006/relationships/image" Target="../media/image1.png"/><Relationship Id="rId15" Type="http://schemas.openxmlformats.org/officeDocument/2006/relationships/image" Target="../media/image7.png"/><Relationship Id="rId14" Type="http://schemas.openxmlformats.org/officeDocument/2006/relationships/image" Target="../media/image10.png"/><Relationship Id="rId17" Type="http://schemas.openxmlformats.org/officeDocument/2006/relationships/image" Target="../media/image28.png"/><Relationship Id="rId16" Type="http://schemas.openxmlformats.org/officeDocument/2006/relationships/image" Target="../media/image2.png"/><Relationship Id="rId19" Type="http://schemas.openxmlformats.org/officeDocument/2006/relationships/image" Target="../media/image9.png"/><Relationship Id="rId18" Type="http://schemas.openxmlformats.org/officeDocument/2006/relationships/image" Target="../media/image2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171450</xdr:rowOff>
    </xdr:from>
    <xdr:ext cx="4781550" cy="419100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180975</xdr:rowOff>
    </xdr:from>
    <xdr:ext cx="4781550" cy="58102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200025</xdr:rowOff>
    </xdr:from>
    <xdr:ext cx="7648575" cy="581025"/>
    <xdr:pic>
      <xdr:nvPicPr>
        <xdr:cNvPr id="0" name="image2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11</xdr:row>
      <xdr:rowOff>219075</xdr:rowOff>
    </xdr:from>
    <xdr:ext cx="2000250" cy="419100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14</xdr:row>
      <xdr:rowOff>209550</xdr:rowOff>
    </xdr:from>
    <xdr:ext cx="2000250" cy="419100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952500</xdr:colOff>
      <xdr:row>9</xdr:row>
      <xdr:rowOff>180975</xdr:rowOff>
    </xdr:from>
    <xdr:ext cx="1905000" cy="895350"/>
    <xdr:pic>
      <xdr:nvPicPr>
        <xdr:cNvPr id="0" name="image1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44</xdr:row>
      <xdr:rowOff>104775</xdr:rowOff>
    </xdr:from>
    <xdr:ext cx="933450" cy="266700"/>
    <xdr:pic>
      <xdr:nvPicPr>
        <xdr:cNvPr id="0" name="image1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971550</xdr:colOff>
      <xdr:row>44</xdr:row>
      <xdr:rowOff>104775</xdr:rowOff>
    </xdr:from>
    <xdr:ext cx="933450" cy="266700"/>
    <xdr:pic>
      <xdr:nvPicPr>
        <xdr:cNvPr id="0" name="image1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43</xdr:row>
      <xdr:rowOff>19050</xdr:rowOff>
    </xdr:from>
    <xdr:ext cx="1905000" cy="266700"/>
    <xdr:pic>
      <xdr:nvPicPr>
        <xdr:cNvPr id="0" name="image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43</xdr:row>
      <xdr:rowOff>19050</xdr:rowOff>
    </xdr:from>
    <xdr:ext cx="933450" cy="552450"/>
    <xdr:pic>
      <xdr:nvPicPr>
        <xdr:cNvPr id="0" name="image4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43</xdr:row>
      <xdr:rowOff>152400</xdr:rowOff>
    </xdr:from>
    <xdr:ext cx="1009650" cy="419100"/>
    <xdr:pic>
      <xdr:nvPicPr>
        <xdr:cNvPr id="0" name="image19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1019175</xdr:colOff>
      <xdr:row>44</xdr:row>
      <xdr:rowOff>104775</xdr:rowOff>
    </xdr:from>
    <xdr:ext cx="1123950" cy="266700"/>
    <xdr:pic>
      <xdr:nvPicPr>
        <xdr:cNvPr id="0" name="image1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962025</xdr:colOff>
      <xdr:row>44</xdr:row>
      <xdr:rowOff>133350</xdr:rowOff>
    </xdr:from>
    <xdr:ext cx="933450" cy="219075"/>
    <xdr:pic>
      <xdr:nvPicPr>
        <xdr:cNvPr id="0" name="image17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65</xdr:row>
      <xdr:rowOff>133350</xdr:rowOff>
    </xdr:from>
    <xdr:ext cx="1800225" cy="419100"/>
    <xdr:pic>
      <xdr:nvPicPr>
        <xdr:cNvPr id="0" name="image10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54</xdr:row>
      <xdr:rowOff>190500</xdr:rowOff>
    </xdr:from>
    <xdr:ext cx="1247775" cy="161925"/>
    <xdr:pic>
      <xdr:nvPicPr>
        <xdr:cNvPr id="0" name="image7.png" title="Изображение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104775</xdr:colOff>
      <xdr:row>54</xdr:row>
      <xdr:rowOff>133350</xdr:rowOff>
    </xdr:from>
    <xdr:ext cx="666750" cy="219075"/>
    <xdr:pic>
      <xdr:nvPicPr>
        <xdr:cNvPr id="0" name="image2.png" title="Изображение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95250</xdr:colOff>
      <xdr:row>54</xdr:row>
      <xdr:rowOff>123825</xdr:rowOff>
    </xdr:from>
    <xdr:ext cx="685800" cy="247650"/>
    <xdr:pic>
      <xdr:nvPicPr>
        <xdr:cNvPr id="0" name="image28.png" title="Изображение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54</xdr:row>
      <xdr:rowOff>133350</xdr:rowOff>
    </xdr:from>
    <xdr:ext cx="647700" cy="219075"/>
    <xdr:pic>
      <xdr:nvPicPr>
        <xdr:cNvPr id="0" name="image20.png" title="Изображение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38100</xdr:colOff>
      <xdr:row>67</xdr:row>
      <xdr:rowOff>152400</xdr:rowOff>
    </xdr:from>
    <xdr:ext cx="1800225" cy="219075"/>
    <xdr:pic>
      <xdr:nvPicPr>
        <xdr:cNvPr id="0" name="image9.png" title="Изображение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962025</xdr:colOff>
      <xdr:row>65</xdr:row>
      <xdr:rowOff>133350</xdr:rowOff>
    </xdr:from>
    <xdr:ext cx="1628775" cy="219075"/>
    <xdr:pic>
      <xdr:nvPicPr>
        <xdr:cNvPr id="0" name="image3.png" title="Изображение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952500</xdr:colOff>
      <xdr:row>65</xdr:row>
      <xdr:rowOff>19050</xdr:rowOff>
    </xdr:from>
    <xdr:ext cx="933450" cy="266700"/>
    <xdr:pic>
      <xdr:nvPicPr>
        <xdr:cNvPr id="0" name="image13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952500</xdr:colOff>
      <xdr:row>75</xdr:row>
      <xdr:rowOff>133350</xdr:rowOff>
    </xdr:from>
    <xdr:ext cx="1047750" cy="266700"/>
    <xdr:pic>
      <xdr:nvPicPr>
        <xdr:cNvPr id="0" name="image16.png" title="Изображение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257175</xdr:colOff>
      <xdr:row>74</xdr:row>
      <xdr:rowOff>142875</xdr:rowOff>
    </xdr:from>
    <xdr:ext cx="371475" cy="381000"/>
    <xdr:pic>
      <xdr:nvPicPr>
        <xdr:cNvPr id="0" name="image15.png" title="Изображение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123825</xdr:colOff>
      <xdr:row>74</xdr:row>
      <xdr:rowOff>142875</xdr:rowOff>
    </xdr:from>
    <xdr:ext cx="685800" cy="381000"/>
    <xdr:pic>
      <xdr:nvPicPr>
        <xdr:cNvPr id="0" name="image11.png" title="Изображение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962025</xdr:colOff>
      <xdr:row>74</xdr:row>
      <xdr:rowOff>142875</xdr:rowOff>
    </xdr:from>
    <xdr:ext cx="1047750" cy="381000"/>
    <xdr:pic>
      <xdr:nvPicPr>
        <xdr:cNvPr id="0" name="image6.png" title="Изображение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971550</xdr:colOff>
      <xdr:row>81</xdr:row>
      <xdr:rowOff>47625</xdr:rowOff>
    </xdr:from>
    <xdr:ext cx="1009650" cy="314325"/>
    <xdr:pic>
      <xdr:nvPicPr>
        <xdr:cNvPr id="0" name="image21.png" title="Изображение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238125</xdr:colOff>
      <xdr:row>75</xdr:row>
      <xdr:rowOff>19050</xdr:rowOff>
    </xdr:from>
    <xdr:ext cx="476250" cy="314325"/>
    <xdr:pic>
      <xdr:nvPicPr>
        <xdr:cNvPr id="0" name="image24.png" title="Изображение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419100</xdr:colOff>
      <xdr:row>74</xdr:row>
      <xdr:rowOff>38100</xdr:rowOff>
    </xdr:from>
    <xdr:ext cx="190500" cy="581025"/>
    <xdr:pic>
      <xdr:nvPicPr>
        <xdr:cNvPr id="0" name="image26.png" title="Изображение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295275</xdr:colOff>
      <xdr:row>75</xdr:row>
      <xdr:rowOff>38100</xdr:rowOff>
    </xdr:from>
    <xdr:ext cx="266700" cy="276225"/>
    <xdr:pic>
      <xdr:nvPicPr>
        <xdr:cNvPr id="0" name="image25.png" title="Изображение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209550</xdr:rowOff>
    </xdr:from>
    <xdr:ext cx="942975" cy="857250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7</xdr:row>
      <xdr:rowOff>209550</xdr:rowOff>
    </xdr:from>
    <xdr:ext cx="942975" cy="781050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200025</xdr:rowOff>
    </xdr:from>
    <xdr:ext cx="4800600" cy="16287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88"/>
    <col customWidth="1" min="23" max="23" width="19.63"/>
    <col customWidth="1" min="24" max="24" width="19.75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/>
      <c r="L1" s="6" t="s">
        <v>2</v>
      </c>
      <c r="M1" s="6" t="s">
        <v>2</v>
      </c>
      <c r="V1" s="7" t="s">
        <v>3</v>
      </c>
      <c r="W1" s="7"/>
      <c r="X1" s="7" t="s">
        <v>4</v>
      </c>
    </row>
    <row r="2">
      <c r="A2" s="8"/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8"/>
      <c r="L2" s="6" t="s">
        <v>11</v>
      </c>
      <c r="M2" s="6" t="s">
        <v>12</v>
      </c>
      <c r="P2" s="10" t="s">
        <v>13</v>
      </c>
      <c r="Q2" s="11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3" t="s">
        <v>21</v>
      </c>
    </row>
    <row r="3">
      <c r="A3" s="14" t="s">
        <v>22</v>
      </c>
      <c r="B3" s="15">
        <v>5.2</v>
      </c>
      <c r="C3" s="15">
        <v>6.21</v>
      </c>
      <c r="D3" s="15">
        <v>7.57</v>
      </c>
      <c r="E3" s="15">
        <v>7.94</v>
      </c>
      <c r="F3" s="15">
        <v>10.22</v>
      </c>
      <c r="G3" s="15">
        <v>10.43</v>
      </c>
      <c r="H3" s="16" t="s">
        <v>23</v>
      </c>
      <c r="L3" s="17">
        <f>AVERAGE('Угловое ускорение (ε)'!B3:B6)</f>
        <v>5.326516546</v>
      </c>
      <c r="M3" s="17">
        <f>AVERAGE('Момент силы натяжения (M)'!B3:B6)</f>
        <v>0.13259685</v>
      </c>
      <c r="P3" s="12">
        <v>1.0</v>
      </c>
      <c r="Q3" s="18" t="s">
        <v>24</v>
      </c>
      <c r="R3" s="19" t="s">
        <v>4</v>
      </c>
      <c r="S3" s="20">
        <v>1.0</v>
      </c>
      <c r="T3" s="21">
        <f>'Угловое ускорение (ε)'!B3-$L$3</f>
        <v>-2.97090854</v>
      </c>
      <c r="U3" s="21">
        <f>'Момент силы натяжения (M)'!B3-$M$3</f>
        <v>-0.07274776312</v>
      </c>
      <c r="V3" s="22">
        <f t="shared" ref="V3:V26" si="1">T3^2</f>
        <v>8.82629755</v>
      </c>
      <c r="W3" s="23">
        <f t="shared" ref="W3:W26" si="2">T3 - U3</f>
        <v>-2.898160776</v>
      </c>
      <c r="X3" s="24">
        <f t="shared" ref="X3:X26" si="3">T3*U3</f>
        <v>0.2161269507</v>
      </c>
    </row>
    <row r="4">
      <c r="A4" s="25"/>
      <c r="B4" s="26">
        <v>5.17</v>
      </c>
      <c r="C4" s="26">
        <v>6.03</v>
      </c>
      <c r="D4" s="26">
        <v>7.29</v>
      </c>
      <c r="E4" s="26">
        <v>8.52</v>
      </c>
      <c r="F4" s="26">
        <v>8.52</v>
      </c>
      <c r="G4" s="26">
        <v>10.39</v>
      </c>
      <c r="H4" s="16" t="s">
        <v>25</v>
      </c>
      <c r="L4" s="17">
        <f>AVERAGE('Угловое ускорение (ε)'!C3:C6)</f>
        <v>4.164873445</v>
      </c>
      <c r="M4" s="27">
        <f>AVERAGE('Момент силы натяжения (M)'!C3:C6)</f>
        <v>0.1330008011</v>
      </c>
      <c r="P4" s="28">
        <f>M3-Q4*L3</f>
        <v>0.002218460101</v>
      </c>
      <c r="Q4" s="29">
        <f>R4/R6</f>
        <v>0.02447723362</v>
      </c>
      <c r="R4" s="30">
        <f>SUM(X3:X6)</f>
        <v>0.4733629454</v>
      </c>
      <c r="S4" s="25"/>
      <c r="T4" s="21">
        <f>'Угловое ускорение (ε)'!B4-$L$3</f>
        <v>-1.103767612</v>
      </c>
      <c r="U4" s="21">
        <f>'Момент силы натяжения (M)'!B4-$M$3</f>
        <v>-0.02391492723</v>
      </c>
      <c r="V4" s="22">
        <f t="shared" si="1"/>
        <v>1.218302941</v>
      </c>
      <c r="W4" s="23">
        <f t="shared" si="2"/>
        <v>-1.079852685</v>
      </c>
      <c r="X4" s="24">
        <f t="shared" si="3"/>
        <v>0.02639652211</v>
      </c>
    </row>
    <row r="5">
      <c r="A5" s="25"/>
      <c r="B5" s="31">
        <v>4.88</v>
      </c>
      <c r="C5" s="31">
        <v>5.93</v>
      </c>
      <c r="D5" s="31">
        <v>7.2</v>
      </c>
      <c r="E5" s="31">
        <v>8.15</v>
      </c>
      <c r="F5" s="31">
        <v>10.4</v>
      </c>
      <c r="G5" s="31" t="s">
        <v>26</v>
      </c>
      <c r="H5" s="16" t="s">
        <v>27</v>
      </c>
      <c r="J5" s="32"/>
      <c r="L5" s="17">
        <f>AVERAGE('Угловое ускорение (ε)'!D3:D6)</f>
        <v>3.12545412</v>
      </c>
      <c r="M5" s="17">
        <f>AVERAGE('Момент силы натяжения (M)'!D3:D6)</f>
        <v>0.1333867099</v>
      </c>
      <c r="P5" s="25"/>
      <c r="Q5" s="25"/>
      <c r="R5" s="33" t="s">
        <v>3</v>
      </c>
      <c r="S5" s="25"/>
      <c r="T5" s="21">
        <f>'Угловое ускорение (ε)'!B5-$L$3</f>
        <v>1.332776627</v>
      </c>
      <c r="U5" s="21">
        <f>'Момент силы натяжения (M)'!B5-$M$3</f>
        <v>0.0242703544</v>
      </c>
      <c r="V5" s="22">
        <f t="shared" si="1"/>
        <v>1.776293538</v>
      </c>
      <c r="W5" s="23">
        <f t="shared" si="2"/>
        <v>1.308506273</v>
      </c>
      <c r="X5" s="24">
        <f t="shared" si="3"/>
        <v>0.03234696108</v>
      </c>
    </row>
    <row r="6">
      <c r="A6" s="8"/>
      <c r="B6" s="34">
        <f t="shared" ref="B6:G6" si="4">AVERAGE(B3:B5)</f>
        <v>5.083333333</v>
      </c>
      <c r="C6" s="34">
        <f t="shared" si="4"/>
        <v>6.056666667</v>
      </c>
      <c r="D6" s="34">
        <f t="shared" si="4"/>
        <v>7.353333333</v>
      </c>
      <c r="E6" s="34">
        <f t="shared" si="4"/>
        <v>8.203333333</v>
      </c>
      <c r="F6" s="34">
        <f t="shared" si="4"/>
        <v>9.713333333</v>
      </c>
      <c r="G6" s="34">
        <f t="shared" si="4"/>
        <v>10.41</v>
      </c>
      <c r="H6" s="35" t="s">
        <v>28</v>
      </c>
      <c r="L6" s="17">
        <f>AVERAGE('Угловое ускорение (ε)'!E3:E6)</f>
        <v>2.486595428</v>
      </c>
      <c r="M6" s="17">
        <f>AVERAGE('Момент силы натяжения (M)'!E3:E6)</f>
        <v>0.1336290582</v>
      </c>
      <c r="P6" s="8"/>
      <c r="Q6" s="8"/>
      <c r="R6" s="36">
        <f>SUM(V3:V6)</f>
        <v>19.33890703</v>
      </c>
      <c r="S6" s="8"/>
      <c r="T6" s="21">
        <f>'Угловое ускорение (ε)'!B6-$L$3</f>
        <v>2.741899524</v>
      </c>
      <c r="U6" s="21">
        <f>'Момент силы натяжения (M)'!B6-$M$3</f>
        <v>0.07239233595</v>
      </c>
      <c r="V6" s="22">
        <f t="shared" si="1"/>
        <v>7.518013001</v>
      </c>
      <c r="W6" s="23">
        <f t="shared" si="2"/>
        <v>2.669507188</v>
      </c>
      <c r="X6" s="24">
        <f t="shared" si="3"/>
        <v>0.1984925115</v>
      </c>
    </row>
    <row r="7">
      <c r="A7" s="14" t="s">
        <v>29</v>
      </c>
      <c r="B7" s="15">
        <v>3.88</v>
      </c>
      <c r="C7" s="15">
        <v>4.47</v>
      </c>
      <c r="D7" s="15">
        <v>4.83</v>
      </c>
      <c r="E7" s="15">
        <v>5.47</v>
      </c>
      <c r="F7" s="15">
        <v>6.06</v>
      </c>
      <c r="G7" s="15">
        <v>7.1</v>
      </c>
      <c r="H7" s="16" t="s">
        <v>23</v>
      </c>
      <c r="L7" s="17">
        <f>AVERAGE('Угловое ускорение (ε)'!F3:F6)</f>
        <v>1.858495797</v>
      </c>
      <c r="M7" s="17">
        <f>AVERAGE('Момент силы натяжения (M)'!F3:F6)</f>
        <v>0.1338626072</v>
      </c>
      <c r="P7" s="37">
        <v>2.0</v>
      </c>
      <c r="Q7" s="18" t="s">
        <v>30</v>
      </c>
      <c r="R7" s="19" t="s">
        <v>4</v>
      </c>
      <c r="S7" s="20">
        <v>2.0</v>
      </c>
      <c r="T7" s="38">
        <f>'Угловое ускорение (ε)'!C3-$L$4</f>
        <v>-2.505543104</v>
      </c>
      <c r="U7" s="38">
        <f>'Момент силы натяжения (M)'!C3-$M$4</f>
        <v>-0.07305336989</v>
      </c>
      <c r="V7" s="39">
        <f t="shared" si="1"/>
        <v>6.277746245</v>
      </c>
      <c r="W7" s="38">
        <f t="shared" si="2"/>
        <v>-2.432489734</v>
      </c>
      <c r="X7" s="40">
        <f t="shared" si="3"/>
        <v>0.1830383671</v>
      </c>
    </row>
    <row r="8">
      <c r="A8" s="25"/>
      <c r="B8" s="15">
        <v>3.66</v>
      </c>
      <c r="C8" s="15">
        <v>4.24</v>
      </c>
      <c r="D8" s="15">
        <v>5.06</v>
      </c>
      <c r="E8" s="15">
        <v>5.58</v>
      </c>
      <c r="F8" s="15">
        <v>6.61</v>
      </c>
      <c r="G8" s="15">
        <v>7.12</v>
      </c>
      <c r="H8" s="16" t="s">
        <v>25</v>
      </c>
      <c r="I8" s="41"/>
      <c r="J8" s="42"/>
      <c r="L8" s="27">
        <f>AVERAGE('Угловое ускорение (ε)'!G3:G6)</f>
        <v>1.553673611</v>
      </c>
      <c r="M8" s="27">
        <f>AVERAGE('Момент силы натяжения (M)'!G3:G6)</f>
        <v>0.1339728843</v>
      </c>
      <c r="P8" s="28">
        <f>M4-Q8*L4</f>
        <v>0.01432386322</v>
      </c>
      <c r="Q8" s="29">
        <f>R8/R10</f>
        <v>0.02849472846</v>
      </c>
      <c r="R8" s="30">
        <f>SUM(X7:X10)</f>
        <v>0.4133839533</v>
      </c>
      <c r="S8" s="25"/>
      <c r="T8" s="38">
        <f>'Угловое ускорение (ε)'!C4-$L$4</f>
        <v>-0.9480910318</v>
      </c>
      <c r="U8" s="38">
        <f>'Момент силы натяжения (M)'!C4-$M$4</f>
        <v>-0.02405971823</v>
      </c>
      <c r="V8" s="39">
        <f t="shared" si="1"/>
        <v>0.8988766045</v>
      </c>
      <c r="W8" s="38">
        <f t="shared" si="2"/>
        <v>-0.9240313135</v>
      </c>
      <c r="X8" s="40">
        <f t="shared" si="3"/>
        <v>0.02281080308</v>
      </c>
    </row>
    <row r="9">
      <c r="A9" s="25"/>
      <c r="B9" s="31">
        <v>3.85</v>
      </c>
      <c r="C9" s="31">
        <v>4.34</v>
      </c>
      <c r="D9" s="31">
        <v>4.93</v>
      </c>
      <c r="E9" s="31">
        <v>5.49</v>
      </c>
      <c r="F9" s="31">
        <v>6.49</v>
      </c>
      <c r="G9" s="31">
        <v>7.39</v>
      </c>
      <c r="H9" s="16" t="s">
        <v>27</v>
      </c>
      <c r="I9" s="43" t="s">
        <v>31</v>
      </c>
      <c r="J9" s="44">
        <v>3.182</v>
      </c>
      <c r="P9" s="25"/>
      <c r="Q9" s="25"/>
      <c r="R9" s="33" t="s">
        <v>3</v>
      </c>
      <c r="S9" s="25"/>
      <c r="T9" s="38">
        <f>'Угловое ускорение (ε)'!C5-$L$4</f>
        <v>0.9000866783</v>
      </c>
      <c r="U9" s="38">
        <f>'Момент силы натяжения (M)'!C5-$M$4</f>
        <v>0.02446268862</v>
      </c>
      <c r="V9" s="39">
        <f t="shared" si="1"/>
        <v>0.8101560285</v>
      </c>
      <c r="W9" s="38">
        <f t="shared" si="2"/>
        <v>0.8756239897</v>
      </c>
      <c r="X9" s="40">
        <f t="shared" si="3"/>
        <v>0.02201854014</v>
      </c>
    </row>
    <row r="10">
      <c r="A10" s="8"/>
      <c r="B10" s="34">
        <f t="shared" ref="B10:G10" si="5">AVERAGE(B7:B9)</f>
        <v>3.796666667</v>
      </c>
      <c r="C10" s="34">
        <f t="shared" si="5"/>
        <v>4.35</v>
      </c>
      <c r="D10" s="34">
        <f t="shared" si="5"/>
        <v>4.94</v>
      </c>
      <c r="E10" s="34">
        <f t="shared" si="5"/>
        <v>5.513333333</v>
      </c>
      <c r="F10" s="34">
        <f t="shared" si="5"/>
        <v>6.386666667</v>
      </c>
      <c r="G10" s="34">
        <f t="shared" si="5"/>
        <v>7.203333333</v>
      </c>
      <c r="H10" s="35" t="s">
        <v>28</v>
      </c>
      <c r="I10" s="45" t="s">
        <v>32</v>
      </c>
      <c r="J10" s="16">
        <v>0.95</v>
      </c>
      <c r="L10" s="46" t="s">
        <v>33</v>
      </c>
      <c r="M10" s="47"/>
      <c r="P10" s="8"/>
      <c r="Q10" s="8"/>
      <c r="R10" s="36">
        <f>SUM(V7:V10)</f>
        <v>14.50738349</v>
      </c>
      <c r="S10" s="8"/>
      <c r="T10" s="38">
        <f>'Угловое ускорение (ε)'!C6-$L$4</f>
        <v>2.553547457</v>
      </c>
      <c r="U10" s="38">
        <f>'Момент силы натяжения (M)'!C6-$M$4</f>
        <v>0.07265039951</v>
      </c>
      <c r="V10" s="39">
        <f t="shared" si="1"/>
        <v>6.520604616</v>
      </c>
      <c r="W10" s="38">
        <f t="shared" si="2"/>
        <v>2.480897058</v>
      </c>
      <c r="X10" s="40">
        <f t="shared" si="3"/>
        <v>0.1855162429</v>
      </c>
    </row>
    <row r="11">
      <c r="A11" s="14" t="s">
        <v>34</v>
      </c>
      <c r="B11" s="15">
        <v>3.03</v>
      </c>
      <c r="C11" s="15">
        <v>3.64</v>
      </c>
      <c r="D11" s="15">
        <v>4.1</v>
      </c>
      <c r="E11" s="15">
        <v>4.41</v>
      </c>
      <c r="F11" s="15">
        <v>5.15</v>
      </c>
      <c r="G11" s="15">
        <v>6.0</v>
      </c>
      <c r="H11" s="16" t="s">
        <v>23</v>
      </c>
      <c r="I11" s="45" t="s">
        <v>35</v>
      </c>
      <c r="J11" s="16">
        <v>3.0</v>
      </c>
      <c r="L11" s="48"/>
      <c r="M11" s="49"/>
      <c r="P11" s="37">
        <v>3.0</v>
      </c>
      <c r="Q11" s="18" t="s">
        <v>36</v>
      </c>
      <c r="R11" s="19" t="s">
        <v>4</v>
      </c>
      <c r="S11" s="20">
        <v>3.0</v>
      </c>
      <c r="T11" s="23">
        <f>'Угловое ускорение (ε)'!D3-$L$5</f>
        <v>-1.999730722</v>
      </c>
      <c r="U11" s="23">
        <f>'Момент силы натяжения (M)'!D3-$M$5</f>
        <v>-0.07336391049</v>
      </c>
      <c r="V11" s="50">
        <f t="shared" si="1"/>
        <v>3.998922959</v>
      </c>
      <c r="W11" s="23">
        <f t="shared" si="2"/>
        <v>-1.926366811</v>
      </c>
      <c r="X11" s="24">
        <f t="shared" si="3"/>
        <v>0.1467080657</v>
      </c>
    </row>
    <row r="12">
      <c r="A12" s="25"/>
      <c r="B12" s="15">
        <v>3.06</v>
      </c>
      <c r="C12" s="15">
        <v>3.42</v>
      </c>
      <c r="D12" s="15">
        <v>4.07</v>
      </c>
      <c r="E12" s="15">
        <v>4.45</v>
      </c>
      <c r="F12" s="15">
        <v>5.18</v>
      </c>
      <c r="G12" s="15">
        <v>5.45</v>
      </c>
      <c r="H12" s="16" t="s">
        <v>25</v>
      </c>
      <c r="I12" s="43" t="s">
        <v>37</v>
      </c>
      <c r="J12" s="45">
        <v>0.01</v>
      </c>
      <c r="L12" s="51"/>
      <c r="M12" s="49"/>
      <c r="P12" s="28">
        <f>M5-Q12*L5</f>
        <v>0.01673434276</v>
      </c>
      <c r="Q12" s="29">
        <f>R12/R14</f>
        <v>0.03732333373</v>
      </c>
      <c r="R12" s="30">
        <f>SUM(X11:X14)</f>
        <v>0.3188646724</v>
      </c>
      <c r="S12" s="25"/>
      <c r="T12" s="23">
        <f>'Угловое ускорение (ε)'!D4-$L$5</f>
        <v>-0.6311678169</v>
      </c>
      <c r="U12" s="23">
        <f>'Момент силы натяжения (M)'!D4-$M$5</f>
        <v>-0.02425949546</v>
      </c>
      <c r="V12" s="50">
        <f t="shared" si="1"/>
        <v>0.3983728131</v>
      </c>
      <c r="W12" s="23">
        <f t="shared" si="2"/>
        <v>-0.6069083214</v>
      </c>
      <c r="X12" s="24">
        <f t="shared" si="3"/>
        <v>0.01531181279</v>
      </c>
    </row>
    <row r="13">
      <c r="A13" s="25"/>
      <c r="B13" s="31">
        <v>2.98</v>
      </c>
      <c r="C13" s="31">
        <v>3.34</v>
      </c>
      <c r="D13" s="31">
        <v>3.75</v>
      </c>
      <c r="E13" s="31">
        <v>4.51</v>
      </c>
      <c r="F13" s="31">
        <v>5.09</v>
      </c>
      <c r="G13" s="31">
        <v>5.78</v>
      </c>
      <c r="H13" s="16" t="s">
        <v>27</v>
      </c>
      <c r="I13" s="52"/>
      <c r="J13" s="52"/>
      <c r="L13" s="51"/>
      <c r="M13" s="49"/>
      <c r="P13" s="25"/>
      <c r="Q13" s="25"/>
      <c r="R13" s="33" t="s">
        <v>3</v>
      </c>
      <c r="S13" s="25"/>
      <c r="T13" s="23">
        <f>'Угловое ускорение (ε)'!D5-$L$5</f>
        <v>0.7301301373</v>
      </c>
      <c r="U13" s="23">
        <f>'Момент силы натяжения (M)'!D5-$M$5</f>
        <v>0.02452908998</v>
      </c>
      <c r="V13" s="50">
        <f t="shared" si="1"/>
        <v>0.5330900174</v>
      </c>
      <c r="W13" s="23">
        <f t="shared" si="2"/>
        <v>0.7056010473</v>
      </c>
      <c r="X13" s="24">
        <f t="shared" si="3"/>
        <v>0.01790942783</v>
      </c>
    </row>
    <row r="14">
      <c r="A14" s="8"/>
      <c r="B14" s="34">
        <f t="shared" ref="B14:G14" si="6">AVERAGE(B11:B13)</f>
        <v>3.023333333</v>
      </c>
      <c r="C14" s="34">
        <f t="shared" si="6"/>
        <v>3.466666667</v>
      </c>
      <c r="D14" s="34">
        <f t="shared" si="6"/>
        <v>3.973333333</v>
      </c>
      <c r="E14" s="34">
        <f t="shared" si="6"/>
        <v>4.456666667</v>
      </c>
      <c r="F14" s="34">
        <f t="shared" si="6"/>
        <v>5.14</v>
      </c>
      <c r="G14" s="34">
        <f t="shared" si="6"/>
        <v>5.743333333</v>
      </c>
      <c r="H14" s="35" t="s">
        <v>28</v>
      </c>
      <c r="I14" s="52"/>
      <c r="J14" s="52"/>
      <c r="L14" s="53"/>
      <c r="M14" s="54"/>
      <c r="P14" s="8"/>
      <c r="Q14" s="8"/>
      <c r="R14" s="36">
        <f>SUM(V11:V14)</f>
        <v>8.543306305</v>
      </c>
      <c r="S14" s="8"/>
      <c r="T14" s="23">
        <f>'Угловое ускорение (ε)'!D6-$L$5</f>
        <v>1.900768401</v>
      </c>
      <c r="U14" s="23">
        <f>'Момент силы натяжения (M)'!D6-$M$5</f>
        <v>0.07309431598</v>
      </c>
      <c r="V14" s="50">
        <f t="shared" si="1"/>
        <v>3.612920515</v>
      </c>
      <c r="W14" s="23">
        <f t="shared" si="2"/>
        <v>1.827674085</v>
      </c>
      <c r="X14" s="24">
        <f t="shared" si="3"/>
        <v>0.1389353661</v>
      </c>
    </row>
    <row r="15">
      <c r="A15" s="14" t="s">
        <v>38</v>
      </c>
      <c r="B15" s="15">
        <v>2.86</v>
      </c>
      <c r="C15" s="15">
        <v>2.98</v>
      </c>
      <c r="D15" s="15">
        <v>3.46</v>
      </c>
      <c r="E15" s="15">
        <v>3.99</v>
      </c>
      <c r="F15" s="15">
        <v>4.66</v>
      </c>
      <c r="G15" s="15">
        <v>4.8</v>
      </c>
      <c r="H15" s="16" t="s">
        <v>23</v>
      </c>
      <c r="I15" s="43" t="s">
        <v>39</v>
      </c>
      <c r="J15" s="55">
        <f>J9*SQRT(POWER(B3-B6,2) + POWER(B4-B6, 2) + POWER(B5-B6, 2)/(J11*(J11 - 1)))</f>
        <v>0.532573679</v>
      </c>
      <c r="P15" s="37">
        <v>4.0</v>
      </c>
      <c r="Q15" s="18" t="s">
        <v>40</v>
      </c>
      <c r="R15" s="19" t="s">
        <v>4</v>
      </c>
      <c r="S15" s="20">
        <v>4.0</v>
      </c>
      <c r="T15" s="38">
        <f>'Угловое ускорение (ε)'!E3-$L$6</f>
        <v>-1.582072705</v>
      </c>
      <c r="U15" s="38">
        <f>'Момент силы натяжения (M)'!E3-$M$6</f>
        <v>-0.07357501569</v>
      </c>
      <c r="V15" s="39">
        <f t="shared" si="1"/>
        <v>2.502954044</v>
      </c>
      <c r="W15" s="38">
        <f t="shared" si="2"/>
        <v>-1.508497689</v>
      </c>
      <c r="X15" s="40">
        <f t="shared" si="3"/>
        <v>0.1164010241</v>
      </c>
    </row>
    <row r="16">
      <c r="A16" s="25"/>
      <c r="B16" s="15">
        <v>2.73</v>
      </c>
      <c r="C16" s="15">
        <v>3.1</v>
      </c>
      <c r="D16" s="15">
        <v>3.51</v>
      </c>
      <c r="E16" s="15">
        <v>4.0</v>
      </c>
      <c r="F16" s="15">
        <v>4.23</v>
      </c>
      <c r="G16" s="15">
        <v>4.69</v>
      </c>
      <c r="H16" s="16" t="s">
        <v>25</v>
      </c>
      <c r="I16" s="52"/>
      <c r="J16" s="52"/>
      <c r="P16" s="28">
        <f>M6-Q16*L6</f>
        <v>0.01527682261</v>
      </c>
      <c r="Q16" s="29">
        <f>R16/R18</f>
        <v>0.04759609634</v>
      </c>
      <c r="R16" s="30">
        <f>SUM(X15:X18)</f>
        <v>0.2515910236</v>
      </c>
      <c r="S16" s="25"/>
      <c r="T16" s="38">
        <f>'Угловое ускорение (ε)'!E4-$L$6</f>
        <v>-0.4840992374</v>
      </c>
      <c r="U16" s="38">
        <f>'Момент силы натяжения (M)'!E4-$M$6</f>
        <v>-0.02437514726</v>
      </c>
      <c r="V16" s="39">
        <f t="shared" si="1"/>
        <v>0.2343520716</v>
      </c>
      <c r="W16" s="38">
        <f t="shared" si="2"/>
        <v>-0.4597240901</v>
      </c>
      <c r="X16" s="40">
        <f t="shared" si="3"/>
        <v>0.0117999902</v>
      </c>
    </row>
    <row r="17">
      <c r="A17" s="25"/>
      <c r="B17" s="31">
        <v>2.65</v>
      </c>
      <c r="C17" s="31">
        <v>2.95</v>
      </c>
      <c r="D17" s="31">
        <v>3.47</v>
      </c>
      <c r="E17" s="31">
        <v>3.75</v>
      </c>
      <c r="F17" s="31">
        <v>4.64</v>
      </c>
      <c r="G17" s="31">
        <v>4.93</v>
      </c>
      <c r="H17" s="16" t="s">
        <v>27</v>
      </c>
      <c r="I17" s="43"/>
      <c r="J17" s="56"/>
      <c r="P17" s="25"/>
      <c r="Q17" s="25"/>
      <c r="R17" s="33" t="s">
        <v>3</v>
      </c>
      <c r="S17" s="25"/>
      <c r="T17" s="38">
        <f>'Угловое ускорение (ε)'!E5-$L$6</f>
        <v>0.5780475978</v>
      </c>
      <c r="U17" s="38">
        <f>'Момент силы натяжения (M)'!E5-$M$6</f>
        <v>0.02458255613</v>
      </c>
      <c r="V17" s="39">
        <f t="shared" si="1"/>
        <v>0.3341390253</v>
      </c>
      <c r="W17" s="38">
        <f t="shared" si="2"/>
        <v>0.5534650417</v>
      </c>
      <c r="X17" s="40">
        <f t="shared" si="3"/>
        <v>0.01420988752</v>
      </c>
    </row>
    <row r="18">
      <c r="A18" s="8"/>
      <c r="B18" s="34">
        <f t="shared" ref="B18:G18" si="7">AVERAGE(B15:B17)</f>
        <v>2.746666667</v>
      </c>
      <c r="C18" s="34">
        <f t="shared" si="7"/>
        <v>3.01</v>
      </c>
      <c r="D18" s="34">
        <f t="shared" si="7"/>
        <v>3.48</v>
      </c>
      <c r="E18" s="34">
        <f t="shared" si="7"/>
        <v>3.913333333</v>
      </c>
      <c r="F18" s="34">
        <f t="shared" si="7"/>
        <v>4.51</v>
      </c>
      <c r="G18" s="34">
        <f t="shared" si="7"/>
        <v>4.806666667</v>
      </c>
      <c r="H18" s="35" t="s">
        <v>28</v>
      </c>
      <c r="I18" s="43" t="s">
        <v>41</v>
      </c>
      <c r="J18" s="56">
        <f>SQRT(POWER(J15, 2)+ POWER(2/3 * J12, 2))</f>
        <v>0.5326154035</v>
      </c>
      <c r="P18" s="8"/>
      <c r="Q18" s="8"/>
      <c r="R18" s="36">
        <f>SUM(V15:V18)</f>
        <v>5.285959205</v>
      </c>
      <c r="S18" s="8"/>
      <c r="T18" s="38">
        <f>'Угловое ускорение (ε)'!E6-$L$6</f>
        <v>1.488124344</v>
      </c>
      <c r="U18" s="38">
        <f>'Момент силы натяжения (M)'!E6-$M$6</f>
        <v>0.07336760681</v>
      </c>
      <c r="V18" s="39">
        <f t="shared" si="1"/>
        <v>2.214514065</v>
      </c>
      <c r="W18" s="38">
        <f t="shared" si="2"/>
        <v>1.414756738</v>
      </c>
      <c r="X18" s="40">
        <f t="shared" si="3"/>
        <v>0.1091801218</v>
      </c>
    </row>
    <row r="19">
      <c r="L19" s="57"/>
      <c r="M19" s="57"/>
      <c r="P19" s="37">
        <v>5.0</v>
      </c>
      <c r="Q19" s="18" t="s">
        <v>42</v>
      </c>
      <c r="R19" s="19" t="s">
        <v>4</v>
      </c>
      <c r="S19" s="20">
        <v>5.0</v>
      </c>
      <c r="T19" s="23">
        <f>'Угловое ускорение (ε)'!F3-$L$7</f>
        <v>-1.213341471</v>
      </c>
      <c r="U19" s="23">
        <f>'Момент силы натяжения (M)'!F3-$M$7</f>
        <v>-0.0737719307</v>
      </c>
      <c r="V19" s="50">
        <f t="shared" si="1"/>
        <v>1.472197525</v>
      </c>
      <c r="W19" s="23">
        <f t="shared" si="2"/>
        <v>-1.13956954</v>
      </c>
      <c r="X19" s="24">
        <f t="shared" si="3"/>
        <v>0.08951054289</v>
      </c>
    </row>
    <row r="20">
      <c r="P20" s="28">
        <f>M7-Q20*L7</f>
        <v>0.01785525721</v>
      </c>
      <c r="Q20" s="29">
        <f>R20/R22</f>
        <v>0.06242002275</v>
      </c>
      <c r="R20" s="30">
        <f>SUM(X19:X22)</f>
        <v>0.1929346627</v>
      </c>
      <c r="S20" s="25"/>
      <c r="T20" s="23">
        <f>'Угловое ускорение (ε)'!F4-$L$7</f>
        <v>-0.3662110517</v>
      </c>
      <c r="U20" s="23">
        <f>'Момент силы натяжения (M)'!F4-$M$7</f>
        <v>-0.02447725404</v>
      </c>
      <c r="V20" s="50">
        <f t="shared" si="1"/>
        <v>0.1341105344</v>
      </c>
      <c r="W20" s="23">
        <f t="shared" si="2"/>
        <v>-0.3417337977</v>
      </c>
      <c r="X20" s="24">
        <f t="shared" si="3"/>
        <v>0.008963840945</v>
      </c>
    </row>
    <row r="21">
      <c r="P21" s="25"/>
      <c r="Q21" s="25"/>
      <c r="R21" s="33" t="s">
        <v>3</v>
      </c>
      <c r="S21" s="25"/>
      <c r="T21" s="23">
        <f>'Угловое ускорение (ε)'!F5-$L$7</f>
        <v>0.4454590398</v>
      </c>
      <c r="U21" s="23">
        <f>'Момент силы натяжения (M)'!F5-$M$7</f>
        <v>0.02463350681</v>
      </c>
      <c r="V21" s="50">
        <f t="shared" si="1"/>
        <v>0.1984337561</v>
      </c>
      <c r="W21" s="23">
        <f t="shared" si="2"/>
        <v>0.4208255329</v>
      </c>
      <c r="X21" s="24">
        <f t="shared" si="3"/>
        <v>0.01097321829</v>
      </c>
    </row>
    <row r="22">
      <c r="A22" s="58" t="s">
        <v>43</v>
      </c>
      <c r="B22" s="4"/>
      <c r="D22" s="59" t="s">
        <v>44</v>
      </c>
      <c r="E22" s="60">
        <f>46/1000</f>
        <v>0.046</v>
      </c>
      <c r="P22" s="8"/>
      <c r="Q22" s="8"/>
      <c r="R22" s="36">
        <f>SUM(V19:V22)</f>
        <v>3.090909843</v>
      </c>
      <c r="S22" s="8"/>
      <c r="T22" s="23">
        <f>'Угловое ускорение (ε)'!F6-$L$7</f>
        <v>1.134093483</v>
      </c>
      <c r="U22" s="23">
        <f>'Момент силы натяжения (M)'!F6-$M$7</f>
        <v>0.07361567792</v>
      </c>
      <c r="V22" s="50">
        <f t="shared" si="1"/>
        <v>1.286168027</v>
      </c>
      <c r="W22" s="23">
        <f t="shared" si="2"/>
        <v>1.060477805</v>
      </c>
      <c r="X22" s="24">
        <f t="shared" si="3"/>
        <v>0.08348706056</v>
      </c>
    </row>
    <row r="23">
      <c r="A23" s="45" t="s">
        <v>45</v>
      </c>
      <c r="B23" s="61">
        <f>B30</f>
        <v>0.01135343056</v>
      </c>
      <c r="D23" s="62" t="s">
        <v>46</v>
      </c>
      <c r="F23" s="63" t="s">
        <v>47</v>
      </c>
      <c r="G23" s="62">
        <f t="shared" ref="G23:G25" si="8">0.5/1000</f>
        <v>0.0005</v>
      </c>
      <c r="P23" s="37">
        <v>6.0</v>
      </c>
      <c r="Q23" s="18" t="s">
        <v>48</v>
      </c>
      <c r="R23" s="19" t="s">
        <v>4</v>
      </c>
      <c r="S23" s="20">
        <v>6.0</v>
      </c>
      <c r="T23" s="64">
        <f>'Угловое ускорение (ε)'!G3-$L$8</f>
        <v>-0.9919809614</v>
      </c>
      <c r="U23" s="38">
        <f>'Момент силы натяжения (M)'!G3-$M$8</f>
        <v>-0.07387041941</v>
      </c>
      <c r="V23" s="39">
        <f t="shared" si="1"/>
        <v>0.9840262277</v>
      </c>
      <c r="W23" s="38">
        <f t="shared" si="2"/>
        <v>-0.918110542</v>
      </c>
      <c r="X23" s="40">
        <f t="shared" si="3"/>
        <v>0.07327804967</v>
      </c>
    </row>
    <row r="24">
      <c r="A24" s="45" t="s">
        <v>49</v>
      </c>
      <c r="B24" s="61">
        <f>B36</f>
        <v>0.4942910201</v>
      </c>
      <c r="D24" s="65" t="s">
        <v>50</v>
      </c>
      <c r="E24" s="60">
        <f>9.8</f>
        <v>9.8</v>
      </c>
      <c r="F24" s="65" t="s">
        <v>51</v>
      </c>
      <c r="G24" s="60">
        <f t="shared" si="8"/>
        <v>0.0005</v>
      </c>
      <c r="P24" s="28">
        <f>M8-Q24*L8</f>
        <v>0.02346241374</v>
      </c>
      <c r="Q24" s="29">
        <f>R24/R26</f>
        <v>0.07112849812</v>
      </c>
      <c r="R24" s="30">
        <f>SUM(X23:X26)</f>
        <v>0.1694490069</v>
      </c>
      <c r="S24" s="25"/>
      <c r="T24" s="64">
        <f>'Угловое ускорение (ε)'!G4-$L$8</f>
        <v>-0.3805786336</v>
      </c>
      <c r="U24" s="38">
        <f>'Момент силы натяжения (M)'!G4-$M$8</f>
        <v>-0.0245053005</v>
      </c>
      <c r="V24" s="39">
        <f t="shared" si="1"/>
        <v>0.1448400964</v>
      </c>
      <c r="W24" s="38">
        <f t="shared" si="2"/>
        <v>-0.3560733331</v>
      </c>
      <c r="X24" s="40">
        <f t="shared" si="3"/>
        <v>0.009326193782</v>
      </c>
    </row>
    <row r="25">
      <c r="A25" s="45" t="s">
        <v>52</v>
      </c>
      <c r="B25" s="61">
        <f>B42</f>
        <v>0.0003695670468</v>
      </c>
      <c r="D25" s="66" t="s">
        <v>53</v>
      </c>
      <c r="E25" s="60">
        <f>700/1000</f>
        <v>0.7</v>
      </c>
      <c r="F25" s="63" t="s">
        <v>54</v>
      </c>
      <c r="G25" s="62">
        <f t="shared" si="8"/>
        <v>0.0005</v>
      </c>
      <c r="P25" s="25"/>
      <c r="Q25" s="25"/>
      <c r="R25" s="33" t="s">
        <v>3</v>
      </c>
      <c r="S25" s="25"/>
      <c r="T25" s="64">
        <f>'Угловое ускорение (ε)'!G5-$L$8</f>
        <v>0.2916483668</v>
      </c>
      <c r="U25" s="38">
        <f>'Момент силы натяжения (M)'!G5-$M$8</f>
        <v>0.02469475979</v>
      </c>
      <c r="V25" s="39">
        <f t="shared" si="1"/>
        <v>0.08505876984</v>
      </c>
      <c r="W25" s="38">
        <f t="shared" si="2"/>
        <v>0.266953607</v>
      </c>
      <c r="X25" s="40">
        <f t="shared" si="3"/>
        <v>0.00720218636</v>
      </c>
    </row>
    <row r="26">
      <c r="F26" s="65" t="s">
        <v>55</v>
      </c>
      <c r="G26" s="62">
        <f>220/1000</f>
        <v>0.22</v>
      </c>
      <c r="P26" s="8"/>
      <c r="Q26" s="8"/>
      <c r="R26" s="36">
        <f>SUM(V23:V26)</f>
        <v>2.382294177</v>
      </c>
      <c r="S26" s="8"/>
      <c r="T26" s="38">
        <f>'Угловое ускорение (ε)'!G6-$L$8</f>
        <v>1.080911228</v>
      </c>
      <c r="U26" s="38">
        <f>'Момент силы натяжения (M)'!G6-$M$8</f>
        <v>0.07368096013</v>
      </c>
      <c r="V26" s="39">
        <f t="shared" si="1"/>
        <v>1.168369083</v>
      </c>
      <c r="W26" s="38">
        <f t="shared" si="2"/>
        <v>1.007230268</v>
      </c>
      <c r="X26" s="40">
        <f t="shared" si="3"/>
        <v>0.07964257711</v>
      </c>
    </row>
    <row r="27">
      <c r="I27" s="60"/>
    </row>
    <row r="30">
      <c r="A30" s="67" t="s">
        <v>56</v>
      </c>
      <c r="B30" s="68">
        <f>SQRT(((2/B6^2) * 2/3 * G25)^2 + ((-4*E25 / B6^3) * J18)^2)</f>
        <v>0.01135343056</v>
      </c>
    </row>
    <row r="36">
      <c r="A36" s="67" t="s">
        <v>57</v>
      </c>
      <c r="B36" s="68">
        <f>SQRT(((2/E22)*B23)^2 + (-((2*'Ускорение (a)'!B3)/(E22)^2)*G25)^2)</f>
        <v>0.4942910201</v>
      </c>
    </row>
    <row r="42">
      <c r="A42" s="67" t="s">
        <v>58</v>
      </c>
      <c r="B42" s="69">
        <f>SQRT(((E22*(E24-'Ускорение (a)'!B3))/2 * 2/3 * G24)^2 + ((G26*(E24-'Ускорение (a)'!B3))/2 * 2/3 * G23)^2 + (-(G26*E22)/2 *B23)^2)</f>
        <v>0.0003695670468</v>
      </c>
    </row>
    <row r="43">
      <c r="A43" s="70"/>
      <c r="B43" s="71"/>
      <c r="C43" s="72"/>
      <c r="D43" s="72"/>
      <c r="E43" s="72"/>
      <c r="F43" s="72"/>
      <c r="G43" s="72"/>
      <c r="H43" s="72"/>
      <c r="I43" s="72"/>
      <c r="J43" s="72"/>
    </row>
    <row r="46">
      <c r="L46" s="73" t="s">
        <v>59</v>
      </c>
    </row>
    <row r="47">
      <c r="A47" s="12" t="s">
        <v>60</v>
      </c>
      <c r="B47" s="12" t="s">
        <v>61</v>
      </c>
      <c r="C47" s="18" t="s">
        <v>62</v>
      </c>
      <c r="D47" s="12" t="s">
        <v>63</v>
      </c>
      <c r="E47" s="12" t="s">
        <v>64</v>
      </c>
      <c r="F47" s="12" t="s">
        <v>65</v>
      </c>
      <c r="G47" s="12" t="s">
        <v>66</v>
      </c>
      <c r="H47" s="12" t="s">
        <v>67</v>
      </c>
      <c r="I47" s="12" t="s">
        <v>68</v>
      </c>
      <c r="J47" s="18" t="s">
        <v>69</v>
      </c>
      <c r="L47" s="12" t="s">
        <v>70</v>
      </c>
      <c r="M47" s="12" t="s">
        <v>71</v>
      </c>
      <c r="N47" s="12" t="s">
        <v>72</v>
      </c>
      <c r="O47" s="12" t="s">
        <v>73</v>
      </c>
      <c r="P47" s="12" t="s">
        <v>74</v>
      </c>
      <c r="Q47" s="12" t="s">
        <v>75</v>
      </c>
    </row>
    <row r="48">
      <c r="A48" s="20">
        <v>1.0</v>
      </c>
      <c r="B48" s="23">
        <f>'Момент силы натяжения (M)'!B3 - ($P$4 + $Q$4 *'Угловое ускорение (ε)'!B3 )</f>
        <v>-0.0000281407307</v>
      </c>
      <c r="C48" s="24">
        <f t="shared" ref="C48:C71" si="10">B48*B48</f>
        <v>0.0000000007919007242</v>
      </c>
      <c r="D48" s="24">
        <f>('Угловое ускорение (ε)'!B3 - $L$3)*('Угловое ускорение (ε)'!B3 - $L$3)</f>
        <v>8.82629755</v>
      </c>
      <c r="E48" s="29">
        <f>SUM(D48:D51)</f>
        <v>19.33890703</v>
      </c>
      <c r="F48" s="29">
        <f>((1/E48) * (SUM(C48:C51)/2))*((1/E48) * (SUM(C48:C51)/2))</f>
        <v>0</v>
      </c>
      <c r="G48" s="29">
        <f>(1/4 + (L3*L3)/E48)*(SUM(C48:C51)/2)*(1/4 + (L3*L3)/E48)*(SUM(C48:C51)/2)</f>
        <v>0.000000008477796597</v>
      </c>
      <c r="H48" s="29">
        <f t="shared" ref="H48:I48" si="9">SQRT(F48)</f>
        <v>0.000002772798589</v>
      </c>
      <c r="I48" s="29">
        <f t="shared" si="9"/>
        <v>0.00009207495097</v>
      </c>
      <c r="J48" s="29">
        <f>SQRT((2*I48)^2 + (2*H48)^2)</f>
        <v>0.0001842333847</v>
      </c>
      <c r="L48" s="12">
        <v>1.0</v>
      </c>
      <c r="M48" s="12">
        <v>0.057</v>
      </c>
      <c r="N48" s="12">
        <v>0.025</v>
      </c>
      <c r="O48" s="12">
        <v>0.04</v>
      </c>
      <c r="P48" s="74">
        <f t="shared" ref="P48:P53" si="11">M48+(L48-1)*N48+1/2*O48</f>
        <v>0.077</v>
      </c>
      <c r="Q48" s="50">
        <f t="shared" ref="Q48:Q53" si="12">P48*P48</f>
        <v>0.005929</v>
      </c>
    </row>
    <row r="49">
      <c r="A49" s="25"/>
      <c r="B49" s="23">
        <f>'Момент силы натяжения (M)'!B4 - ($P$4 + $Q$4 *'Угловое ускорение (ε)'!B4 )</f>
        <v>0.003102250476</v>
      </c>
      <c r="C49" s="24">
        <f t="shared" si="10"/>
        <v>0.000009623958016</v>
      </c>
      <c r="D49" s="24">
        <f>('Угловое ускорение (ε)'!B4 - $L$3)*('Угловое ускорение (ε)'!B4 - $L$3)</f>
        <v>1.218302941</v>
      </c>
      <c r="E49" s="25"/>
      <c r="F49" s="25"/>
      <c r="G49" s="25"/>
      <c r="H49" s="25"/>
      <c r="I49" s="25"/>
      <c r="J49" s="25"/>
      <c r="L49" s="12">
        <v>2.0</v>
      </c>
      <c r="M49" s="12">
        <v>0.057</v>
      </c>
      <c r="N49" s="12">
        <v>0.025</v>
      </c>
      <c r="O49" s="12">
        <v>0.04</v>
      </c>
      <c r="P49" s="74">
        <f t="shared" si="11"/>
        <v>0.102</v>
      </c>
      <c r="Q49" s="50">
        <f t="shared" si="12"/>
        <v>0.010404</v>
      </c>
    </row>
    <row r="50">
      <c r="A50" s="25"/>
      <c r="B50" s="23">
        <f>'Момент силы натяжения (M)'!B5 - ($P$4 + $Q$4 *'Угловое ускорение (ε)'!B5 )</f>
        <v>-0.008352330472</v>
      </c>
      <c r="C50" s="24">
        <f t="shared" si="10"/>
        <v>0.00006976142432</v>
      </c>
      <c r="D50" s="24">
        <f>('Угловое ускорение (ε)'!B5 - $L$3)*('Угловое ускорение (ε)'!B5 - $L$3)</f>
        <v>1.776293538</v>
      </c>
      <c r="E50" s="25"/>
      <c r="F50" s="25"/>
      <c r="G50" s="25"/>
      <c r="H50" s="25"/>
      <c r="I50" s="25"/>
      <c r="J50" s="25"/>
      <c r="L50" s="12">
        <v>3.0</v>
      </c>
      <c r="M50" s="12">
        <v>0.057</v>
      </c>
      <c r="N50" s="12">
        <v>0.025</v>
      </c>
      <c r="O50" s="12">
        <v>0.04</v>
      </c>
      <c r="P50" s="74">
        <f t="shared" si="11"/>
        <v>0.127</v>
      </c>
      <c r="Q50" s="50">
        <f t="shared" si="12"/>
        <v>0.016129</v>
      </c>
    </row>
    <row r="51">
      <c r="A51" s="8"/>
      <c r="B51" s="23">
        <f>'Момент силы натяжения (M)'!B6 - ($P$4 + $Q$4 *'Угловое ускорение (ε)'!B6 )</f>
        <v>0.005278220727</v>
      </c>
      <c r="C51" s="24">
        <f t="shared" si="10"/>
        <v>0.00002785961404</v>
      </c>
      <c r="D51" s="24">
        <f>('Угловое ускорение (ε)'!B6 - $L$3)*('Угловое ускорение (ε)'!B6 - $L$3)</f>
        <v>7.518013001</v>
      </c>
      <c r="E51" s="8"/>
      <c r="F51" s="8"/>
      <c r="G51" s="8"/>
      <c r="H51" s="8"/>
      <c r="I51" s="8"/>
      <c r="J51" s="8"/>
      <c r="L51" s="12">
        <v>4.0</v>
      </c>
      <c r="M51" s="12">
        <v>0.057</v>
      </c>
      <c r="N51" s="12">
        <v>0.025</v>
      </c>
      <c r="O51" s="12">
        <v>0.04</v>
      </c>
      <c r="P51" s="74">
        <f t="shared" si="11"/>
        <v>0.152</v>
      </c>
      <c r="Q51" s="50">
        <f t="shared" si="12"/>
        <v>0.023104</v>
      </c>
    </row>
    <row r="52">
      <c r="A52" s="20">
        <v>2.0</v>
      </c>
      <c r="B52" s="64">
        <f>'Момент силы натяжения (M)'!C3 - ($P$8 + $Q$8 *'Угловое ускорение (ε)'!C3 )</f>
        <v>-0.001658599513</v>
      </c>
      <c r="C52" s="40">
        <f t="shared" si="10"/>
        <v>0.000002750952344</v>
      </c>
      <c r="D52" s="40">
        <f>('Угловое ускорение (ε)'!B7 - $L$4)*('Угловое ускорение (ε)'!B7 - $L$4)</f>
        <v>17.34617081</v>
      </c>
      <c r="E52" s="29">
        <f>SUM(D52:D55)</f>
        <v>69.0036309</v>
      </c>
      <c r="F52" s="29">
        <f>((1/E52) * (SUM(C52:C55)/2))*((1/E52) * (SUM(C52:C55)/2))</f>
        <v>0</v>
      </c>
      <c r="G52" s="29">
        <f>(1/4 + (L4*L4)/E52)*(SUM(C52:C55)/2)*(1/4 + (L4*L4)/E52)*(SUM(C52:C55)/2)</f>
        <v>0</v>
      </c>
      <c r="H52" s="29">
        <f t="shared" ref="H52:I52" si="13">SQRT(F52)</f>
        <v>0.00000009351014678</v>
      </c>
      <c r="I52" s="29">
        <f t="shared" si="13"/>
        <v>0.000003235177892</v>
      </c>
      <c r="J52" s="29">
        <f>SQRT((2*I52)^2 + (2*H52)^2)</f>
        <v>0.000006473058054</v>
      </c>
      <c r="L52" s="12">
        <v>5.0</v>
      </c>
      <c r="M52" s="12">
        <v>0.057</v>
      </c>
      <c r="N52" s="12">
        <v>0.025</v>
      </c>
      <c r="O52" s="12">
        <v>0.04</v>
      </c>
      <c r="P52" s="74">
        <f t="shared" si="11"/>
        <v>0.177</v>
      </c>
      <c r="Q52" s="50">
        <f t="shared" si="12"/>
        <v>0.031329</v>
      </c>
    </row>
    <row r="53">
      <c r="A53" s="25"/>
      <c r="B53" s="64">
        <f>'Момент силы натяжения (M)'!C4 - ($P$8 + $Q$8 *'Угловое ускорение (ε)'!C4 )</f>
        <v>0.00295587827</v>
      </c>
      <c r="C53" s="40">
        <f t="shared" si="10"/>
        <v>0.000008737216348</v>
      </c>
      <c r="D53" s="40">
        <f>('Угловое ускорение (ε)'!B8 - $L$4)*('Угловое ускорение (ε)'!B8 - $L$4)</f>
        <v>17.34617081</v>
      </c>
      <c r="E53" s="25"/>
      <c r="F53" s="25"/>
      <c r="G53" s="25"/>
      <c r="H53" s="25"/>
      <c r="I53" s="25"/>
      <c r="J53" s="25"/>
      <c r="L53" s="12">
        <v>6.0</v>
      </c>
      <c r="M53" s="12">
        <v>0.057</v>
      </c>
      <c r="N53" s="12">
        <v>0.025</v>
      </c>
      <c r="O53" s="12">
        <v>0.04</v>
      </c>
      <c r="P53" s="74">
        <f t="shared" si="11"/>
        <v>0.202</v>
      </c>
      <c r="Q53" s="50">
        <f t="shared" si="12"/>
        <v>0.040804</v>
      </c>
    </row>
    <row r="54">
      <c r="A54" s="25"/>
      <c r="B54" s="64">
        <f>'Момент силы натяжения (M)'!C5 - ($P$8 + $Q$8 *'Угловое ускорение (ε)'!C5 )</f>
        <v>-0.001185036866</v>
      </c>
      <c r="C54" s="40">
        <f t="shared" si="10"/>
        <v>0.000001404312374</v>
      </c>
      <c r="D54" s="40">
        <f>('Угловое ускорение (ε)'!B9 - $L$4)*('Угловое ускорение (ε)'!B9 - $L$4)</f>
        <v>17.34617081</v>
      </c>
      <c r="E54" s="25"/>
      <c r="F54" s="25"/>
      <c r="G54" s="25"/>
      <c r="H54" s="25"/>
      <c r="I54" s="25"/>
      <c r="J54" s="25"/>
    </row>
    <row r="55">
      <c r="A55" s="8"/>
      <c r="B55" s="64">
        <f>'Момент силы натяжения (M)'!C6 - ($P$8 + $Q$8 *'Угловое ускорение (ε)'!C6 )</f>
        <v>-0.0001122418913</v>
      </c>
      <c r="C55" s="40">
        <f t="shared" si="10"/>
        <v>0.00000001259824217</v>
      </c>
      <c r="D55" s="40">
        <f>('Угловое ускорение (ε)'!B10 - $L$4)*('Угловое ускорение (ε)'!B10 - $L$4)</f>
        <v>16.96511846</v>
      </c>
      <c r="E55" s="8"/>
      <c r="F55" s="8"/>
      <c r="G55" s="8"/>
      <c r="H55" s="8"/>
      <c r="I55" s="8"/>
      <c r="J55" s="8"/>
    </row>
    <row r="56">
      <c r="A56" s="20">
        <v>3.0</v>
      </c>
      <c r="B56" s="23">
        <f>'Момент силы натяжения (M)'!D3 - ($P$12 + $Q$12 *'Угловое ускорение (ε)'!D3 )</f>
        <v>0.001272706613</v>
      </c>
      <c r="C56" s="24">
        <f t="shared" si="10"/>
        <v>0.000001619782123</v>
      </c>
      <c r="D56" s="24">
        <f>('Угловое ускорение (ε)'!B11 - $L$5)*('Угловое ускорение (ε)'!B11 - $L$5)</f>
        <v>9.768463454</v>
      </c>
      <c r="E56" s="29">
        <f>SUM(D56:D59)</f>
        <v>39.07385382</v>
      </c>
      <c r="F56" s="29">
        <f>((1/E56) * (SUM(C56:C59)/2))*((1/E56) * (SUM(C56:C59)/2))</f>
        <v>0</v>
      </c>
      <c r="G56" s="29">
        <f>(1/4 + (L5*L5)/E56)*(SUM(C56:C59)/2)*(1/4 + (L5*L5)/E56)*(SUM(C56:C59)/2)</f>
        <v>0</v>
      </c>
      <c r="H56" s="29">
        <f t="shared" ref="H56:I56" si="14">SQRT(F56)</f>
        <v>0.0000001810568935</v>
      </c>
      <c r="I56" s="29">
        <f t="shared" si="14"/>
        <v>0.000003537295294</v>
      </c>
      <c r="J56" s="29">
        <f>SQRT((2*I56)^2 + (2*H56)^2)</f>
        <v>0.000007083851946</v>
      </c>
    </row>
    <row r="57">
      <c r="A57" s="25"/>
      <c r="B57" s="23">
        <f>'Момент силы натяжения (M)'!D4 - ($P$12 + $Q$12 *'Угловое ускорение (ε)'!D4 )</f>
        <v>-0.0007022083914</v>
      </c>
      <c r="C57" s="24">
        <f t="shared" si="10"/>
        <v>0.000000493096625</v>
      </c>
      <c r="D57" s="24">
        <f>('Угловое ускорение (ε)'!B12 - $L$5)*('Угловое ускорение (ε)'!B12 - $L$5)</f>
        <v>9.768463454</v>
      </c>
      <c r="E57" s="25"/>
      <c r="F57" s="25"/>
      <c r="G57" s="25"/>
      <c r="H57" s="25"/>
      <c r="I57" s="25"/>
      <c r="J57" s="25"/>
      <c r="K57" s="74"/>
      <c r="L57" s="12" t="s">
        <v>74</v>
      </c>
      <c r="M57" s="12" t="s">
        <v>75</v>
      </c>
      <c r="N57" s="12" t="s">
        <v>76</v>
      </c>
      <c r="O57" s="12" t="s">
        <v>13</v>
      </c>
      <c r="P57" s="75">
        <f t="shared" ref="P57:P63" si="16">Q57*R57</f>
        <v>0.0002809459864</v>
      </c>
      <c r="Q57" s="75">
        <f t="shared" ref="Q57:Q63" si="17">L58^2-$M$70^2</f>
        <v>-0.01353125</v>
      </c>
      <c r="R57" s="75">
        <f t="shared" ref="R57:R63" si="18">N58-$M$71</f>
        <v>-0.02076275188</v>
      </c>
      <c r="S57" s="75">
        <f t="shared" ref="S57:S63" si="19">Q57^2</f>
        <v>0.0001830947266</v>
      </c>
    </row>
    <row r="58">
      <c r="A58" s="25"/>
      <c r="B58" s="23">
        <f>'Момент силы натяжения (M)'!D5 - ($P$12 + $Q$12 *'Угловое ускорение (ε)'!D5 )</f>
        <v>-0.002721800805</v>
      </c>
      <c r="C58" s="24">
        <f t="shared" si="10"/>
        <v>0.000007408199623</v>
      </c>
      <c r="D58" s="24">
        <f>('Угловое ускорение (ε)'!B13 - $L$5)*('Угловое ускорение (ε)'!B13 - $L$5)</f>
        <v>9.768463454</v>
      </c>
      <c r="E58" s="25"/>
      <c r="F58" s="25"/>
      <c r="G58" s="25"/>
      <c r="H58" s="25"/>
      <c r="I58" s="25"/>
      <c r="J58" s="25"/>
      <c r="K58" s="12" t="s">
        <v>77</v>
      </c>
      <c r="L58" s="74">
        <f t="shared" ref="L58:M58" si="15">P48</f>
        <v>0.077</v>
      </c>
      <c r="M58" s="50">
        <f t="shared" si="15"/>
        <v>0.005929</v>
      </c>
      <c r="N58" s="24">
        <f>Q4</f>
        <v>0.02447723362</v>
      </c>
      <c r="O58" s="23">
        <f>P4</f>
        <v>0.002218460101</v>
      </c>
      <c r="P58" s="75">
        <f t="shared" si="16"/>
        <v>0.0001516492341</v>
      </c>
      <c r="Q58" s="75">
        <f t="shared" si="17"/>
        <v>-0.00905625</v>
      </c>
      <c r="R58" s="75">
        <f t="shared" si="18"/>
        <v>-0.01674525705</v>
      </c>
      <c r="S58" s="75">
        <f t="shared" si="19"/>
        <v>0.00008201566406</v>
      </c>
    </row>
    <row r="59">
      <c r="A59" s="8"/>
      <c r="B59" s="23">
        <f>'Момент силы натяжения (M)'!D6 - ($P$12 + $Q$12 *'Угловое ускорение (ε)'!D6 )</f>
        <v>0.002151302583</v>
      </c>
      <c r="C59" s="24">
        <f t="shared" si="10"/>
        <v>0.000004628102805</v>
      </c>
      <c r="D59" s="24">
        <f>('Угловое ускорение (ε)'!B14 - $L$5)*('Угловое ускорение (ε)'!B14 - $L$5)</f>
        <v>9.768463454</v>
      </c>
      <c r="E59" s="8"/>
      <c r="F59" s="8"/>
      <c r="G59" s="8"/>
      <c r="H59" s="8"/>
      <c r="I59" s="8"/>
      <c r="J59" s="8"/>
      <c r="K59" s="12" t="s">
        <v>78</v>
      </c>
      <c r="L59" s="74">
        <f t="shared" ref="L59:M59" si="20">P49</f>
        <v>0.102</v>
      </c>
      <c r="M59" s="50">
        <f t="shared" si="20"/>
        <v>0.010404</v>
      </c>
      <c r="N59" s="24">
        <f>Q8</f>
        <v>0.02849472846</v>
      </c>
      <c r="O59" s="23">
        <f>P8</f>
        <v>0.01432386322</v>
      </c>
      <c r="P59" s="75">
        <f t="shared" si="16"/>
        <v>0.00002637234621</v>
      </c>
      <c r="Q59" s="75">
        <f t="shared" si="17"/>
        <v>-0.00333125</v>
      </c>
      <c r="R59" s="75">
        <f t="shared" si="18"/>
        <v>-0.00791665177</v>
      </c>
      <c r="S59" s="75">
        <f t="shared" si="19"/>
        <v>0.00001109722656</v>
      </c>
    </row>
    <row r="60">
      <c r="A60" s="20">
        <v>4.0</v>
      </c>
      <c r="B60" s="38">
        <f>'Момент силы натяжения (M)'!E3 - ($P$16 + $Q$16 *'Угловое ускорение (ε)'!E3 )</f>
        <v>0.001725469197</v>
      </c>
      <c r="C60" s="40">
        <f t="shared" si="10"/>
        <v>0.000002977243951</v>
      </c>
      <c r="D60" s="40">
        <f>('Угловое ускорение (ε)'!B15 - $L$6)*('Угловое ускорение (ε)'!B15 - $L$6)</f>
        <v>6.183156824</v>
      </c>
      <c r="E60" s="29">
        <f>SUM(D60:D63)</f>
        <v>24.7326273</v>
      </c>
      <c r="F60" s="29">
        <f>((1/E60) * (SUM(C60:C63)/2))*((1/E60) * (SUM(C60:C63)/2))</f>
        <v>0</v>
      </c>
      <c r="G60" s="29">
        <f>(1/4 + (L6*L6)/E60)*(SUM(C60:C63)/2)*(1/4 + (L6*L6)/E60)*(SUM(C60:C63)/2)</f>
        <v>0</v>
      </c>
      <c r="H60" s="29">
        <f t="shared" ref="H60:I60" si="21">SQRT(F60)</f>
        <v>0.0000004000370525</v>
      </c>
      <c r="I60" s="29">
        <f t="shared" si="21"/>
        <v>0.000004946983663</v>
      </c>
      <c r="J60" s="29">
        <f>SQRT((2*I60)^2 + (2*H60)^2)</f>
        <v>0.000009926263547</v>
      </c>
      <c r="K60" s="12" t="s">
        <v>79</v>
      </c>
      <c r="L60" s="74">
        <f t="shared" ref="L60:M60" si="22">P50</f>
        <v>0.127</v>
      </c>
      <c r="M60" s="50">
        <f t="shared" si="22"/>
        <v>0.016129</v>
      </c>
      <c r="N60" s="24">
        <f>Q12</f>
        <v>0.03732333373</v>
      </c>
      <c r="O60" s="23">
        <f>P12</f>
        <v>0.01673434276</v>
      </c>
      <c r="P60" s="75">
        <f t="shared" si="16"/>
        <v>0.000008585078867</v>
      </c>
      <c r="Q60" s="75">
        <f t="shared" si="17"/>
        <v>0.00364375</v>
      </c>
      <c r="R60" s="75">
        <f t="shared" si="18"/>
        <v>0.002356110838</v>
      </c>
      <c r="S60" s="75">
        <f t="shared" si="19"/>
        <v>0.00001327691406</v>
      </c>
    </row>
    <row r="61">
      <c r="A61" s="25"/>
      <c r="B61" s="38">
        <f>'Момент силы натяжения (M)'!E4 - ($P$16 + $Q$16 *'Угловое ускорение (ε)'!E4 )</f>
        <v>-0.001333913317</v>
      </c>
      <c r="C61" s="40">
        <f t="shared" si="10"/>
        <v>0.000001779324738</v>
      </c>
      <c r="D61" s="40">
        <f>('Угловое ускорение (ε)'!B16 - $L$6)*('Угловое ускорение (ε)'!B16 - $L$6)</f>
        <v>6.183156824</v>
      </c>
      <c r="E61" s="25"/>
      <c r="F61" s="25"/>
      <c r="G61" s="25"/>
      <c r="H61" s="25"/>
      <c r="I61" s="25"/>
      <c r="J61" s="25"/>
      <c r="K61" s="12" t="s">
        <v>80</v>
      </c>
      <c r="L61" s="74">
        <f t="shared" ref="L61:M61" si="23">P51</f>
        <v>0.152</v>
      </c>
      <c r="M61" s="50">
        <f t="shared" si="23"/>
        <v>0.023104</v>
      </c>
      <c r="N61" s="24">
        <f>Q16</f>
        <v>0.04759609634</v>
      </c>
      <c r="O61" s="23">
        <f>P16</f>
        <v>0.01527682261</v>
      </c>
      <c r="P61" s="75">
        <f t="shared" si="16"/>
        <v>0.000203905567</v>
      </c>
      <c r="Q61" s="75">
        <f t="shared" si="17"/>
        <v>0.01186875</v>
      </c>
      <c r="R61" s="75">
        <f t="shared" si="18"/>
        <v>0.01718003724</v>
      </c>
      <c r="S61" s="75">
        <f t="shared" si="19"/>
        <v>0.0001408672266</v>
      </c>
    </row>
    <row r="62">
      <c r="A62" s="25"/>
      <c r="B62" s="38">
        <f>'Момент силы натяжения (M)'!E5 - ($P$16 + $Q$16 *'Угловое ускорение (ε)'!E5 )</f>
        <v>-0.002930253023</v>
      </c>
      <c r="C62" s="40">
        <f t="shared" si="10"/>
        <v>0.000008586382778</v>
      </c>
      <c r="D62" s="40">
        <f>('Угловое ускорение (ε)'!B17 - $L$6)*('Угловое ускорение (ε)'!B17 - $L$6)</f>
        <v>6.183156824</v>
      </c>
      <c r="E62" s="25"/>
      <c r="F62" s="25"/>
      <c r="G62" s="25"/>
      <c r="H62" s="25"/>
      <c r="I62" s="25"/>
      <c r="J62" s="25"/>
      <c r="K62" s="12" t="s">
        <v>81</v>
      </c>
      <c r="L62" s="74">
        <f t="shared" ref="L62:M62" si="24">P52</f>
        <v>0.177</v>
      </c>
      <c r="M62" s="50">
        <f t="shared" si="24"/>
        <v>0.031329</v>
      </c>
      <c r="N62" s="24">
        <f>Q20</f>
        <v>0.06242002275</v>
      </c>
      <c r="O62" s="23">
        <f>P20</f>
        <v>0.01785525721</v>
      </c>
      <c r="P62" s="75">
        <f t="shared" si="16"/>
        <v>0.0005525579412</v>
      </c>
      <c r="Q62" s="75">
        <f t="shared" si="17"/>
        <v>0.02134375</v>
      </c>
      <c r="R62" s="75">
        <f t="shared" si="18"/>
        <v>0.02588851262</v>
      </c>
      <c r="S62" s="75">
        <f t="shared" si="19"/>
        <v>0.0004555556641</v>
      </c>
    </row>
    <row r="63">
      <c r="A63" s="8"/>
      <c r="B63" s="38">
        <f>'Момент силы натяжения (M)'!E6 - ($P$16 + $Q$16 *'Угловое ускорение (ε)'!E6 )</f>
        <v>0.002538697143</v>
      </c>
      <c r="C63" s="40">
        <f t="shared" si="10"/>
        <v>0.000006444983183</v>
      </c>
      <c r="D63" s="40">
        <f>('Угловое ускорение (ε)'!B18 - $L$6)*('Угловое ускорение (ε)'!B18 - $L$6)</f>
        <v>6.183156824</v>
      </c>
      <c r="E63" s="8"/>
      <c r="F63" s="8"/>
      <c r="G63" s="8"/>
      <c r="H63" s="8"/>
      <c r="I63" s="8"/>
      <c r="J63" s="8"/>
      <c r="K63" s="12" t="s">
        <v>82</v>
      </c>
      <c r="L63" s="74">
        <f t="shared" ref="L63:M63" si="25">P53</f>
        <v>0.202</v>
      </c>
      <c r="M63" s="50">
        <f t="shared" si="25"/>
        <v>0.040804</v>
      </c>
      <c r="N63" s="24">
        <f>Q24</f>
        <v>0.07112849812</v>
      </c>
      <c r="O63" s="23">
        <f>P24</f>
        <v>0.02346241374</v>
      </c>
      <c r="P63" s="75">
        <f t="shared" si="16"/>
        <v>0.0008803814279</v>
      </c>
      <c r="Q63" s="75">
        <f t="shared" si="17"/>
        <v>-0.01946025</v>
      </c>
      <c r="R63" s="75">
        <f t="shared" si="18"/>
        <v>-0.0452399855</v>
      </c>
      <c r="S63" s="75">
        <f t="shared" si="19"/>
        <v>0.0003787013301</v>
      </c>
    </row>
    <row r="64">
      <c r="A64" s="20">
        <v>5.0</v>
      </c>
      <c r="B64" s="23">
        <f>'Момент силы натяжения (M)'!F3 - ($P$20 + $Q$20 *'Угловое ускорение (ε)'!F3 )</f>
        <v>0.001964871505</v>
      </c>
      <c r="C64" s="24">
        <f t="shared" si="10"/>
        <v>0.000003860720032</v>
      </c>
      <c r="D64" s="24">
        <f>('Угловое ускорение (ε)'!B19 - $L$7)*('Угловое ускорение (ε)'!B19 - $L$7)</f>
        <v>3.454006629</v>
      </c>
      <c r="E64" s="29">
        <f>SUM(D64:D67)</f>
        <v>13.81602652</v>
      </c>
      <c r="F64" s="29">
        <f>((1/E64) * (SUM(C64:C67)/2))*((1/E64) * (SUM(C64:C67)/2))</f>
        <v>0</v>
      </c>
      <c r="G64" s="29">
        <f>(1/4 + (L7*L7)/E64)*(SUM(C64:C67)/2)*(1/4 + (L7*L7)/E64)*(SUM(C64:C67)/2)</f>
        <v>0</v>
      </c>
      <c r="H64" s="29">
        <f t="shared" ref="H64:I64" si="26">SQRT(F64)</f>
        <v>0.000000887570123</v>
      </c>
      <c r="I64" s="29">
        <f t="shared" si="26"/>
        <v>0.000006131346178</v>
      </c>
      <c r="J64" s="29">
        <f>SQRT((2*I64)^2 + (2*H64)^2)</f>
        <v>0.00001239051035</v>
      </c>
    </row>
    <row r="65">
      <c r="A65" s="25"/>
      <c r="B65" s="23">
        <f>'Момент силы натяжения (M)'!F4 - ($P$20 + $Q$20 *'Угловое ускорение (ε)'!F4 )</f>
        <v>-0.00161835186</v>
      </c>
      <c r="C65" s="24">
        <f t="shared" si="10"/>
        <v>0.000002619062741</v>
      </c>
      <c r="D65" s="24">
        <f>('Угловое ускорение (ε)'!B20 - $L$7)*('Угловое ускорение (ε)'!B20 - $L$7)</f>
        <v>3.454006629</v>
      </c>
      <c r="E65" s="25"/>
      <c r="F65" s="25"/>
      <c r="G65" s="25"/>
      <c r="H65" s="25"/>
      <c r="I65" s="25"/>
      <c r="J65" s="25"/>
    </row>
    <row r="66">
      <c r="A66" s="25"/>
      <c r="B66" s="23">
        <f>'Момент силы натяжения (M)'!F5 - ($P$20 + $Q$20 *'Угловое ускорение (ε)'!F5 )</f>
        <v>-0.003172056582</v>
      </c>
      <c r="C66" s="24">
        <f t="shared" si="10"/>
        <v>0.00001006194296</v>
      </c>
      <c r="D66" s="24">
        <f>('Угловое ускорение (ε)'!B21 - $L$7)*('Угловое ускорение (ε)'!B21 - $L$7)</f>
        <v>3.454006629</v>
      </c>
      <c r="E66" s="25"/>
      <c r="F66" s="25"/>
      <c r="G66" s="25"/>
      <c r="H66" s="25"/>
      <c r="I66" s="25"/>
      <c r="J66" s="25"/>
    </row>
    <row r="67">
      <c r="A67" s="8"/>
      <c r="B67" s="23">
        <f>'Момент силы натяжения (M)'!F6 - ($P$20 + $Q$20 *'Угловое ускорение (ε)'!F6 )</f>
        <v>0.002825536936</v>
      </c>
      <c r="C67" s="24">
        <f t="shared" si="10"/>
        <v>0.000007983658978</v>
      </c>
      <c r="D67" s="24">
        <f>('Угловое ускорение (ε)'!B22 - $L$7)*('Угловое ускорение (ε)'!B22 - $L$7)</f>
        <v>3.454006629</v>
      </c>
      <c r="E67" s="8"/>
      <c r="F67" s="8"/>
      <c r="G67" s="8"/>
      <c r="H67" s="8"/>
      <c r="I67" s="8"/>
      <c r="J67" s="8"/>
    </row>
    <row r="68">
      <c r="A68" s="20">
        <v>6.0</v>
      </c>
      <c r="B68" s="38">
        <f>'Момент силы натяжения (M)'!G3 - ($P$24 + $Q$24 *'Угловое ускорение (ε)'!G3 )</f>
        <v>-0.003312303463</v>
      </c>
      <c r="C68" s="40">
        <f t="shared" si="10"/>
        <v>0.00001097135423</v>
      </c>
      <c r="D68" s="40">
        <f>('Угловое ускорение (ε)'!B23 - $L$8)*('Угловое ускорение (ε)'!B23 - $L$8)</f>
        <v>2.413901689</v>
      </c>
      <c r="E68" s="29">
        <f>SUM(D68:D71)</f>
        <v>9.655606757</v>
      </c>
      <c r="F68" s="29">
        <f>((1/E68) * (SUM(C68:C71)/2))*((1/E68) * (SUM(C68:C71)/2))</f>
        <v>0</v>
      </c>
      <c r="G68" s="29">
        <f>(1/4 + (L8*L8)/E68)*(SUM(C68:C71)/2)*(1/4 + (L8*L8)/E68)*(SUM(C68:C71)/2)</f>
        <v>0.0000000001177783447</v>
      </c>
      <c r="H68" s="29">
        <f t="shared" ref="H68:I68" si="27">SQRT(F68)</f>
        <v>0.000002247931892</v>
      </c>
      <c r="I68" s="29">
        <f t="shared" si="27"/>
        <v>0.00001085257318</v>
      </c>
      <c r="J68" s="29">
        <f>SQRT((2*I68)^2 + (2*H68)^2)</f>
        <v>0.00002216587851</v>
      </c>
      <c r="R68" s="12" t="s">
        <v>83</v>
      </c>
      <c r="S68" s="12" t="s">
        <v>61</v>
      </c>
      <c r="T68" s="12" t="s">
        <v>84</v>
      </c>
      <c r="U68" s="12" t="s">
        <v>63</v>
      </c>
      <c r="V68" s="73" t="s">
        <v>64</v>
      </c>
    </row>
    <row r="69">
      <c r="A69" s="25"/>
      <c r="B69" s="38">
        <f>'Момент силы натяжения (M)'!G4 - ($P$24 + $Q$24 *'Угловое ускорение (ε)'!G4 )</f>
        <v>0.002564686124</v>
      </c>
      <c r="C69" s="40">
        <f t="shared" si="10"/>
        <v>0.000006577614914</v>
      </c>
      <c r="D69" s="40">
        <f>('Угловое ускорение (ε)'!B24 - $L$8)*('Угловое ускорение (ε)'!B24 - $L$8)</f>
        <v>2.413901689</v>
      </c>
      <c r="E69" s="25"/>
      <c r="F69" s="25"/>
      <c r="G69" s="25"/>
      <c r="H69" s="25"/>
      <c r="I69" s="25"/>
      <c r="J69" s="25"/>
      <c r="R69" s="12">
        <v>1.0</v>
      </c>
      <c r="S69" s="50">
        <f t="shared" ref="S69:S74" si="28">N58 - ($P$70+  $M$73 * M58)</f>
        <v>0.004787657406</v>
      </c>
      <c r="T69" s="50">
        <f t="shared" ref="T69:T74" si="29">S69^2</f>
        <v>0.00002292166344</v>
      </c>
      <c r="U69" s="50">
        <f t="shared" ref="U69:U74" si="30">(L58-$M$70)^2</f>
        <v>0.00390625</v>
      </c>
      <c r="V69" s="75">
        <f>SUM(U69:U74)</f>
        <v>0.0109375</v>
      </c>
    </row>
    <row r="70">
      <c r="A70" s="25"/>
      <c r="B70" s="38">
        <f>'Момент силы натяжения (M)'!G5 - ($P$24 + $Q$24 *'Угловое ускорение (ε)'!G5 )</f>
        <v>0.003950249481</v>
      </c>
      <c r="C70" s="40">
        <f t="shared" si="10"/>
        <v>0.00001560447096</v>
      </c>
      <c r="D70" s="40">
        <f>('Угловое ускорение (ε)'!B25 - $L$8)*('Угловое ускорение (ε)'!B25 - $L$8)</f>
        <v>2.413901689</v>
      </c>
      <c r="E70" s="25"/>
      <c r="F70" s="25"/>
      <c r="G70" s="25"/>
      <c r="H70" s="25"/>
      <c r="I70" s="25"/>
      <c r="J70" s="25"/>
      <c r="L70" s="59" t="s">
        <v>85</v>
      </c>
      <c r="M70" s="60">
        <f>AVERAGE(L58:L63)</f>
        <v>0.1395</v>
      </c>
      <c r="O70" s="76" t="s">
        <v>86</v>
      </c>
      <c r="P70" s="77">
        <f>M71-M73*M72</f>
        <v>0.009823304735</v>
      </c>
      <c r="R70" s="12">
        <v>2.0</v>
      </c>
      <c r="S70" s="50">
        <f t="shared" si="28"/>
        <v>0.001358438654</v>
      </c>
      <c r="T70" s="50">
        <f t="shared" si="29"/>
        <v>0.000001845355575</v>
      </c>
      <c r="U70" s="50">
        <f t="shared" si="30"/>
        <v>0.00140625</v>
      </c>
    </row>
    <row r="71">
      <c r="A71" s="8"/>
      <c r="B71" s="38">
        <f>'Момент силы натяжения (M)'!G6 - ($P$24 + $Q$24 *'Угловое ускорение (ε)'!G6 )</f>
        <v>-0.003202632142</v>
      </c>
      <c r="C71" s="40">
        <f t="shared" si="10"/>
        <v>0.00001025685263</v>
      </c>
      <c r="D71" s="40">
        <f>('Угловое ускорение (ε)'!B26 - $L$8)*('Угловое ускорение (ε)'!B26 - $L$8)</f>
        <v>2.413901689</v>
      </c>
      <c r="E71" s="8"/>
      <c r="F71" s="8"/>
      <c r="G71" s="8"/>
      <c r="H71" s="8"/>
      <c r="I71" s="8"/>
      <c r="J71" s="8"/>
      <c r="L71" s="59" t="s">
        <v>87</v>
      </c>
      <c r="M71" s="68">
        <f>AVERAGE(N58:N63)</f>
        <v>0.0452399855</v>
      </c>
      <c r="R71" s="12">
        <v>3.0</v>
      </c>
      <c r="S71" s="50">
        <f t="shared" si="28"/>
        <v>0.0006602427464</v>
      </c>
      <c r="T71" s="50">
        <f t="shared" si="29"/>
        <v>0.0000004359204842</v>
      </c>
      <c r="U71" s="50">
        <f t="shared" si="30"/>
        <v>0.00015625</v>
      </c>
    </row>
    <row r="72">
      <c r="L72" s="73" t="s">
        <v>88</v>
      </c>
      <c r="M72" s="78">
        <f>AVERAGE(M58:M63)</f>
        <v>0.02128316667</v>
      </c>
      <c r="R72" s="12">
        <v>4.0</v>
      </c>
      <c r="S72" s="50">
        <f t="shared" si="28"/>
        <v>-0.0006738834249</v>
      </c>
      <c r="T72" s="50">
        <f t="shared" si="29"/>
        <v>0.0000004541188703</v>
      </c>
      <c r="U72" s="50">
        <f t="shared" si="30"/>
        <v>0.00015625</v>
      </c>
    </row>
    <row r="73">
      <c r="L73" s="76" t="s">
        <v>89</v>
      </c>
      <c r="M73" s="79">
        <f>SUM(P57:P63)/SUM(S57:S63)</f>
        <v>1.664070076</v>
      </c>
      <c r="R73" s="12">
        <v>5.0</v>
      </c>
      <c r="S73" s="50">
        <f t="shared" si="28"/>
        <v>0.0004630666072</v>
      </c>
      <c r="T73" s="50">
        <f t="shared" si="29"/>
        <v>0.0000002144306827</v>
      </c>
      <c r="U73" s="50">
        <f t="shared" si="30"/>
        <v>0.00140625</v>
      </c>
    </row>
    <row r="74">
      <c r="B74" s="80"/>
      <c r="C74" s="80" t="s">
        <v>77</v>
      </c>
      <c r="D74" s="80" t="s">
        <v>78</v>
      </c>
      <c r="E74" s="80" t="s">
        <v>79</v>
      </c>
      <c r="F74" s="80" t="s">
        <v>80</v>
      </c>
      <c r="G74" s="12" t="s">
        <v>81</v>
      </c>
      <c r="H74" s="12" t="s">
        <v>82</v>
      </c>
      <c r="I74" s="12" t="s">
        <v>90</v>
      </c>
      <c r="L74" s="59" t="s">
        <v>91</v>
      </c>
      <c r="M74" s="78">
        <f>M73/4</f>
        <v>0.416017519</v>
      </c>
      <c r="R74" s="12">
        <v>6.0</v>
      </c>
      <c r="S74" s="50">
        <f t="shared" si="28"/>
        <v>-0.006595521988</v>
      </c>
      <c r="T74" s="50">
        <f t="shared" si="29"/>
        <v>0.0000435009103</v>
      </c>
      <c r="U74" s="50">
        <f t="shared" si="30"/>
        <v>0.00390625</v>
      </c>
    </row>
    <row r="75">
      <c r="B75" s="80" t="s">
        <v>74</v>
      </c>
      <c r="C75" s="80">
        <f>L58</f>
        <v>0.077</v>
      </c>
      <c r="D75" s="80">
        <f>L59</f>
        <v>0.102</v>
      </c>
      <c r="E75" s="80">
        <f>L60</f>
        <v>0.127</v>
      </c>
      <c r="F75" s="80">
        <f>L61</f>
        <v>0.152</v>
      </c>
      <c r="G75" s="74">
        <f>L62</f>
        <v>0.177</v>
      </c>
      <c r="H75" s="74">
        <f>L63</f>
        <v>0.202</v>
      </c>
      <c r="I75" s="74">
        <f t="shared" ref="I75:I78" si="31">AVERAGE(C75:H75)</f>
        <v>0.1395</v>
      </c>
    </row>
    <row r="76">
      <c r="B76" s="80" t="s">
        <v>75</v>
      </c>
      <c r="C76" s="81">
        <f>M58</f>
        <v>0.005929</v>
      </c>
      <c r="D76" s="81">
        <f>M59</f>
        <v>0.010404</v>
      </c>
      <c r="E76" s="81">
        <f>M60</f>
        <v>0.016129</v>
      </c>
      <c r="F76" s="81">
        <f>M61</f>
        <v>0.023104</v>
      </c>
      <c r="G76" s="50">
        <f>M62</f>
        <v>0.031329</v>
      </c>
      <c r="H76" s="50">
        <f>M63</f>
        <v>0.040804</v>
      </c>
      <c r="I76" s="50">
        <f t="shared" si="31"/>
        <v>0.02128316667</v>
      </c>
    </row>
    <row r="77">
      <c r="B77" s="80" t="s">
        <v>76</v>
      </c>
      <c r="C77" s="82">
        <f>N58</f>
        <v>0.02447723362</v>
      </c>
      <c r="D77" s="82">
        <f>N59</f>
        <v>0.02849472846</v>
      </c>
      <c r="E77" s="82">
        <f>N60</f>
        <v>0.03732333373</v>
      </c>
      <c r="F77" s="82">
        <f>N61</f>
        <v>0.04759609634</v>
      </c>
      <c r="G77" s="24">
        <f>N62</f>
        <v>0.06242002275</v>
      </c>
      <c r="H77" s="24">
        <f>N63</f>
        <v>0.07112849812</v>
      </c>
      <c r="I77" s="24">
        <f t="shared" si="31"/>
        <v>0.0452399855</v>
      </c>
    </row>
    <row r="78">
      <c r="B78" s="80" t="s">
        <v>13</v>
      </c>
      <c r="C78" s="83">
        <f>O58</f>
        <v>0.002218460101</v>
      </c>
      <c r="D78" s="83">
        <f>O59</f>
        <v>0.01432386322</v>
      </c>
      <c r="E78" s="83">
        <f>O60</f>
        <v>0.01673434276</v>
      </c>
      <c r="F78" s="83">
        <f>O61</f>
        <v>0.01527682261</v>
      </c>
      <c r="G78" s="23">
        <f>O62</f>
        <v>0.01785525721</v>
      </c>
      <c r="H78" s="23">
        <f>O63</f>
        <v>0.02346241374</v>
      </c>
      <c r="I78" s="23">
        <f t="shared" si="31"/>
        <v>0.01497852661</v>
      </c>
      <c r="N78" s="84">
        <f>SUM(T69:T74)/4</f>
        <v>0.00001734309984</v>
      </c>
      <c r="O78" s="84">
        <f>1/6+ (M20^2/V69)</f>
        <v>0.1666666667</v>
      </c>
      <c r="P78" s="84">
        <f>O78*N78</f>
        <v>0.000002890516639</v>
      </c>
      <c r="R78" s="75">
        <f>1 / V69</f>
        <v>91.42857143</v>
      </c>
      <c r="S78" s="75">
        <f>SUM(T69:T74)/4</f>
        <v>0.00001734309984</v>
      </c>
      <c r="T78" s="75">
        <f>R78*S78</f>
        <v>0.001585654842</v>
      </c>
    </row>
    <row r="79">
      <c r="L79" s="73" t="s">
        <v>92</v>
      </c>
      <c r="M79" s="75">
        <f>SQRT(P78)</f>
        <v>0.001700151946</v>
      </c>
    </row>
    <row r="80">
      <c r="L80" s="85" t="s">
        <v>93</v>
      </c>
      <c r="M80" s="86">
        <f>2 * M79</f>
        <v>0.003400303892</v>
      </c>
    </row>
    <row r="85">
      <c r="L85" s="73" t="s">
        <v>94</v>
      </c>
      <c r="M85" s="84">
        <f>SQRT(T78)</f>
        <v>0.03982028179</v>
      </c>
    </row>
    <row r="86">
      <c r="L86" s="85" t="s">
        <v>95</v>
      </c>
      <c r="M86" s="87">
        <f>2 * M85</f>
        <v>0.07964056359</v>
      </c>
    </row>
  </sheetData>
  <mergeCells count="70">
    <mergeCell ref="G56:G59"/>
    <mergeCell ref="G60:G63"/>
    <mergeCell ref="E52:E55"/>
    <mergeCell ref="E56:E59"/>
    <mergeCell ref="F48:F51"/>
    <mergeCell ref="F52:F55"/>
    <mergeCell ref="F56:F59"/>
    <mergeCell ref="F60:F63"/>
    <mergeCell ref="G52:G55"/>
    <mergeCell ref="I56:I59"/>
    <mergeCell ref="I60:I63"/>
    <mergeCell ref="G48:G51"/>
    <mergeCell ref="H48:H51"/>
    <mergeCell ref="I48:I51"/>
    <mergeCell ref="H52:H55"/>
    <mergeCell ref="H56:H59"/>
    <mergeCell ref="H60:H63"/>
    <mergeCell ref="I52:I55"/>
    <mergeCell ref="Q8:Q10"/>
    <mergeCell ref="Q12:Q14"/>
    <mergeCell ref="P4:P6"/>
    <mergeCell ref="P12:P14"/>
    <mergeCell ref="P8:P10"/>
    <mergeCell ref="L10:M10"/>
    <mergeCell ref="L11:M14"/>
    <mergeCell ref="Q16:Q18"/>
    <mergeCell ref="Q20:Q22"/>
    <mergeCell ref="P16:P18"/>
    <mergeCell ref="P20:P22"/>
    <mergeCell ref="P24:P26"/>
    <mergeCell ref="S3:S6"/>
    <mergeCell ref="S7:S10"/>
    <mergeCell ref="S11:S14"/>
    <mergeCell ref="S15:S18"/>
    <mergeCell ref="S19:S22"/>
    <mergeCell ref="S23:S26"/>
    <mergeCell ref="Q4:Q6"/>
    <mergeCell ref="Q24:Q26"/>
    <mergeCell ref="A1:A2"/>
    <mergeCell ref="B1:G1"/>
    <mergeCell ref="A3:A6"/>
    <mergeCell ref="A7:A10"/>
    <mergeCell ref="A11:A14"/>
    <mergeCell ref="A15:A18"/>
    <mergeCell ref="A22:B22"/>
    <mergeCell ref="H1:H2"/>
    <mergeCell ref="E60:E63"/>
    <mergeCell ref="E64:E67"/>
    <mergeCell ref="F64:F67"/>
    <mergeCell ref="F68:F71"/>
    <mergeCell ref="G64:G67"/>
    <mergeCell ref="G68:G71"/>
    <mergeCell ref="A48:A51"/>
    <mergeCell ref="A52:A55"/>
    <mergeCell ref="A56:A59"/>
    <mergeCell ref="A60:A63"/>
    <mergeCell ref="A64:A67"/>
    <mergeCell ref="A68:A71"/>
    <mergeCell ref="E48:E51"/>
    <mergeCell ref="E68:E71"/>
    <mergeCell ref="J60:J63"/>
    <mergeCell ref="J64:J67"/>
    <mergeCell ref="H64:H67"/>
    <mergeCell ref="H68:H71"/>
    <mergeCell ref="I64:I67"/>
    <mergeCell ref="I68:I71"/>
    <mergeCell ref="J48:J51"/>
    <mergeCell ref="J52:J55"/>
    <mergeCell ref="J56:J59"/>
    <mergeCell ref="J68:J7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4"/>
    </row>
    <row r="2">
      <c r="A2" s="8"/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</row>
    <row r="3">
      <c r="A3" s="88" t="s">
        <v>96</v>
      </c>
      <c r="B3" s="89">
        <f>2*$B$15/'Таблица'!B6^2</f>
        <v>0.05417898414</v>
      </c>
      <c r="C3" s="89">
        <f>2*$B$15/'Таблица'!C6^2</f>
        <v>0.03816459785</v>
      </c>
      <c r="D3" s="89">
        <f>2*$B$15/'Таблица'!D6^2</f>
        <v>0.02589163815</v>
      </c>
      <c r="E3" s="89">
        <f>2*$B$15/'Таблица'!E6^2</f>
        <v>0.02080402264</v>
      </c>
      <c r="F3" s="89">
        <f>2*$B$15/'Таблица'!F6^2</f>
        <v>0.01483854952</v>
      </c>
      <c r="G3" s="89">
        <f>2*$B$15/'Таблица'!G6^2</f>
        <v>0.01291893094</v>
      </c>
    </row>
    <row r="4">
      <c r="A4" s="88" t="s">
        <v>97</v>
      </c>
      <c r="B4" s="89">
        <f>2*$B$15/'Таблица'!B10^2</f>
        <v>0.09712322548</v>
      </c>
      <c r="C4" s="89">
        <f>2*$B$15/'Таблица'!C10^2</f>
        <v>0.07398599551</v>
      </c>
      <c r="D4" s="89">
        <f>2*$B$15/'Таблица'!D10^2</f>
        <v>0.05736858496</v>
      </c>
      <c r="E4" s="89">
        <f>2*$B$15/'Таблица'!E10^2</f>
        <v>0.04605741239</v>
      </c>
      <c r="F4" s="89">
        <f>2*$B$15/'Таблица'!F10^2</f>
        <v>0.03432254915</v>
      </c>
      <c r="G4" s="89">
        <f>2*$B$15/'Таблица'!G10^2</f>
        <v>0.02698118448</v>
      </c>
    </row>
    <row r="5">
      <c r="A5" s="88" t="s">
        <v>98</v>
      </c>
      <c r="B5" s="89">
        <f>2*$B$15/'Таблица'!B14^2</f>
        <v>0.153163743</v>
      </c>
      <c r="C5" s="89">
        <f>2*$B$15/'Таблица'!C14^2</f>
        <v>0.1164940828</v>
      </c>
      <c r="D5" s="89">
        <f>2*$B$15/'Таблица'!D14^2</f>
        <v>0.08867843791</v>
      </c>
      <c r="E5" s="89">
        <f>2*$B$15/'Таблица'!E14^2</f>
        <v>0.0704867896</v>
      </c>
      <c r="F5" s="89">
        <f>2*$B$15/'Таблица'!F14^2</f>
        <v>0.05299096126</v>
      </c>
      <c r="G5" s="89">
        <f>2*$B$15/'Таблица'!G14^2</f>
        <v>0.04244240549</v>
      </c>
    </row>
    <row r="6">
      <c r="A6" s="88" t="s">
        <v>99</v>
      </c>
      <c r="B6" s="89">
        <f>2*$B$15/'Таблица'!B18^2</f>
        <v>0.1855735696</v>
      </c>
      <c r="C6" s="89">
        <f>2*$B$15/'Таблица'!C18^2</f>
        <v>0.1545236808</v>
      </c>
      <c r="D6" s="89">
        <f>2*$B$15/'Таблица'!D18^2</f>
        <v>0.115603118</v>
      </c>
      <c r="E6" s="89">
        <f>2*$B$15/'Таблица'!E18^2</f>
        <v>0.09141855477</v>
      </c>
      <c r="F6" s="89">
        <f>2*$B$15/'Таблица'!F18^2</f>
        <v>0.06882955344</v>
      </c>
      <c r="G6" s="89">
        <f>2*$B$15/'Таблица'!G18^2</f>
        <v>0.0605954513</v>
      </c>
    </row>
    <row r="8">
      <c r="A8" s="90" t="s">
        <v>100</v>
      </c>
    </row>
    <row r="14">
      <c r="A14" s="73" t="s">
        <v>101</v>
      </c>
    </row>
    <row r="15">
      <c r="A15" s="66" t="s">
        <v>53</v>
      </c>
      <c r="B15" s="60">
        <f>700/1000</f>
        <v>0.7</v>
      </c>
      <c r="C15" s="73" t="s">
        <v>102</v>
      </c>
    </row>
  </sheetData>
  <mergeCells count="2">
    <mergeCell ref="A1:A2"/>
    <mergeCell ref="B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1" t="s">
        <v>1</v>
      </c>
      <c r="C1" s="3"/>
      <c r="D1" s="3"/>
      <c r="E1" s="3"/>
      <c r="F1" s="3"/>
      <c r="G1" s="4"/>
    </row>
    <row r="2">
      <c r="A2" s="8"/>
      <c r="B2" s="92" t="s">
        <v>5</v>
      </c>
      <c r="C2" s="92" t="s">
        <v>6</v>
      </c>
      <c r="D2" s="92" t="s">
        <v>7</v>
      </c>
      <c r="E2" s="92" t="s">
        <v>8</v>
      </c>
      <c r="F2" s="92" t="s">
        <v>9</v>
      </c>
      <c r="G2" s="92" t="s">
        <v>10</v>
      </c>
    </row>
    <row r="3">
      <c r="A3" s="93" t="s">
        <v>96</v>
      </c>
      <c r="B3" s="94">
        <f>2*'Ускорение (a)'!B3/$B$10</f>
        <v>2.355608006</v>
      </c>
      <c r="C3" s="94">
        <f>2*'Ускорение (a)'!C3/$B$10</f>
        <v>1.659330341</v>
      </c>
      <c r="D3" s="94">
        <f>2*'Ускорение (a)'!D3/$B$10</f>
        <v>1.125723398</v>
      </c>
      <c r="E3" s="94">
        <f>2*'Ускорение (a)'!E3/$B$10</f>
        <v>0.9045227235</v>
      </c>
      <c r="F3" s="94">
        <f>2*'Ускорение (a)'!F3/$B$10</f>
        <v>0.6451543268</v>
      </c>
      <c r="G3" s="94">
        <f>2*'Ускорение (a)'!G3/$B$10</f>
        <v>0.5616926496</v>
      </c>
    </row>
    <row r="4">
      <c r="A4" s="93" t="s">
        <v>97</v>
      </c>
      <c r="B4" s="94">
        <f>2*'Ускорение (a)'!B4/$B$10</f>
        <v>4.222748934</v>
      </c>
      <c r="C4" s="94">
        <f>2*'Ускорение (a)'!C4/$B$10</f>
        <v>3.216782413</v>
      </c>
      <c r="D4" s="94">
        <f>2*'Ускорение (a)'!D4/$B$10</f>
        <v>2.494286303</v>
      </c>
      <c r="E4" s="94">
        <f>2*'Ускорение (a)'!E4/$B$10</f>
        <v>2.002496191</v>
      </c>
      <c r="F4" s="94">
        <f>2*'Ускорение (a)'!F4/$B$10</f>
        <v>1.492284746</v>
      </c>
      <c r="G4" s="94">
        <f>2*'Ускорение (a)'!G4/$B$10</f>
        <v>1.173094977</v>
      </c>
    </row>
    <row r="5">
      <c r="A5" s="93" t="s">
        <v>98</v>
      </c>
      <c r="B5" s="94">
        <f>2*'Ускорение (a)'!B5/$B$10</f>
        <v>6.659293173</v>
      </c>
      <c r="C5" s="94">
        <f>2*'Ускорение (a)'!C5/$B$10</f>
        <v>5.064960123</v>
      </c>
      <c r="D5" s="94">
        <f>2*'Ускорение (a)'!D5/$B$10</f>
        <v>3.855584257</v>
      </c>
      <c r="E5" s="94">
        <f>2*'Ускорение (a)'!E5/$B$10</f>
        <v>3.064643026</v>
      </c>
      <c r="F5" s="94">
        <f>2*'Ускорение (a)'!F5/$B$10</f>
        <v>2.303954837</v>
      </c>
      <c r="G5" s="94">
        <f>2*'Ускорение (a)'!G5/$B$10</f>
        <v>1.845321978</v>
      </c>
    </row>
    <row r="6">
      <c r="A6" s="93" t="s">
        <v>99</v>
      </c>
      <c r="B6" s="94">
        <f>2*'Ускорение (a)'!B6/$B$10</f>
        <v>8.06841607</v>
      </c>
      <c r="C6" s="94">
        <f>2*'Ускорение (a)'!C6/$B$10</f>
        <v>6.718420902</v>
      </c>
      <c r="D6" s="94">
        <f>2*'Ускорение (a)'!D6/$B$10</f>
        <v>5.026222521</v>
      </c>
      <c r="E6" s="94">
        <f>2*'Ускорение (a)'!E6/$B$10</f>
        <v>3.974719773</v>
      </c>
      <c r="F6" s="94">
        <f>2*'Ускорение (a)'!F6/$B$10</f>
        <v>2.99258928</v>
      </c>
      <c r="G6" s="94">
        <f>2*'Ускорение (a)'!G6/$B$10</f>
        <v>2.634584839</v>
      </c>
    </row>
    <row r="8">
      <c r="A8" s="90" t="s">
        <v>103</v>
      </c>
    </row>
    <row r="10">
      <c r="A10" s="59" t="s">
        <v>104</v>
      </c>
      <c r="B10" s="60">
        <f>46/1000</f>
        <v>0.046</v>
      </c>
    </row>
    <row r="11">
      <c r="A11" s="62" t="s">
        <v>105</v>
      </c>
    </row>
  </sheetData>
  <mergeCells count="2">
    <mergeCell ref="A1:A2"/>
    <mergeCell ref="B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1" t="s">
        <v>1</v>
      </c>
      <c r="C1" s="3"/>
      <c r="D1" s="3"/>
      <c r="E1" s="3"/>
      <c r="F1" s="3"/>
      <c r="G1" s="4"/>
    </row>
    <row r="2">
      <c r="A2" s="8"/>
      <c r="B2" s="92" t="s">
        <v>5</v>
      </c>
      <c r="C2" s="92" t="s">
        <v>6</v>
      </c>
      <c r="D2" s="92" t="s">
        <v>7</v>
      </c>
      <c r="E2" s="92" t="s">
        <v>8</v>
      </c>
      <c r="F2" s="92" t="s">
        <v>9</v>
      </c>
      <c r="G2" s="92" t="s">
        <v>10</v>
      </c>
    </row>
    <row r="3">
      <c r="A3" s="93" t="s">
        <v>96</v>
      </c>
      <c r="B3" s="94">
        <f>((($B$8 + $E$11)*$E$8)/2)*($E$10-'Ускорение (a)'!B3)</f>
        <v>0.05984908686</v>
      </c>
      <c r="C3" s="94">
        <f>((($B$8 + $E$11)*$E$8)/2)*($E$10-'Ускорение (a)'!C3)</f>
        <v>0.0599474312</v>
      </c>
      <c r="D3" s="94">
        <f>((($B$8 + $E$11)*$E$8)/2)*($E$10-'Ускорение (a)'!D3)</f>
        <v>0.06002279945</v>
      </c>
      <c r="E3" s="94">
        <f>((($B$8 + $E$11)*$E$8)/2)*($E$10-'Ускорение (a)'!E3)</f>
        <v>0.0600540425</v>
      </c>
      <c r="F3" s="94">
        <f>((($B$8 + $E$11)*$E$8)/2)*($E$10-'Ускорение (a)'!F3)</f>
        <v>0.06009067647</v>
      </c>
      <c r="G3" s="94">
        <f>((($B$8 + $E$11)*$E$8)/2)*($E$10-'Ускорение (a)'!G3)</f>
        <v>0.06010246485</v>
      </c>
    </row>
    <row r="4">
      <c r="A4" s="93" t="s">
        <v>97</v>
      </c>
      <c r="B4" s="94">
        <f>((($B$9 + $E$11)*$E$8)/2)*($E$10-'Ускорение (a)'!B4)</f>
        <v>0.1086819228</v>
      </c>
      <c r="C4" s="94">
        <f>((($B$9 + $E$11)*$E$8)/2)*($E$10-'Ускорение (a)'!C4)</f>
        <v>0.1089410829</v>
      </c>
      <c r="D4" s="94">
        <f>((($B$9 + $E$11)*$E$8)/2)*($E$10-'Ускорение (a)'!D4)</f>
        <v>0.1091272145</v>
      </c>
      <c r="E4" s="94">
        <f>((($B$9 + $E$11)*$E$8)/2)*($E$10-'Ускорение (a)'!E4)</f>
        <v>0.1092539109</v>
      </c>
      <c r="F4" s="94">
        <f>((($B$9 + $E$11)*$E$8)/2)*($E$10-'Ускорение (a)'!F4)</f>
        <v>0.1093853531</v>
      </c>
      <c r="G4" s="94">
        <f>((($B$9 + $E$11)*$E$8)/2)*($E$10-'Ускорение (a)'!G4)</f>
        <v>0.1094675838</v>
      </c>
    </row>
    <row r="5">
      <c r="A5" s="93" t="s">
        <v>98</v>
      </c>
      <c r="B5" s="94">
        <f>((($B$10 + $E$11)*$E$8)/2)*($E$10-'Ускорение (a)'!B5)</f>
        <v>0.1568672044</v>
      </c>
      <c r="C5" s="94">
        <f>((($B$10 + $E$11)*$E$8)/2)*($E$10-'Ускорение (a)'!C5)</f>
        <v>0.1574634897</v>
      </c>
      <c r="D5" s="94">
        <f>((($B$10 + $E$11)*$E$8)/2)*($E$10-'Ускорение (a)'!D5)</f>
        <v>0.1579157999</v>
      </c>
      <c r="E5" s="94">
        <f>((($B$10 + $E$11)*$E$8)/2)*($E$10-'Ускорение (a)'!E5)</f>
        <v>0.1582116143</v>
      </c>
      <c r="F5" s="94">
        <f>((($B$10 + $E$11)*$E$8)/2)*($E$10-'Ускорение (a)'!F5)</f>
        <v>0.158496114</v>
      </c>
      <c r="G5" s="94">
        <f>((($B$10 + $E$11)*$E$8)/2)*($E$10-'Ускорение (a)'!G5)</f>
        <v>0.158667644</v>
      </c>
    </row>
    <row r="6">
      <c r="A6" s="93" t="s">
        <v>99</v>
      </c>
      <c r="B6" s="94">
        <f>((($B$11 + $E$11)*$E$8)/2)*($E$10-'Ускорение (a)'!B6)</f>
        <v>0.2049891859</v>
      </c>
      <c r="C6" s="94">
        <f>((($B$11 + $E$11)*$E$8)/2)*($E$10-'Ускорение (a)'!C6)</f>
        <v>0.2056512006</v>
      </c>
      <c r="D6" s="94">
        <f>((($B$11 + $E$11)*$E$8)/2)*($E$10-'Ускорение (a)'!D6)</f>
        <v>0.2064810259</v>
      </c>
      <c r="E6" s="94">
        <f>((($B$11 + $E$11)*$E$8)/2)*($E$10-'Ускорение (a)'!E6)</f>
        <v>0.206996665</v>
      </c>
      <c r="F6" s="94">
        <f>((($B$11 + $E$11)*$E$8)/2)*($E$10-'Ускорение (a)'!F6)</f>
        <v>0.2074782851</v>
      </c>
      <c r="G6" s="94">
        <f>((($B$11 + $E$11)*$E$8)/2)*($E$10-'Ускорение (a)'!G6)</f>
        <v>0.2076538444</v>
      </c>
    </row>
    <row r="7">
      <c r="A7" s="73" t="s">
        <v>106</v>
      </c>
    </row>
    <row r="8">
      <c r="A8" s="95" t="s">
        <v>107</v>
      </c>
      <c r="B8" s="96">
        <f>220/1000</f>
        <v>0.22</v>
      </c>
      <c r="D8" s="59" t="s">
        <v>108</v>
      </c>
      <c r="E8" s="60">
        <f>46/1000</f>
        <v>0.046</v>
      </c>
    </row>
    <row r="9">
      <c r="A9" s="97" t="s">
        <v>109</v>
      </c>
      <c r="B9" s="96">
        <f>220*2/1000</f>
        <v>0.44</v>
      </c>
      <c r="D9" s="62" t="s">
        <v>110</v>
      </c>
    </row>
    <row r="10">
      <c r="A10" s="97" t="s">
        <v>111</v>
      </c>
      <c r="B10" s="96">
        <f>220*3/1000</f>
        <v>0.66</v>
      </c>
      <c r="D10" s="65" t="s">
        <v>50</v>
      </c>
      <c r="E10" s="60">
        <f>9.8</f>
        <v>9.8</v>
      </c>
    </row>
    <row r="11">
      <c r="A11" s="97" t="s">
        <v>112</v>
      </c>
      <c r="B11" s="96">
        <f>220*4/1000</f>
        <v>0.88</v>
      </c>
      <c r="D11" s="65" t="s">
        <v>113</v>
      </c>
      <c r="E11" s="60">
        <f>47/1000</f>
        <v>0.047</v>
      </c>
    </row>
    <row r="13">
      <c r="A13" s="90" t="s">
        <v>114</v>
      </c>
    </row>
  </sheetData>
  <mergeCells count="2">
    <mergeCell ref="A1:A2"/>
    <mergeCell ref="B1:G1"/>
  </mergeCells>
  <drawing r:id="rId1"/>
</worksheet>
</file>